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ieseArbeitsmappe"/>
  <mc:AlternateContent xmlns:mc="http://schemas.openxmlformats.org/markup-compatibility/2006">
    <mc:Choice Requires="x15">
      <x15ac:absPath xmlns:x15ac="http://schemas.microsoft.com/office/spreadsheetml/2010/11/ac" url="R:\G\PHKP\VQMS\_ALL\SAC\V6_GREMIEN\UAG Antragsunterlagen\12.-23.10.2026\vereinfachteAntr_bearb_Astrid\Endversion ab 19.10.2026\"/>
    </mc:Choice>
  </mc:AlternateContent>
  <xr:revisionPtr revIDLastSave="0" documentId="13_ncr:1_{BE3B2664-0E9F-4F2D-A6C5-11B2A0A0F976}" xr6:coauthVersionLast="47" xr6:coauthVersionMax="47" xr10:uidLastSave="{00000000-0000-0000-0000-000000000000}"/>
  <workbookProtection workbookAlgorithmName="SHA-512" workbookHashValue="ET6fRbMsaFLQ1sLlTyLLJa8Dl0frlylK7kS53NaHaaoxE0o10oBvg5MaUKolCNmQ2JxP3/e/6FQfdPmorRwKIA==" workbookSaltValue="IQlZqbwo9ywVJ0MvojrNXA==" workbookSpinCount="100000" lockStructure="1"/>
  <bookViews>
    <workbookView xWindow="-120" yWindow="-120" windowWidth="29040" windowHeight="15720" tabRatio="783" firstSheet="3" activeTab="3" xr2:uid="{00000000-000D-0000-FFFF-FFFF00000000}"/>
  </bookViews>
  <sheets>
    <sheet name="B_PH_Versionsinfo" sheetId="10" state="hidden" r:id="rId1"/>
    <sheet name="Verknüpfungstabelle" sheetId="14" state="hidden" r:id="rId2"/>
    <sheet name="KAT" sheetId="9" state="hidden" r:id="rId3"/>
    <sheet name="B_PH_Hinweise" sheetId="1" r:id="rId4"/>
    <sheet name="B_PH_Allgemeine Angaben" sheetId="2" r:id="rId5"/>
    <sheet name="B_PH_Kalkulation" sheetId="3" r:id="rId6"/>
    <sheet name="B_PH_Berechnung rüE" sheetId="4" state="hidden" r:id="rId7"/>
    <sheet name="B_PH_Bewohnervertretung" sheetId="6" r:id="rId8"/>
    <sheet name="B_PH_Ergebnis" sheetId="13" r:id="rId9"/>
    <sheet name="B_PH_Gesamtkalkulation" sheetId="5" r:id="rId10"/>
    <sheet name="Adressverzeichnis" sheetId="8" r:id="rId11"/>
  </sheets>
  <externalReferences>
    <externalReference r:id="rId12"/>
  </externalReferences>
  <definedNames>
    <definedName name="_Hlk214345935" localSheetId="3">B_PH_Hinweise!$A$1</definedName>
    <definedName name="_Hlk233272744" localSheetId="3">B_PH_Hinweise!$B$14</definedName>
    <definedName name="_Hlk235628445" localSheetId="3">B_PH_Hinweise!#REF!</definedName>
    <definedName name="_xlnm.Print_Area" localSheetId="10">Adressverzeichnis!$A$1:$I$61</definedName>
    <definedName name="_xlnm.Print_Area" localSheetId="4">'B_PH_Allgemeine Angaben'!$A$1:$N$79</definedName>
    <definedName name="_xlnm.Print_Area" localSheetId="6">'B_PH_Berechnung rüE'!$A$1:$L$42</definedName>
    <definedName name="_xlnm.Print_Area" localSheetId="7">B_PH_Bewohnervertretung!$A$1:$N$64</definedName>
    <definedName name="_xlnm.Print_Area" localSheetId="8">B_PH_Ergebnis!$A$1:$O$101</definedName>
    <definedName name="_xlnm.Print_Area" localSheetId="9">B_PH_Gesamtkalkulation!$A$1:$Y$62</definedName>
    <definedName name="_xlnm.Print_Area" localSheetId="3">B_PH_Hinweise!$A$1:$G$58</definedName>
    <definedName name="_xlnm.Print_Area" localSheetId="5">B_PH_Kalkulation!$A$1:$R$85</definedName>
    <definedName name="_xlnm.Print_Area" localSheetId="0">B_PH_Versionsinfo!$A$1:$E$46</definedName>
    <definedName name="_xlnm.Print_Area" localSheetId="2">KAT!$A$1</definedName>
    <definedName name="_xlnm.Print_Titles" localSheetId="0">B_PH_Versionsinfo!$5:$5</definedName>
    <definedName name="eeadivisor">B_PH_Gesamtkalkulation!$H$11</definedName>
    <definedName name="pnk">[1]Personalaufwendungen!$I$72</definedName>
    <definedName name="risiko">[1]Personalaufwendungen!$I$76</definedName>
    <definedName name="Z_9119B1A0_FD79_4FE4_B78E_10E0AEB8080B_.wvu.Cols" localSheetId="6" hidden="1">'B_PH_Berechnung rüE'!$N:$S</definedName>
    <definedName name="Z_9119B1A0_FD79_4FE4_B78E_10E0AEB8080B_.wvu.Cols" localSheetId="9" hidden="1">B_PH_Gesamtkalkulation!$G:$I,B_PH_Gesamtkalkulation!$K:$K,B_PH_Gesamtkalkulation!$M:$M,B_PH_Gesamtkalkulation!$O:$O,B_PH_Gesamtkalkulation!$Q:$Q,B_PH_Gesamtkalkulation!$S:$S,B_PH_Gesamtkalkulation!$U:$U,B_PH_Gesamtkalkulation!$W:$W</definedName>
    <definedName name="Z_9119B1A0_FD79_4FE4_B78E_10E0AEB8080B_.wvu.Cols" localSheetId="5" hidden="1">B_PH_Kalkulation!$T:$AF</definedName>
    <definedName name="Z_9119B1A0_FD79_4FE4_B78E_10E0AEB8080B_.wvu.PrintArea" localSheetId="10" hidden="1">Adressverzeichnis!$A$1:$I$61</definedName>
    <definedName name="Z_9119B1A0_FD79_4FE4_B78E_10E0AEB8080B_.wvu.PrintArea" localSheetId="4" hidden="1">'B_PH_Allgemeine Angaben'!$A$1:$N$79</definedName>
    <definedName name="Z_9119B1A0_FD79_4FE4_B78E_10E0AEB8080B_.wvu.PrintArea" localSheetId="6" hidden="1">'B_PH_Berechnung rüE'!$A$1:$L$42</definedName>
    <definedName name="Z_9119B1A0_FD79_4FE4_B78E_10E0AEB8080B_.wvu.PrintArea" localSheetId="7" hidden="1">B_PH_Bewohnervertretung!$A$1:$N$64</definedName>
    <definedName name="Z_9119B1A0_FD79_4FE4_B78E_10E0AEB8080B_.wvu.PrintArea" localSheetId="8" hidden="1">B_PH_Ergebnis!$A$1:$O$101</definedName>
    <definedName name="Z_9119B1A0_FD79_4FE4_B78E_10E0AEB8080B_.wvu.PrintArea" localSheetId="9" hidden="1">B_PH_Gesamtkalkulation!$A$1:$Y$62</definedName>
    <definedName name="Z_9119B1A0_FD79_4FE4_B78E_10E0AEB8080B_.wvu.PrintArea" localSheetId="3" hidden="1">B_PH_Hinweise!$A$1:$G$289</definedName>
    <definedName name="Z_9119B1A0_FD79_4FE4_B78E_10E0AEB8080B_.wvu.PrintArea" localSheetId="5" hidden="1">B_PH_Kalkulation!$A$1:$R$85</definedName>
    <definedName name="Z_9119B1A0_FD79_4FE4_B78E_10E0AEB8080B_.wvu.Rows" localSheetId="10" hidden="1">Adressverzeichnis!$58:$58</definedName>
    <definedName name="Z_9119B1A0_FD79_4FE4_B78E_10E0AEB8080B_.wvu.Rows" localSheetId="9" hidden="1">B_PH_Gesamtkalkulation!$66:$66</definedName>
  </definedNames>
  <calcPr calcId="191029"/>
  <customWorkbookViews>
    <customWorkbookView name="Bischoff, Kathrin - Persönliche Ansicht" guid="{9119B1A0-FD79-4FE4-B78E-10E0AEB8080B}" mergeInterval="0" personalView="1" maximized="1" xWindow="-8" yWindow="-8" windowWidth="1552" windowHeight="840" tabRatio="783" activeSheetId="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A10" i="14" l="1"/>
  <c r="BD10" i="14" l="1"/>
  <c r="BC10" i="14"/>
  <c r="BB10" i="14"/>
  <c r="L29" i="3"/>
  <c r="L30" i="3"/>
  <c r="L31" i="3"/>
  <c r="L28" i="3"/>
  <c r="J59" i="2"/>
  <c r="L66" i="9"/>
  <c r="F61" i="3" l="1"/>
  <c r="AL11" i="14" l="1"/>
  <c r="DQ10" i="14"/>
  <c r="DP10" i="14"/>
  <c r="G10" i="14"/>
  <c r="F10" i="14"/>
  <c r="CN10" i="14" l="1"/>
  <c r="CL10" i="14"/>
  <c r="BZ10" i="14"/>
  <c r="CA10" i="14"/>
  <c r="BY10" i="14"/>
  <c r="L36" i="3" l="1"/>
  <c r="D31" i="5" s="1"/>
  <c r="E10" i="14" l="1"/>
  <c r="D10" i="14" l="1"/>
  <c r="C10" i="14"/>
  <c r="B10" i="14"/>
  <c r="A10" i="14"/>
  <c r="AQ2" i="14" l="1"/>
  <c r="CP6" i="14" l="1"/>
  <c r="CN6" i="14"/>
  <c r="MP2" i="14" l="1"/>
  <c r="MN2" i="14"/>
  <c r="JZ2" i="14" l="1"/>
  <c r="JX2" i="14"/>
  <c r="JD2" i="14"/>
  <c r="JB2" i="14"/>
  <c r="GF2" i="14"/>
  <c r="FW2" i="14"/>
  <c r="FQ2" i="14" l="1"/>
  <c r="FP2" i="14"/>
  <c r="FO2" i="14"/>
  <c r="FF2" i="14"/>
  <c r="FE2" i="14"/>
  <c r="FD2" i="14"/>
  <c r="DM2" i="14"/>
  <c r="DL2" i="14"/>
  <c r="DK2" i="14"/>
  <c r="DJ2" i="14"/>
  <c r="AN2" i="14"/>
  <c r="AM2" i="14"/>
  <c r="AL2" i="14"/>
  <c r="AK2" i="14"/>
  <c r="AJ2" i="14"/>
  <c r="AI2" i="14"/>
  <c r="AH2" i="14"/>
  <c r="AG2" i="14"/>
  <c r="AF2" i="14"/>
  <c r="AE2" i="14"/>
  <c r="AD2" i="14"/>
  <c r="AC2" i="14"/>
  <c r="AB2" i="14"/>
  <c r="AA2" i="14"/>
  <c r="Z2" i="14"/>
  <c r="Y2" i="14"/>
  <c r="X2" i="14"/>
  <c r="W2" i="14"/>
  <c r="V2" i="14"/>
  <c r="U2" i="14"/>
  <c r="T2" i="14"/>
  <c r="S2" i="14"/>
  <c r="R2" i="14"/>
  <c r="Q2" i="14"/>
  <c r="P2" i="14"/>
  <c r="O2" i="14"/>
  <c r="N2" i="14"/>
  <c r="M2" i="14"/>
  <c r="L2" i="14"/>
  <c r="I2" i="14"/>
  <c r="K2" i="14"/>
  <c r="J2" i="14"/>
  <c r="H2" i="14"/>
  <c r="G2" i="14"/>
  <c r="F2" i="14"/>
  <c r="E2" i="14"/>
  <c r="D2" i="14"/>
  <c r="C2" i="14"/>
  <c r="B2" i="14"/>
  <c r="K60" i="3" l="1"/>
  <c r="B46" i="5"/>
  <c r="L52" i="3"/>
  <c r="I53" i="3"/>
  <c r="I52" i="3"/>
  <c r="C46" i="5" s="1"/>
  <c r="I63" i="13"/>
  <c r="I62" i="13"/>
  <c r="M81" i="3"/>
  <c r="CQ10" i="14" l="1"/>
  <c r="CS6" i="14"/>
  <c r="MS2" i="14"/>
  <c r="D46" i="5"/>
  <c r="F46" i="5" s="1"/>
  <c r="JC2" i="14"/>
  <c r="L62" i="13"/>
  <c r="B89" i="9"/>
  <c r="E46" i="5" l="1"/>
  <c r="S46" i="5"/>
  <c r="A4" i="2"/>
  <c r="K4" i="4"/>
  <c r="I4" i="4"/>
  <c r="P4" i="3" l="1"/>
  <c r="P3" i="3"/>
  <c r="A4" i="5"/>
  <c r="K5" i="4"/>
  <c r="K3" i="4"/>
  <c r="F68" i="13"/>
  <c r="J8" i="9"/>
  <c r="L49" i="2" l="1"/>
  <c r="D26" i="3" l="1" a="1"/>
  <c r="D26" i="3" s="1"/>
  <c r="D25" i="3" a="1"/>
  <c r="D25" i="3" s="1"/>
  <c r="D24" i="3" a="1"/>
  <c r="D24" i="3" s="1"/>
  <c r="H14" i="13" l="1"/>
  <c r="H13" i="13"/>
  <c r="L42" i="13" l="1"/>
  <c r="LR2" i="14" s="1"/>
  <c r="F53" i="13"/>
  <c r="F44" i="13"/>
  <c r="J37" i="13"/>
  <c r="J38" i="13"/>
  <c r="J36" i="13"/>
  <c r="F32" i="13"/>
  <c r="F33" i="13"/>
  <c r="F31" i="13"/>
  <c r="BL10" i="14" l="1"/>
  <c r="KF2" i="14"/>
  <c r="AA6" i="14"/>
  <c r="I44" i="13"/>
  <c r="CS10" i="14"/>
  <c r="AF6" i="14"/>
  <c r="BM10" i="14"/>
  <c r="AB6" i="14"/>
  <c r="KG2" i="14"/>
  <c r="BX10" i="14"/>
  <c r="AM6" i="14"/>
  <c r="KP2" i="14"/>
  <c r="BK10" i="14"/>
  <c r="Z6" i="14"/>
  <c r="KE2" i="14"/>
  <c r="BS10" i="14"/>
  <c r="LQ2" i="14"/>
  <c r="BR10" i="14"/>
  <c r="LP2" i="14"/>
  <c r="BQ10" i="14"/>
  <c r="LO2" i="14"/>
  <c r="I33" i="13"/>
  <c r="LE2" i="14" s="1"/>
  <c r="I32" i="13"/>
  <c r="LD2" i="14" s="1"/>
  <c r="I53" i="13"/>
  <c r="LN2" i="14" s="1"/>
  <c r="H31" i="13"/>
  <c r="KQ2" i="14" s="1"/>
  <c r="H44" i="13"/>
  <c r="H53" i="13"/>
  <c r="LB2" i="14" s="1"/>
  <c r="H32" i="13"/>
  <c r="KR2" i="14" s="1"/>
  <c r="I31" i="13"/>
  <c r="LC2" i="14" s="1"/>
  <c r="H33" i="13"/>
  <c r="KS2" i="14" s="1"/>
  <c r="N3" i="13" l="1"/>
  <c r="I11" i="13" l="1"/>
  <c r="AZ10" i="14" s="1"/>
  <c r="F11" i="13"/>
  <c r="AY10" i="14" s="1"/>
  <c r="F8" i="13"/>
  <c r="F7" i="13"/>
  <c r="F6" i="13"/>
  <c r="J9" i="13"/>
  <c r="C9" i="13"/>
  <c r="B9" i="13"/>
  <c r="B8" i="13"/>
  <c r="B7" i="13"/>
  <c r="B6" i="13"/>
  <c r="A1" i="13"/>
  <c r="L32" i="3" l="1"/>
  <c r="N53" i="13" s="1"/>
  <c r="K45" i="2"/>
  <c r="K74" i="9"/>
  <c r="K53" i="13" l="1"/>
  <c r="S10" i="14"/>
  <c r="AY6" i="14"/>
  <c r="L67" i="9"/>
  <c r="L68" i="9" l="1"/>
  <c r="L75" i="9"/>
  <c r="L74" i="9"/>
  <c r="L71" i="9"/>
  <c r="L72" i="9"/>
  <c r="L70" i="9"/>
  <c r="C4" i="4" l="1"/>
  <c r="C5" i="4"/>
  <c r="A3" i="2"/>
  <c r="A3" i="6" s="1"/>
  <c r="C4" i="3"/>
  <c r="C5" i="3"/>
  <c r="A3" i="5" l="1"/>
  <c r="U23" i="3" l="1"/>
  <c r="U22" i="3"/>
  <c r="M53" i="2" l="1"/>
  <c r="M52" i="2"/>
  <c r="J55" i="2"/>
  <c r="K73" i="2"/>
  <c r="I18" i="3" l="1"/>
  <c r="BK2" i="14" s="1"/>
  <c r="J18" i="3"/>
  <c r="BL2" i="14" s="1"/>
  <c r="K18" i="3"/>
  <c r="BM2" i="14" s="1"/>
  <c r="L18" i="3"/>
  <c r="BN2" i="14" s="1"/>
  <c r="H18" i="3"/>
  <c r="BJ2" i="14" s="1"/>
  <c r="I15" i="3"/>
  <c r="BE2" i="14" s="1"/>
  <c r="J15" i="3"/>
  <c r="BF2" i="14" s="1"/>
  <c r="K15" i="3"/>
  <c r="BG2" i="14" s="1"/>
  <c r="L15" i="3"/>
  <c r="BH2" i="14" s="1"/>
  <c r="H15" i="3"/>
  <c r="F16" i="13" l="1"/>
  <c r="BD2" i="14"/>
  <c r="F18" i="13"/>
  <c r="F17" i="13"/>
  <c r="F20" i="13"/>
  <c r="F19" i="13"/>
  <c r="I20" i="13"/>
  <c r="J6" i="14" s="1"/>
  <c r="I19" i="13"/>
  <c r="I6" i="14" s="1"/>
  <c r="I18" i="13"/>
  <c r="H6" i="14" s="1"/>
  <c r="I17" i="13"/>
  <c r="G6" i="14" s="1"/>
  <c r="I16" i="13"/>
  <c r="I23" i="3"/>
  <c r="I22" i="3"/>
  <c r="I3" i="4"/>
  <c r="I5" i="4"/>
  <c r="H16" i="13" l="1"/>
  <c r="F6" i="14"/>
  <c r="BJ10" i="14"/>
  <c r="E6" i="14"/>
  <c r="BI10" i="14"/>
  <c r="D6" i="14"/>
  <c r="BH10" i="14"/>
  <c r="C6" i="14"/>
  <c r="BG10" i="14"/>
  <c r="B6" i="14"/>
  <c r="BF10" i="14"/>
  <c r="A6" i="14"/>
  <c r="H17" i="13"/>
  <c r="H19" i="13"/>
  <c r="H20" i="13"/>
  <c r="H18" i="13"/>
  <c r="K32" i="3"/>
  <c r="E53" i="8" l="1"/>
  <c r="E27" i="8"/>
  <c r="E21" i="8"/>
  <c r="E16" i="8"/>
  <c r="E12" i="8"/>
  <c r="E39" i="8"/>
  <c r="E34" i="8"/>
  <c r="E7" i="8"/>
  <c r="C94" i="9" l="1"/>
  <c r="C118" i="9"/>
  <c r="C106" i="9"/>
  <c r="T22" i="3" l="1"/>
  <c r="V22" i="3" s="1"/>
  <c r="T23" i="3"/>
  <c r="V23" i="3" s="1"/>
  <c r="F20" i="4"/>
  <c r="F15" i="4"/>
  <c r="D23" i="4"/>
  <c r="D22" i="4"/>
  <c r="D21" i="4"/>
  <c r="D18" i="4"/>
  <c r="E18" i="4" s="1"/>
  <c r="D17" i="4"/>
  <c r="E17" i="4" s="1"/>
  <c r="D16" i="4"/>
  <c r="K71" i="2"/>
  <c r="W22" i="3" l="1"/>
  <c r="W23" i="3"/>
  <c r="X23" i="3"/>
  <c r="Y23" i="3"/>
  <c r="Y22" i="3"/>
  <c r="X22" i="3"/>
  <c r="L49" i="3" l="1"/>
  <c r="B66" i="9"/>
  <c r="B101" i="9"/>
  <c r="B113" i="9" s="1"/>
  <c r="L35" i="9"/>
  <c r="L36" i="9"/>
  <c r="D46" i="9"/>
  <c r="J60" i="3" s="1"/>
  <c r="CP10" i="14" s="1"/>
  <c r="B39" i="9"/>
  <c r="B38" i="9"/>
  <c r="B37" i="9"/>
  <c r="B36" i="9"/>
  <c r="B35" i="9"/>
  <c r="F35" i="9" s="1"/>
  <c r="L21" i="3"/>
  <c r="M48" i="2"/>
  <c r="B8" i="4"/>
  <c r="N31" i="13" l="1"/>
  <c r="K31" i="13" s="1"/>
  <c r="B61" i="5"/>
  <c r="MR2" i="14"/>
  <c r="CR6" i="14"/>
  <c r="L59" i="13"/>
  <c r="IX2" i="14"/>
  <c r="D17" i="5"/>
  <c r="I28" i="3"/>
  <c r="M60" i="3"/>
  <c r="CO10" i="14" s="1"/>
  <c r="M35" i="9"/>
  <c r="F39" i="9"/>
  <c r="H39" i="9"/>
  <c r="D39" i="9"/>
  <c r="D38" i="9"/>
  <c r="F38" i="9"/>
  <c r="H38" i="9"/>
  <c r="F37" i="9"/>
  <c r="B40" i="9"/>
  <c r="D37" i="9"/>
  <c r="H37" i="9"/>
  <c r="F36" i="9"/>
  <c r="D36" i="9"/>
  <c r="H36" i="9"/>
  <c r="H35" i="9"/>
  <c r="D35" i="9"/>
  <c r="AN6" i="14" l="1"/>
  <c r="H10" i="14"/>
  <c r="I35" i="9"/>
  <c r="E17" i="5"/>
  <c r="GR2" i="14"/>
  <c r="I69" i="13"/>
  <c r="CQ6" i="14"/>
  <c r="MQ2" i="14"/>
  <c r="F17" i="5"/>
  <c r="D40" i="9"/>
  <c r="N40" i="9" s="1"/>
  <c r="F40" i="9"/>
  <c r="O40" i="9" s="1"/>
  <c r="H40" i="9"/>
  <c r="I38" i="9"/>
  <c r="I37" i="9"/>
  <c r="I36" i="9"/>
  <c r="I39" i="9"/>
  <c r="E23" i="4"/>
  <c r="N41" i="9" l="1"/>
  <c r="J26" i="3"/>
  <c r="F38" i="13" s="1"/>
  <c r="I38" i="13" s="1"/>
  <c r="LH2" i="14" s="1"/>
  <c r="P40" i="9"/>
  <c r="Q40" i="9" s="1"/>
  <c r="O41" i="9"/>
  <c r="J24" i="3"/>
  <c r="J25" i="3"/>
  <c r="FJ2" i="14" s="1"/>
  <c r="I40" i="9"/>
  <c r="FL2" i="14" l="1"/>
  <c r="Q39" i="9"/>
  <c r="R39" i="9" s="1"/>
  <c r="O39" i="9" s="1"/>
  <c r="DH10" i="14" s="1"/>
  <c r="P41" i="9"/>
  <c r="Q35" i="9"/>
  <c r="R35" i="9" s="1"/>
  <c r="P35" i="9" s="1"/>
  <c r="DI10" i="14" s="1"/>
  <c r="Q38" i="9"/>
  <c r="R38" i="9" s="1"/>
  <c r="P38" i="9" s="1"/>
  <c r="DL10" i="14" s="1"/>
  <c r="Q36" i="9"/>
  <c r="R36" i="9" s="1"/>
  <c r="Q37" i="9"/>
  <c r="R37" i="9" s="1"/>
  <c r="P37" i="9" s="1"/>
  <c r="DK10" i="14" s="1"/>
  <c r="BP10" i="14"/>
  <c r="V6" i="14"/>
  <c r="KJ2" i="14"/>
  <c r="H38" i="13"/>
  <c r="KV2" i="14" s="1"/>
  <c r="F36" i="13"/>
  <c r="H36" i="13" s="1"/>
  <c r="KT2" i="14" s="1"/>
  <c r="FH2" i="14"/>
  <c r="F37" i="13"/>
  <c r="E26" i="9"/>
  <c r="K25" i="3" s="1"/>
  <c r="C16" i="4"/>
  <c r="C36" i="4" s="1"/>
  <c r="J40" i="9"/>
  <c r="J35" i="9" s="1"/>
  <c r="K35" i="9" s="1"/>
  <c r="C17" i="4"/>
  <c r="C18" i="4"/>
  <c r="P39" i="9" l="1"/>
  <c r="DM10" i="14" s="1"/>
  <c r="N39" i="9"/>
  <c r="DC10" i="14" s="1"/>
  <c r="N37" i="9"/>
  <c r="DA10" i="14" s="1"/>
  <c r="O37" i="9"/>
  <c r="DF10" i="14" s="1"/>
  <c r="N36" i="9"/>
  <c r="CZ10" i="14" s="1"/>
  <c r="O36" i="9"/>
  <c r="DE10" i="14" s="1"/>
  <c r="P36" i="9"/>
  <c r="DJ10" i="14" s="1"/>
  <c r="O38" i="9"/>
  <c r="DG10" i="14" s="1"/>
  <c r="N38" i="9"/>
  <c r="DB10" i="14" s="1"/>
  <c r="R40" i="9"/>
  <c r="O35" i="9"/>
  <c r="DD10" i="14" s="1"/>
  <c r="N35" i="9"/>
  <c r="CY10" i="14" s="1"/>
  <c r="I36" i="13"/>
  <c r="LF2" i="14" s="1"/>
  <c r="BO10" i="14"/>
  <c r="KI2" i="14"/>
  <c r="U6" i="14"/>
  <c r="N15" i="4"/>
  <c r="BN10" i="14"/>
  <c r="KH2" i="14"/>
  <c r="T6" i="14"/>
  <c r="F40" i="13"/>
  <c r="I37" i="13"/>
  <c r="H37" i="13"/>
  <c r="D36" i="4"/>
  <c r="J36" i="9"/>
  <c r="K36" i="9" s="1"/>
  <c r="J38" i="9"/>
  <c r="K38" i="9" s="1"/>
  <c r="J37" i="9"/>
  <c r="K37" i="9" s="1"/>
  <c r="J39" i="9"/>
  <c r="K39" i="9" s="1"/>
  <c r="O15" i="4" l="1"/>
  <c r="I40" i="13"/>
  <c r="LG2" i="14"/>
  <c r="H40" i="13"/>
  <c r="KU2" i="14"/>
  <c r="IK2" i="14"/>
  <c r="C69" i="9"/>
  <c r="D69" i="9"/>
  <c r="B69" i="9"/>
  <c r="C66" i="9"/>
  <c r="F57" i="13" l="1"/>
  <c r="S42" i="4"/>
  <c r="E22" i="4" l="1"/>
  <c r="D32" i="4" s="1"/>
  <c r="E21" i="4"/>
  <c r="N19" i="4" s="1"/>
  <c r="E16" i="4"/>
  <c r="P17" i="4" l="1"/>
  <c r="N18" i="4"/>
  <c r="N17" i="4"/>
  <c r="C32" i="4"/>
  <c r="B68" i="9"/>
  <c r="B67" i="9"/>
  <c r="N20" i="4" l="1"/>
  <c r="K46" i="2"/>
  <c r="B114" i="9" l="1"/>
  <c r="B115" i="9" s="1"/>
  <c r="B102" i="9"/>
  <c r="B103" i="9" s="1"/>
  <c r="B90" i="9"/>
  <c r="B91" i="9" s="1"/>
  <c r="L69" i="9"/>
  <c r="L48" i="3"/>
  <c r="L50" i="3"/>
  <c r="L51" i="3"/>
  <c r="L53" i="3"/>
  <c r="L47" i="3"/>
  <c r="IV2" i="14" s="1"/>
  <c r="L37" i="3"/>
  <c r="IL2" i="14" s="1"/>
  <c r="L38" i="3"/>
  <c r="IM2" i="14" s="1"/>
  <c r="L39" i="3"/>
  <c r="IP2" i="14" s="1"/>
  <c r="L40" i="3"/>
  <c r="IQ2" i="14" s="1"/>
  <c r="L41" i="3"/>
  <c r="IR2" i="14" s="1"/>
  <c r="L42" i="3"/>
  <c r="IS2" i="14" s="1"/>
  <c r="L43" i="3"/>
  <c r="IT2" i="14" s="1"/>
  <c r="D33" i="4"/>
  <c r="E33" i="4"/>
  <c r="C33" i="4"/>
  <c r="D68" i="9"/>
  <c r="N4" i="3"/>
  <c r="F17" i="3"/>
  <c r="B19" i="3" s="1"/>
  <c r="A1" i="4"/>
  <c r="A1" i="3"/>
  <c r="P5" i="3"/>
  <c r="F54" i="3"/>
  <c r="F11" i="3"/>
  <c r="D11" i="3"/>
  <c r="L11" i="3"/>
  <c r="I29" i="3"/>
  <c r="I30" i="3"/>
  <c r="I31" i="3"/>
  <c r="L17" i="3"/>
  <c r="L10" i="5"/>
  <c r="F44" i="3"/>
  <c r="D15" i="9"/>
  <c r="I21" i="3" s="1"/>
  <c r="N6" i="5"/>
  <c r="L6" i="5"/>
  <c r="R6" i="5" s="1"/>
  <c r="J11" i="3"/>
  <c r="C43" i="5"/>
  <c r="C44" i="5"/>
  <c r="C45" i="5"/>
  <c r="C47" i="5"/>
  <c r="C42" i="5"/>
  <c r="B42" i="5"/>
  <c r="B43" i="5"/>
  <c r="B44" i="5"/>
  <c r="B45" i="5"/>
  <c r="B47" i="5"/>
  <c r="B41" i="5"/>
  <c r="L13" i="3"/>
  <c r="J10" i="5"/>
  <c r="L7" i="3"/>
  <c r="N10" i="5"/>
  <c r="R10" i="5"/>
  <c r="P10" i="5"/>
  <c r="F13" i="3"/>
  <c r="K31" i="3"/>
  <c r="K30" i="3"/>
  <c r="K29" i="3"/>
  <c r="K28" i="3"/>
  <c r="E28" i="3"/>
  <c r="E29" i="3"/>
  <c r="E30" i="3"/>
  <c r="E31" i="3"/>
  <c r="E32" i="3"/>
  <c r="U61" i="5"/>
  <c r="S61" i="5"/>
  <c r="D6" i="5"/>
  <c r="F7" i="2"/>
  <c r="A1" i="5"/>
  <c r="D11" i="2"/>
  <c r="E7" i="2"/>
  <c r="I22" i="13" l="1"/>
  <c r="BO2" i="14"/>
  <c r="D31" i="3"/>
  <c r="D29" i="3"/>
  <c r="D30" i="3"/>
  <c r="J30" i="3"/>
  <c r="GD2" i="14" s="1"/>
  <c r="J31" i="3"/>
  <c r="GE2" i="14" s="1"/>
  <c r="BI2" i="14"/>
  <c r="L46" i="13"/>
  <c r="J29" i="3"/>
  <c r="FX2" i="14" s="1"/>
  <c r="L63" i="13"/>
  <c r="JE2" i="14"/>
  <c r="L61" i="13"/>
  <c r="JA2" i="14"/>
  <c r="L60" i="13"/>
  <c r="IY2" i="14"/>
  <c r="L58" i="13"/>
  <c r="IW2" i="14"/>
  <c r="B16" i="3"/>
  <c r="L50" i="13"/>
  <c r="L48" i="13"/>
  <c r="D41" i="5"/>
  <c r="S41" i="5" s="1"/>
  <c r="L57" i="13"/>
  <c r="F22" i="13"/>
  <c r="J27" i="3"/>
  <c r="FT2" i="14" s="1"/>
  <c r="D38" i="5"/>
  <c r="E38" i="5" s="1"/>
  <c r="F64" i="13"/>
  <c r="D37" i="5"/>
  <c r="F37" i="5" s="1"/>
  <c r="F63" i="13"/>
  <c r="F62" i="13"/>
  <c r="D35" i="5"/>
  <c r="F35" i="5" s="1"/>
  <c r="F61" i="13"/>
  <c r="D34" i="5"/>
  <c r="F34" i="5" s="1"/>
  <c r="F60" i="13"/>
  <c r="F59" i="13"/>
  <c r="F58" i="13"/>
  <c r="D53" i="5"/>
  <c r="A4" i="6"/>
  <c r="D27" i="3"/>
  <c r="D66" i="9"/>
  <c r="D33" i="5"/>
  <c r="D36" i="5"/>
  <c r="L44" i="3"/>
  <c r="P8" i="5"/>
  <c r="J11" i="5"/>
  <c r="P11" i="5"/>
  <c r="O53" i="5" s="1"/>
  <c r="P53" i="5" s="1"/>
  <c r="D44" i="5"/>
  <c r="D47" i="5"/>
  <c r="D45" i="5"/>
  <c r="D28" i="5"/>
  <c r="HI2" i="14" s="1"/>
  <c r="R11" i="5"/>
  <c r="Q53" i="5" s="1"/>
  <c r="R53" i="5" s="1"/>
  <c r="G10" i="5"/>
  <c r="L11" i="5"/>
  <c r="K53" i="5" s="1"/>
  <c r="P6" i="5"/>
  <c r="N11" i="5"/>
  <c r="M53" i="5" s="1"/>
  <c r="N53" i="5" s="1"/>
  <c r="B94" i="9"/>
  <c r="B106" i="9"/>
  <c r="L54" i="3"/>
  <c r="JF2" i="14" s="1"/>
  <c r="B118" i="9"/>
  <c r="D42" i="5"/>
  <c r="D32" i="5"/>
  <c r="F48" i="13" l="1"/>
  <c r="KN2" i="14" s="1"/>
  <c r="BW10" i="14"/>
  <c r="LV2" i="14"/>
  <c r="AL6" i="14"/>
  <c r="BV10" i="14"/>
  <c r="AK6" i="14"/>
  <c r="LU2" i="14"/>
  <c r="H22" i="13"/>
  <c r="F50" i="13"/>
  <c r="KO2" i="14" s="1"/>
  <c r="BU10" i="14"/>
  <c r="AG6" i="14"/>
  <c r="LT2" i="14"/>
  <c r="F46" i="13"/>
  <c r="KM2" i="14" s="1"/>
  <c r="IU2" i="14"/>
  <c r="M52" i="3"/>
  <c r="AN10" i="14" s="1"/>
  <c r="O46" i="5"/>
  <c r="P46" i="5" s="1"/>
  <c r="Q46" i="5"/>
  <c r="R46" i="5" s="1"/>
  <c r="I46" i="5"/>
  <c r="M46" i="5"/>
  <c r="N46" i="5" s="1"/>
  <c r="K46" i="5"/>
  <c r="L46" i="5" s="1"/>
  <c r="T46" i="5"/>
  <c r="L66" i="13"/>
  <c r="E37" i="5"/>
  <c r="E41" i="5"/>
  <c r="S38" i="5"/>
  <c r="T38" i="5" s="1"/>
  <c r="F41" i="5"/>
  <c r="F38" i="5"/>
  <c r="C24" i="4"/>
  <c r="C23" i="4" s="1"/>
  <c r="P19" i="4" s="1"/>
  <c r="F42" i="13"/>
  <c r="KK2" i="14" s="1"/>
  <c r="S35" i="5"/>
  <c r="T35" i="5" s="1"/>
  <c r="E35" i="5"/>
  <c r="E34" i="5"/>
  <c r="S37" i="5"/>
  <c r="T37" i="5" s="1"/>
  <c r="F66" i="13"/>
  <c r="F28" i="5"/>
  <c r="E28" i="5"/>
  <c r="S47" i="5"/>
  <c r="T47" i="5" s="1"/>
  <c r="E47" i="5"/>
  <c r="F47" i="5"/>
  <c r="S44" i="5"/>
  <c r="T44" i="5" s="1"/>
  <c r="F44" i="5"/>
  <c r="E44" i="5"/>
  <c r="S45" i="5"/>
  <c r="T45" i="5" s="1"/>
  <c r="E45" i="5"/>
  <c r="F45" i="5"/>
  <c r="S36" i="5"/>
  <c r="T36" i="5" s="1"/>
  <c r="E36" i="5"/>
  <c r="F36" i="5"/>
  <c r="S33" i="5"/>
  <c r="T33" i="5" s="1"/>
  <c r="F33" i="5"/>
  <c r="E33" i="5"/>
  <c r="F32" i="5"/>
  <c r="E32" i="5"/>
  <c r="F42" i="5"/>
  <c r="E42" i="5"/>
  <c r="U31" i="5"/>
  <c r="U30" i="5" s="1"/>
  <c r="F31" i="5"/>
  <c r="E31" i="5"/>
  <c r="L53" i="5"/>
  <c r="G53" i="5"/>
  <c r="O17" i="4"/>
  <c r="O18" i="4"/>
  <c r="P18" i="4"/>
  <c r="S28" i="5"/>
  <c r="T28" i="5" s="1"/>
  <c r="K28" i="5"/>
  <c r="L28" i="5" s="1"/>
  <c r="Q17" i="5"/>
  <c r="M17" i="5"/>
  <c r="K17" i="5"/>
  <c r="O17" i="5"/>
  <c r="I17" i="5"/>
  <c r="F16" i="4"/>
  <c r="G16" i="4" s="1"/>
  <c r="H16" i="4" s="1"/>
  <c r="I16" i="4" s="1"/>
  <c r="J16" i="4" s="1"/>
  <c r="L24" i="3" s="1"/>
  <c r="N36" i="13" s="1"/>
  <c r="K10" i="14" s="1"/>
  <c r="F17" i="4"/>
  <c r="G17" i="4" s="1"/>
  <c r="H17" i="4" s="1"/>
  <c r="I17" i="4" s="1"/>
  <c r="J17" i="4" s="1"/>
  <c r="L25" i="3" s="1"/>
  <c r="N37" i="13" s="1"/>
  <c r="L10" i="14" s="1"/>
  <c r="F18" i="4"/>
  <c r="G18" i="4" s="1"/>
  <c r="O19" i="4"/>
  <c r="M36" i="3"/>
  <c r="X10" i="14" s="1"/>
  <c r="I38" i="5"/>
  <c r="J38" i="5" s="1"/>
  <c r="K35" i="5"/>
  <c r="L35" i="5" s="1"/>
  <c r="M53" i="3"/>
  <c r="AO10" i="14" s="1"/>
  <c r="M50" i="3"/>
  <c r="AK10" i="14" s="1"/>
  <c r="M51" i="3"/>
  <c r="AM10" i="14" s="1"/>
  <c r="M48" i="3"/>
  <c r="AI10" i="14" s="1"/>
  <c r="M49" i="3"/>
  <c r="AJ10" i="14" s="1"/>
  <c r="Q41" i="5"/>
  <c r="R41" i="5" s="1"/>
  <c r="M35" i="5"/>
  <c r="N35" i="5" s="1"/>
  <c r="I41" i="5"/>
  <c r="J41" i="5" s="1"/>
  <c r="O33" i="5"/>
  <c r="P33" i="5" s="1"/>
  <c r="I28" i="5"/>
  <c r="Q37" i="5"/>
  <c r="R37" i="5" s="1"/>
  <c r="O28" i="5"/>
  <c r="P28" i="5" s="1"/>
  <c r="I37" i="5"/>
  <c r="O45" i="5"/>
  <c r="P45" i="5" s="1"/>
  <c r="Q44" i="5"/>
  <c r="R44" i="5" s="1"/>
  <c r="K47" i="5"/>
  <c r="L47" i="5" s="1"/>
  <c r="Q45" i="5"/>
  <c r="R45" i="5" s="1"/>
  <c r="K37" i="5"/>
  <c r="L37" i="5" s="1"/>
  <c r="K38" i="5"/>
  <c r="L38" i="5" s="1"/>
  <c r="K36" i="5"/>
  <c r="L36" i="5" s="1"/>
  <c r="K32" i="5"/>
  <c r="L32" i="5" s="1"/>
  <c r="K44" i="5"/>
  <c r="L44" i="5" s="1"/>
  <c r="Q42" i="5"/>
  <c r="R42" i="5" s="1"/>
  <c r="M47" i="3"/>
  <c r="AH10" i="14" s="1"/>
  <c r="M39" i="3"/>
  <c r="AC10" i="14" s="1"/>
  <c r="M43" i="3"/>
  <c r="AG10" i="14" s="1"/>
  <c r="M37" i="3"/>
  <c r="Y10" i="14" s="1"/>
  <c r="M40" i="3"/>
  <c r="AD10" i="14" s="1"/>
  <c r="M38" i="3"/>
  <c r="Z10" i="14" s="1"/>
  <c r="M42" i="3"/>
  <c r="AF10" i="14" s="1"/>
  <c r="M41" i="3"/>
  <c r="AE10" i="14" s="1"/>
  <c r="I36" i="5"/>
  <c r="J36" i="5" s="1"/>
  <c r="O41" i="5"/>
  <c r="P41" i="5" s="1"/>
  <c r="I45" i="5"/>
  <c r="J45" i="5" s="1"/>
  <c r="Q47" i="5"/>
  <c r="R47" i="5" s="1"/>
  <c r="K33" i="5"/>
  <c r="L33" i="5" s="1"/>
  <c r="G11" i="5"/>
  <c r="O35" i="5"/>
  <c r="P35" i="5" s="1"/>
  <c r="I35" i="5"/>
  <c r="J35" i="5" s="1"/>
  <c r="Q33" i="5"/>
  <c r="R33" i="5" s="1"/>
  <c r="Q28" i="5"/>
  <c r="R28" i="5" s="1"/>
  <c r="O37" i="5"/>
  <c r="P37" i="5" s="1"/>
  <c r="O47" i="5"/>
  <c r="P47" i="5" s="1"/>
  <c r="I47" i="5"/>
  <c r="Q36" i="5"/>
  <c r="R36" i="5" s="1"/>
  <c r="M28" i="5"/>
  <c r="N28" i="5" s="1"/>
  <c r="Q34" i="5"/>
  <c r="R34" i="5" s="1"/>
  <c r="K45" i="5"/>
  <c r="L45" i="5" s="1"/>
  <c r="M36" i="5"/>
  <c r="N36" i="5" s="1"/>
  <c r="O34" i="5"/>
  <c r="P34" i="5" s="1"/>
  <c r="I34" i="5"/>
  <c r="J34" i="5" s="1"/>
  <c r="O38" i="5"/>
  <c r="P38" i="5" s="1"/>
  <c r="O36" i="5"/>
  <c r="P36" i="5" s="1"/>
  <c r="K34" i="5"/>
  <c r="L34" i="5" s="1"/>
  <c r="Q38" i="5"/>
  <c r="R38" i="5" s="1"/>
  <c r="I44" i="5"/>
  <c r="J44" i="5" s="1"/>
  <c r="M38" i="5"/>
  <c r="N38" i="5" s="1"/>
  <c r="O44" i="5"/>
  <c r="P44" i="5" s="1"/>
  <c r="K41" i="5"/>
  <c r="L41" i="5" s="1"/>
  <c r="Q35" i="5"/>
  <c r="R35" i="5" s="1"/>
  <c r="M44" i="5"/>
  <c r="N44" i="5" s="1"/>
  <c r="T41" i="5"/>
  <c r="I33" i="5"/>
  <c r="J33" i="5" s="1"/>
  <c r="M33" i="5"/>
  <c r="N33" i="5" s="1"/>
  <c r="M37" i="5"/>
  <c r="N37" i="5" s="1"/>
  <c r="M41" i="5"/>
  <c r="N41" i="5" s="1"/>
  <c r="M34" i="5"/>
  <c r="N34" i="5" s="1"/>
  <c r="M47" i="5"/>
  <c r="N47" i="5" s="1"/>
  <c r="H11" i="5"/>
  <c r="M45" i="5"/>
  <c r="N45" i="5" s="1"/>
  <c r="D43" i="5"/>
  <c r="O42" i="5"/>
  <c r="P42" i="5" s="1"/>
  <c r="I42" i="5"/>
  <c r="J42" i="5" s="1"/>
  <c r="S42" i="5"/>
  <c r="T42" i="5" s="1"/>
  <c r="M42" i="5"/>
  <c r="N42" i="5" s="1"/>
  <c r="K42" i="5"/>
  <c r="L42" i="5" s="1"/>
  <c r="Q32" i="5"/>
  <c r="I32" i="5"/>
  <c r="D30" i="5"/>
  <c r="M32" i="5"/>
  <c r="N32" i="5" s="1"/>
  <c r="O32" i="5"/>
  <c r="I48" i="13" l="1"/>
  <c r="LL2" i="14" s="1"/>
  <c r="H48" i="13"/>
  <c r="KZ2" i="14" s="1"/>
  <c r="I46" i="13"/>
  <c r="LK2" i="14" s="1"/>
  <c r="H50" i="13"/>
  <c r="LA2" i="14" s="1"/>
  <c r="I50" i="13"/>
  <c r="LM2" i="14" s="1"/>
  <c r="H46" i="13"/>
  <c r="KY2" i="14" s="1"/>
  <c r="K37" i="13"/>
  <c r="AR6" i="14"/>
  <c r="K36" i="13"/>
  <c r="AQ6" i="14"/>
  <c r="CJ6" i="14"/>
  <c r="KA2" i="14"/>
  <c r="CC6" i="14"/>
  <c r="JR2" i="14"/>
  <c r="CE6" i="14"/>
  <c r="JT2" i="14"/>
  <c r="CD6" i="14"/>
  <c r="JS2" i="14"/>
  <c r="CI6" i="14"/>
  <c r="JY2" i="14"/>
  <c r="CH6" i="14"/>
  <c r="JW2" i="14"/>
  <c r="CF6" i="14"/>
  <c r="JU2" i="14"/>
  <c r="BS6" i="14"/>
  <c r="JG2" i="14"/>
  <c r="CA6" i="14"/>
  <c r="JO2" i="14"/>
  <c r="BT6" i="14"/>
  <c r="JH2" i="14"/>
  <c r="CB6" i="14"/>
  <c r="JP2" i="14"/>
  <c r="BX6" i="14"/>
  <c r="JL2" i="14"/>
  <c r="BZ6" i="14"/>
  <c r="JN2" i="14"/>
  <c r="BU6" i="14"/>
  <c r="JI2" i="14"/>
  <c r="BY6" i="14"/>
  <c r="JM2" i="14"/>
  <c r="M54" i="3"/>
  <c r="KB2" i="14" s="1"/>
  <c r="G46" i="5"/>
  <c r="J46" i="5"/>
  <c r="E32" i="4"/>
  <c r="E24" i="4"/>
  <c r="F24" i="4" s="1"/>
  <c r="G24" i="4" s="1"/>
  <c r="E36" i="4"/>
  <c r="I42" i="13"/>
  <c r="LI2" i="14" s="1"/>
  <c r="H42" i="13"/>
  <c r="KW2" i="14" s="1"/>
  <c r="S30" i="5"/>
  <c r="D40" i="5"/>
  <c r="E40" i="5" s="1"/>
  <c r="F43" i="5"/>
  <c r="E43" i="5"/>
  <c r="V31" i="5"/>
  <c r="V30" i="5" s="1"/>
  <c r="V57" i="5" s="1"/>
  <c r="E30" i="5"/>
  <c r="F30" i="5"/>
  <c r="H18" i="4"/>
  <c r="I18" i="4" s="1"/>
  <c r="J18" i="4" s="1"/>
  <c r="L26" i="3" s="1"/>
  <c r="N38" i="13" s="1"/>
  <c r="M10" i="14" s="1"/>
  <c r="D21" i="5"/>
  <c r="GW2" i="14" s="1"/>
  <c r="P20" i="4"/>
  <c r="O20" i="4"/>
  <c r="O21" i="4" s="1"/>
  <c r="D42" i="4" s="1"/>
  <c r="N21" i="4"/>
  <c r="C42" i="4" s="1"/>
  <c r="N30" i="5"/>
  <c r="L30" i="5"/>
  <c r="C34" i="4"/>
  <c r="R42" i="4"/>
  <c r="M44" i="3"/>
  <c r="JQ2" i="14" s="1"/>
  <c r="G37" i="5"/>
  <c r="G47" i="5"/>
  <c r="J47" i="5"/>
  <c r="G28" i="5"/>
  <c r="J37" i="5"/>
  <c r="J28" i="5"/>
  <c r="G33" i="5"/>
  <c r="G38" i="5"/>
  <c r="Q30" i="5"/>
  <c r="K30" i="5"/>
  <c r="G35" i="5"/>
  <c r="G44" i="5"/>
  <c r="O30" i="5"/>
  <c r="G36" i="5"/>
  <c r="I30" i="5"/>
  <c r="G41" i="5"/>
  <c r="T30" i="5"/>
  <c r="R32" i="5"/>
  <c r="R30" i="5" s="1"/>
  <c r="G45" i="5"/>
  <c r="G34" i="5"/>
  <c r="M30" i="5"/>
  <c r="G32" i="5"/>
  <c r="J32" i="5"/>
  <c r="D34" i="4"/>
  <c r="O43" i="5"/>
  <c r="P43" i="5" s="1"/>
  <c r="P40" i="5" s="1"/>
  <c r="M43" i="5"/>
  <c r="N43" i="5" s="1"/>
  <c r="N40" i="5" s="1"/>
  <c r="S43" i="5"/>
  <c r="I43" i="5"/>
  <c r="I40" i="5" s="1"/>
  <c r="Q43" i="5"/>
  <c r="K43" i="5"/>
  <c r="L43" i="5" s="1"/>
  <c r="L40" i="5" s="1"/>
  <c r="G42" i="5"/>
  <c r="P32" i="5"/>
  <c r="P30" i="5" s="1"/>
  <c r="AW10" i="14" l="1"/>
  <c r="V61" i="5"/>
  <c r="P15" i="4"/>
  <c r="P21" i="4" s="1"/>
  <c r="E42" i="4" s="1"/>
  <c r="N42" i="4"/>
  <c r="K38" i="13"/>
  <c r="AS6" i="14"/>
  <c r="J74" i="3"/>
  <c r="F94" i="13"/>
  <c r="O42" i="4"/>
  <c r="F40" i="5"/>
  <c r="E21" i="5"/>
  <c r="F21" i="5"/>
  <c r="D22" i="5"/>
  <c r="GX2" i="14" s="1"/>
  <c r="L22" i="3" a="1"/>
  <c r="L22" i="3" s="1"/>
  <c r="L23" i="3" a="1"/>
  <c r="L23" i="3" s="1"/>
  <c r="N33" i="13" s="1"/>
  <c r="J10" i="14" s="1"/>
  <c r="I21" i="5"/>
  <c r="M21" i="5"/>
  <c r="N21" i="5" s="1"/>
  <c r="Q21" i="5"/>
  <c r="R21" i="5" s="1"/>
  <c r="O21" i="5"/>
  <c r="P21" i="5" s="1"/>
  <c r="K21" i="5"/>
  <c r="L21" i="5" s="1"/>
  <c r="H24" i="4"/>
  <c r="I24" i="4" s="1"/>
  <c r="J24" i="4" s="1"/>
  <c r="L27" i="3" s="1"/>
  <c r="N42" i="13" s="1"/>
  <c r="N10" i="14" s="1"/>
  <c r="D20" i="5"/>
  <c r="GV2" i="14" s="1"/>
  <c r="J30" i="5"/>
  <c r="V42" i="4"/>
  <c r="U42" i="4"/>
  <c r="E34" i="4"/>
  <c r="G30" i="5"/>
  <c r="R43" i="5"/>
  <c r="R40" i="5" s="1"/>
  <c r="Q40" i="5"/>
  <c r="K40" i="5"/>
  <c r="O40" i="5"/>
  <c r="M40" i="5"/>
  <c r="T43" i="5"/>
  <c r="T40" i="5" s="1"/>
  <c r="S40" i="5"/>
  <c r="J43" i="5"/>
  <c r="J40" i="5" s="1"/>
  <c r="G43" i="5"/>
  <c r="G40" i="5" s="1"/>
  <c r="P42" i="4" l="1"/>
  <c r="N32" i="13"/>
  <c r="I10" i="14" s="1"/>
  <c r="J42" i="13"/>
  <c r="AT6" i="14"/>
  <c r="K33" i="13"/>
  <c r="AP6" i="14"/>
  <c r="DB6" i="14"/>
  <c r="MF2" i="14"/>
  <c r="J78" i="3"/>
  <c r="L94" i="13"/>
  <c r="K21" i="3"/>
  <c r="F22" i="5"/>
  <c r="E22" i="5"/>
  <c r="Q20" i="5"/>
  <c r="R20" i="5" s="1"/>
  <c r="E20" i="5"/>
  <c r="F20" i="5"/>
  <c r="D19" i="5"/>
  <c r="GT2" i="14" s="1"/>
  <c r="I22" i="5"/>
  <c r="M22" i="5"/>
  <c r="N22" i="5" s="1"/>
  <c r="Q22" i="5"/>
  <c r="R22" i="5" s="1"/>
  <c r="O22" i="5"/>
  <c r="P22" i="5" s="1"/>
  <c r="K22" i="5"/>
  <c r="L22" i="5" s="1"/>
  <c r="G21" i="5"/>
  <c r="J21" i="5"/>
  <c r="D18" i="5"/>
  <c r="GS2" i="14" s="1"/>
  <c r="D23" i="5"/>
  <c r="HB2" i="14" s="1"/>
  <c r="I20" i="5"/>
  <c r="J20" i="5" s="1"/>
  <c r="K20" i="5"/>
  <c r="L20" i="5" s="1"/>
  <c r="O20" i="5"/>
  <c r="P20" i="5" s="1"/>
  <c r="M20" i="5"/>
  <c r="N20" i="5" s="1"/>
  <c r="C37" i="4"/>
  <c r="T42" i="4"/>
  <c r="W42" i="4"/>
  <c r="K32" i="13" l="1"/>
  <c r="AO6" i="14"/>
  <c r="DF6" i="14"/>
  <c r="MJ2" i="14"/>
  <c r="F19" i="5"/>
  <c r="E19" i="5"/>
  <c r="F23" i="5"/>
  <c r="E23" i="5"/>
  <c r="I18" i="5"/>
  <c r="J18" i="5" s="1"/>
  <c r="E18" i="5"/>
  <c r="F18" i="5"/>
  <c r="Q18" i="5"/>
  <c r="R18" i="5" s="1"/>
  <c r="K18" i="5"/>
  <c r="L18" i="5" s="1"/>
  <c r="O18" i="5"/>
  <c r="P18" i="5" s="1"/>
  <c r="M18" i="5"/>
  <c r="N18" i="5" s="1"/>
  <c r="O19" i="5"/>
  <c r="P19" i="5" s="1"/>
  <c r="Q19" i="5"/>
  <c r="R19" i="5" s="1"/>
  <c r="M19" i="5"/>
  <c r="N19" i="5" s="1"/>
  <c r="I19" i="5"/>
  <c r="K19" i="5"/>
  <c r="L19" i="5" s="1"/>
  <c r="J22" i="5"/>
  <c r="G22" i="5"/>
  <c r="W23" i="5"/>
  <c r="X23" i="5" s="1"/>
  <c r="X57" i="5" s="1"/>
  <c r="I23" i="5"/>
  <c r="G23" i="5" s="1"/>
  <c r="G20" i="5"/>
  <c r="E38" i="4"/>
  <c r="D38" i="4"/>
  <c r="C38" i="4"/>
  <c r="F88" i="13" l="1"/>
  <c r="DC6" i="14" s="1"/>
  <c r="X61" i="5"/>
  <c r="C40" i="4"/>
  <c r="G18" i="5"/>
  <c r="J19" i="5"/>
  <c r="G19" i="5"/>
  <c r="K74" i="3"/>
  <c r="MD2" i="14" l="1"/>
  <c r="F40" i="4"/>
  <c r="K78" i="3"/>
  <c r="L88" i="13"/>
  <c r="J17" i="5"/>
  <c r="J16" i="5" s="1"/>
  <c r="G17" i="5"/>
  <c r="Q42" i="4"/>
  <c r="L17" i="5"/>
  <c r="N17" i="5"/>
  <c r="R17" i="5"/>
  <c r="P17" i="5"/>
  <c r="DG6" i="14" l="1"/>
  <c r="MH2" i="14"/>
  <c r="C70" i="9"/>
  <c r="C74" i="9" s="1"/>
  <c r="C92" i="9" s="1"/>
  <c r="C75" i="9" l="1"/>
  <c r="D67" i="9"/>
  <c r="C104" i="9" l="1"/>
  <c r="B92" i="9"/>
  <c r="N44" i="13"/>
  <c r="J44" i="13" l="1"/>
  <c r="O10" i="14"/>
  <c r="AU6" i="14"/>
  <c r="B93" i="9"/>
  <c r="B95" i="9"/>
  <c r="B96" i="9" s="1"/>
  <c r="B97" i="9" s="1"/>
  <c r="B98" i="9" s="1"/>
  <c r="C98" i="9" s="1"/>
  <c r="E98" i="9" s="1"/>
  <c r="D24" i="5"/>
  <c r="HE2" i="14" s="1"/>
  <c r="C116" i="9"/>
  <c r="B116" i="9" s="1"/>
  <c r="B104" i="9"/>
  <c r="N46" i="13" l="1"/>
  <c r="E24" i="5"/>
  <c r="F24" i="5"/>
  <c r="B105" i="9"/>
  <c r="B107" i="9"/>
  <c r="B108" i="9" s="1"/>
  <c r="B109" i="9" s="1"/>
  <c r="B110" i="9" s="1"/>
  <c r="C110" i="9" s="1"/>
  <c r="E110" i="9" s="1"/>
  <c r="N48" i="13" s="1"/>
  <c r="B117" i="9"/>
  <c r="B119" i="9"/>
  <c r="B120" i="9" s="1"/>
  <c r="B121" i="9" s="1"/>
  <c r="B122" i="9" s="1"/>
  <c r="C122" i="9" s="1"/>
  <c r="E122" i="9" s="1"/>
  <c r="M24" i="5"/>
  <c r="O24" i="5"/>
  <c r="Q24" i="5"/>
  <c r="I24" i="5"/>
  <c r="S24" i="5"/>
  <c r="K24" i="5"/>
  <c r="D25" i="5"/>
  <c r="HF2" i="14" s="1"/>
  <c r="DN10" i="14" l="1"/>
  <c r="DO10" i="14"/>
  <c r="J48" i="13"/>
  <c r="Q10" i="14"/>
  <c r="AW6" i="14"/>
  <c r="L57" i="3" a="1"/>
  <c r="L57" i="3" s="1"/>
  <c r="M58" i="3" s="1"/>
  <c r="CM10" i="14" s="1"/>
  <c r="J46" i="13"/>
  <c r="P10" i="14"/>
  <c r="AV6" i="14"/>
  <c r="N50" i="13"/>
  <c r="E25" i="5"/>
  <c r="F25" i="5"/>
  <c r="P24" i="5"/>
  <c r="K25" i="5"/>
  <c r="L25" i="5" s="1"/>
  <c r="S25" i="5"/>
  <c r="T25" i="5" s="1"/>
  <c r="I25" i="5"/>
  <c r="M25" i="5"/>
  <c r="N25" i="5" s="1"/>
  <c r="O25" i="5"/>
  <c r="P25" i="5" s="1"/>
  <c r="Q25" i="5"/>
  <c r="R25" i="5" s="1"/>
  <c r="N24" i="5"/>
  <c r="D27" i="5"/>
  <c r="HH2" i="14" s="1"/>
  <c r="R24" i="5"/>
  <c r="D26" i="5"/>
  <c r="HG2" i="14" s="1"/>
  <c r="G24" i="5"/>
  <c r="J24" i="5"/>
  <c r="L24" i="5"/>
  <c r="T24" i="5"/>
  <c r="J50" i="13" l="1"/>
  <c r="R10" i="14"/>
  <c r="AX6" i="14"/>
  <c r="CM6" i="14"/>
  <c r="MM2" i="14"/>
  <c r="CO6" i="14"/>
  <c r="MO2" i="14"/>
  <c r="M61" i="3"/>
  <c r="CR10" i="14" s="1"/>
  <c r="F69" i="13"/>
  <c r="F27" i="5"/>
  <c r="E27" i="5"/>
  <c r="E26" i="5"/>
  <c r="F26" i="5"/>
  <c r="K26" i="5"/>
  <c r="S26" i="5"/>
  <c r="I26" i="5"/>
  <c r="M26" i="5"/>
  <c r="O26" i="5"/>
  <c r="Q26" i="5"/>
  <c r="G25" i="5"/>
  <c r="J25" i="5"/>
  <c r="D16" i="5"/>
  <c r="K27" i="5"/>
  <c r="L27" i="5" s="1"/>
  <c r="Q27" i="5"/>
  <c r="R27" i="5" s="1"/>
  <c r="S27" i="5"/>
  <c r="T27" i="5" s="1"/>
  <c r="M27" i="5"/>
  <c r="N27" i="5" s="1"/>
  <c r="I27" i="5"/>
  <c r="O27" i="5"/>
  <c r="P27" i="5" s="1"/>
  <c r="L69" i="13" l="1"/>
  <c r="CL6" i="14"/>
  <c r="CK6" i="14"/>
  <c r="ML2" i="14"/>
  <c r="MK2" i="14"/>
  <c r="CT6" i="14"/>
  <c r="MT2" i="14"/>
  <c r="D49" i="5"/>
  <c r="M49" i="5" s="1"/>
  <c r="N49" i="5" s="1"/>
  <c r="I16" i="5"/>
  <c r="E16" i="5"/>
  <c r="F16" i="5"/>
  <c r="P26" i="5"/>
  <c r="P16" i="5" s="1"/>
  <c r="O16" i="5"/>
  <c r="J26" i="5"/>
  <c r="G26" i="5"/>
  <c r="G27" i="5"/>
  <c r="J27" i="5"/>
  <c r="T26" i="5"/>
  <c r="T16" i="5" s="1"/>
  <c r="S16" i="5"/>
  <c r="L26" i="5"/>
  <c r="L16" i="5" s="1"/>
  <c r="K16" i="5"/>
  <c r="N26" i="5"/>
  <c r="N16" i="5" s="1"/>
  <c r="M16" i="5"/>
  <c r="R26" i="5"/>
  <c r="R16" i="5" s="1"/>
  <c r="Q16" i="5"/>
  <c r="DR10" i="14" l="1"/>
  <c r="DS10" i="14" s="1"/>
  <c r="N52" i="5"/>
  <c r="M52" i="5" s="1"/>
  <c r="M54" i="5" s="1"/>
  <c r="Q49" i="5"/>
  <c r="R49" i="5" s="1"/>
  <c r="R52" i="5" s="1"/>
  <c r="Q52" i="5" s="1"/>
  <c r="Q54" i="5" s="1"/>
  <c r="E49" i="5"/>
  <c r="K49" i="5"/>
  <c r="L49" i="5" s="1"/>
  <c r="L52" i="5" s="1"/>
  <c r="K52" i="5" s="1"/>
  <c r="K54" i="5" s="1"/>
  <c r="S49" i="5"/>
  <c r="T49" i="5" s="1"/>
  <c r="T57" i="5" s="1"/>
  <c r="O49" i="5"/>
  <c r="P49" i="5" s="1"/>
  <c r="P52" i="5" s="1"/>
  <c r="O52" i="5" s="1"/>
  <c r="O54" i="5" s="1"/>
  <c r="I49" i="5"/>
  <c r="J49" i="5" s="1"/>
  <c r="F49" i="5"/>
  <c r="G16" i="5"/>
  <c r="AV10" i="14" l="1"/>
  <c r="T61" i="5"/>
  <c r="G49" i="5"/>
  <c r="I74" i="3"/>
  <c r="F92" i="13"/>
  <c r="G54" i="5"/>
  <c r="D52" i="5"/>
  <c r="D54" i="5" l="1"/>
  <c r="R54" i="5" s="1"/>
  <c r="R57" i="5" s="1"/>
  <c r="AT10" i="14" s="1"/>
  <c r="DA6" i="14"/>
  <c r="ME2" i="14"/>
  <c r="I78" i="3"/>
  <c r="L92" i="13"/>
  <c r="N54" i="5" l="1"/>
  <c r="N57" i="5" s="1"/>
  <c r="AR10" i="14" s="1"/>
  <c r="L66" i="3"/>
  <c r="L54" i="5"/>
  <c r="J59" i="5" s="1"/>
  <c r="F74" i="13" s="1"/>
  <c r="CZ6" i="14" s="1"/>
  <c r="P54" i="5"/>
  <c r="P57" i="5" s="1"/>
  <c r="AS10" i="14" s="1"/>
  <c r="F86" i="13"/>
  <c r="CY6" i="14" s="1"/>
  <c r="DE6" i="14"/>
  <c r="MI2" i="14"/>
  <c r="MC2" i="14" l="1"/>
  <c r="H74" i="3"/>
  <c r="F82" i="13"/>
  <c r="CW6" i="14" s="1"/>
  <c r="AU10" i="14"/>
  <c r="F84" i="13"/>
  <c r="MB2" i="14" s="1"/>
  <c r="K66" i="3"/>
  <c r="L57" i="5"/>
  <c r="I66" i="3" s="1"/>
  <c r="J66" i="3"/>
  <c r="LX2" i="14"/>
  <c r="F80" i="13" l="1"/>
  <c r="LZ2" i="14" s="1"/>
  <c r="J52" i="5"/>
  <c r="J61" i="5" s="1"/>
  <c r="L70" i="3" s="1"/>
  <c r="AQ10" i="14"/>
  <c r="MA2" i="14"/>
  <c r="CX6" i="14"/>
  <c r="CV6" i="14" l="1"/>
  <c r="I52" i="5"/>
  <c r="G52" i="5" s="1"/>
  <c r="J57" i="5"/>
  <c r="AP10" i="14" s="1"/>
  <c r="L78" i="13"/>
  <c r="F78" i="13" l="1"/>
  <c r="CU6" i="14" s="1"/>
  <c r="H66" i="3"/>
  <c r="DD6" i="14"/>
  <c r="MG2" i="14"/>
  <c r="LY2"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Bischoff, Kathrin</author>
    <author>Dietrich, Astrid</author>
  </authors>
  <commentList>
    <comment ref="GG2" authorId="0" shapeId="0" xr:uid="{92BDF598-7D4A-4066-8F74-3EA3D771DDBC}">
      <text>
        <r>
          <rPr>
            <b/>
            <sz val="9"/>
            <color indexed="81"/>
            <rFont val="Segoe UI"/>
            <family val="2"/>
          </rPr>
          <t>Bischoff, Kathrin:</t>
        </r>
        <r>
          <rPr>
            <sz val="9"/>
            <color indexed="81"/>
            <rFont val="Segoe UI"/>
            <family val="2"/>
          </rPr>
          <t xml:space="preserve">
wg. Kalk.</t>
        </r>
      </text>
    </comment>
    <comment ref="HJ2" authorId="0" shapeId="0" xr:uid="{2F1774EA-7D77-4D5A-8AB8-44DA985A5AEE}">
      <text>
        <r>
          <rPr>
            <b/>
            <sz val="9"/>
            <color indexed="81"/>
            <rFont val="Segoe UI"/>
            <family val="2"/>
          </rPr>
          <t>Bischoff, Kathrin:</t>
        </r>
        <r>
          <rPr>
            <sz val="9"/>
            <color indexed="81"/>
            <rFont val="Segoe UI"/>
            <family val="2"/>
          </rPr>
          <t xml:space="preserve">
wg. Kalk.</t>
        </r>
      </text>
    </comment>
    <comment ref="BY9" authorId="1" shapeId="0" xr:uid="{E5031F56-EFE9-471B-A3C0-215718B8E676}">
      <text>
        <r>
          <rPr>
            <b/>
            <sz val="9"/>
            <color indexed="81"/>
            <rFont val="Segoe UI"/>
            <family val="2"/>
          </rPr>
          <t>Dietrich, Astrid:</t>
        </r>
        <r>
          <rPr>
            <sz val="9"/>
            <color indexed="81"/>
            <rFont val="Segoe UI"/>
            <family val="2"/>
          </rPr>
          <t xml:space="preserve">
ja/nein Auswahlfeld
unmitttelbar = direkte Tarifbindung// mittelbar = keine direkte Tarifbindung, LE wendet Tarif maßgeblich an oder regional übliches Entgelt</t>
        </r>
      </text>
    </comment>
    <comment ref="CI9" authorId="1" shapeId="0" xr:uid="{8718E709-093B-48F8-8AF0-DE721B346C58}">
      <text>
        <r>
          <rPr>
            <b/>
            <sz val="9"/>
            <color indexed="81"/>
            <rFont val="Segoe UI"/>
            <family val="2"/>
          </rPr>
          <t xml:space="preserve">inkl. aller Nebenkosten und Zulagen, wie </t>
        </r>
        <r>
          <rPr>
            <sz val="9"/>
            <color indexed="81"/>
            <rFont val="Segoe UI"/>
            <family val="2"/>
          </rPr>
          <t xml:space="preserve">
Besitzstand
sv-pflichtige und 
sv-freie Zuschläge
...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Bischoff, Kathrin</author>
  </authors>
  <commentList>
    <comment ref="B89" authorId="0" shapeId="0" xr:uid="{00000000-0006-0000-0100-000005000000}">
      <text>
        <r>
          <rPr>
            <b/>
            <sz val="9"/>
            <color indexed="81"/>
            <rFont val="Segoe UI"/>
            <family val="2"/>
          </rPr>
          <t>Bischoff, Kathrin:</t>
        </r>
        <r>
          <rPr>
            <sz val="9"/>
            <color indexed="81"/>
            <rFont val="Segoe UI"/>
            <family val="2"/>
          </rPr>
          <t xml:space="preserve">
Mindestlohn bis 30.09.2022 = 10,45 €/h, ab 01.10.2022 = 12 €/h = pauschaler Ansatzb= 12,00 €/h UAG 30.05.2022</t>
        </r>
      </text>
    </comment>
    <comment ref="C92" authorId="0" shapeId="0" xr:uid="{00000000-0006-0000-0100-000006000000}">
      <text>
        <r>
          <rPr>
            <b/>
            <sz val="9"/>
            <color indexed="81"/>
            <rFont val="Segoe UI"/>
            <family val="2"/>
          </rPr>
          <t>Bischoff, Kathrin:</t>
        </r>
        <r>
          <rPr>
            <sz val="9"/>
            <color indexed="81"/>
            <rFont val="Segoe UI"/>
            <family val="2"/>
          </rPr>
          <t xml:space="preserve">
Bezug zu TAB Berechnung</t>
        </r>
      </text>
    </comment>
    <comment ref="C94" authorId="0" shapeId="0" xr:uid="{00000000-0006-0000-0100-000007000000}">
      <text>
        <r>
          <rPr>
            <b/>
            <sz val="9"/>
            <color indexed="81"/>
            <rFont val="Segoe UI"/>
            <family val="2"/>
          </rPr>
          <t>Bischoff, Kathrin:</t>
        </r>
        <r>
          <rPr>
            <sz val="9"/>
            <color indexed="81"/>
            <rFont val="Segoe UI"/>
            <family val="2"/>
          </rPr>
          <t xml:space="preserve">
Bezug zu E94/F94</t>
        </r>
      </text>
    </comment>
    <comment ref="B101" authorId="0" shapeId="0" xr:uid="{00000000-0006-0000-0100-000008000000}">
      <text>
        <r>
          <rPr>
            <b/>
            <sz val="9"/>
            <color indexed="81"/>
            <rFont val="Segoe UI"/>
            <family val="2"/>
          </rPr>
          <t>Bischoff, Kathrin:</t>
        </r>
        <r>
          <rPr>
            <sz val="9"/>
            <color indexed="81"/>
            <rFont val="Segoe UI"/>
            <family val="2"/>
          </rPr>
          <t xml:space="preserve">
Mindestlohn bis 30.09.2022 = 10,45 €/h, ab 01.10.2022 = 12 €/h = pauschaler Ansatzb= 12,00 €/h UAG 30.05.2022</t>
        </r>
      </text>
    </comment>
    <comment ref="C104" authorId="0" shapeId="0" xr:uid="{00000000-0006-0000-0100-000009000000}">
      <text>
        <r>
          <rPr>
            <b/>
            <sz val="9"/>
            <color indexed="81"/>
            <rFont val="Segoe UI"/>
            <family val="2"/>
          </rPr>
          <t>Bischoff, Kathrin:</t>
        </r>
        <r>
          <rPr>
            <sz val="9"/>
            <color indexed="81"/>
            <rFont val="Segoe UI"/>
            <family val="2"/>
          </rPr>
          <t xml:space="preserve">
Bezug zu TAB Berechnung</t>
        </r>
      </text>
    </comment>
    <comment ref="C106" authorId="0" shapeId="0" xr:uid="{00000000-0006-0000-0100-00000A000000}">
      <text>
        <r>
          <rPr>
            <b/>
            <sz val="9"/>
            <color indexed="81"/>
            <rFont val="Segoe UI"/>
            <family val="2"/>
          </rPr>
          <t>Bischoff, Kathrin:</t>
        </r>
        <r>
          <rPr>
            <sz val="9"/>
            <color indexed="81"/>
            <rFont val="Segoe UI"/>
            <family val="2"/>
          </rPr>
          <t xml:space="preserve">
Bezug zu E95/F95</t>
        </r>
      </text>
    </comment>
    <comment ref="B113" authorId="0" shapeId="0" xr:uid="{00000000-0006-0000-0100-00000B000000}">
      <text>
        <r>
          <rPr>
            <b/>
            <sz val="9"/>
            <color indexed="81"/>
            <rFont val="Segoe UI"/>
            <family val="2"/>
          </rPr>
          <t>Bischoff, Kathrin:</t>
        </r>
        <r>
          <rPr>
            <sz val="9"/>
            <color indexed="81"/>
            <rFont val="Segoe UI"/>
            <family val="2"/>
          </rPr>
          <t xml:space="preserve">
Mindestlohn bis 30.09.2022 = 10,45 €/h, ab 01.10.2022 = 12 €/h = pauschaler Ansatzb= 12,00 €/h UAG 30.05.2022</t>
        </r>
      </text>
    </comment>
    <comment ref="C116" authorId="0" shapeId="0" xr:uid="{00000000-0006-0000-0100-00000C000000}">
      <text>
        <r>
          <rPr>
            <b/>
            <sz val="9"/>
            <color indexed="81"/>
            <rFont val="Segoe UI"/>
            <family val="2"/>
          </rPr>
          <t>Bischoff, Kathrin:</t>
        </r>
        <r>
          <rPr>
            <sz val="9"/>
            <color indexed="81"/>
            <rFont val="Segoe UI"/>
            <family val="2"/>
          </rPr>
          <t xml:space="preserve">
Bezug zu TAB Berechnung</t>
        </r>
      </text>
    </comment>
    <comment ref="C118" authorId="0" shapeId="0" xr:uid="{00000000-0006-0000-0100-00000D000000}">
      <text>
        <r>
          <rPr>
            <b/>
            <sz val="9"/>
            <color indexed="81"/>
            <rFont val="Segoe UI"/>
            <family val="2"/>
          </rPr>
          <t>Bischoff, Kathrin:</t>
        </r>
        <r>
          <rPr>
            <sz val="9"/>
            <color indexed="81"/>
            <rFont val="Segoe UI"/>
            <family val="2"/>
          </rPr>
          <t xml:space="preserve">
Bezug zu E96/F96</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<sst xmlns="http://schemas.openxmlformats.org/spreadsheetml/2006/main" count="1810" uniqueCount="1435">
  <si>
    <t>Allgemeine Angaben</t>
  </si>
  <si>
    <t>Art der Einrichtung:</t>
  </si>
  <si>
    <t>Institutionskennzeichen:</t>
  </si>
  <si>
    <t>Allgemeine Angaben zur Pflegeeinrichtung und zum Träger</t>
  </si>
  <si>
    <t>Name der Einrichtung</t>
  </si>
  <si>
    <t>Straße</t>
  </si>
  <si>
    <t>Telefon</t>
  </si>
  <si>
    <t>Fax</t>
  </si>
  <si>
    <t>E-Mail</t>
  </si>
  <si>
    <t>PDL</t>
  </si>
  <si>
    <t>In Trägerschaft von:</t>
  </si>
  <si>
    <t>Name des Trägers</t>
  </si>
  <si>
    <t>Zugehörigkeit zu einer Vereinigung von Trägern von stationären Pflegeeinrichtungen im Land</t>
  </si>
  <si>
    <t>Wenn ja, welche?</t>
  </si>
  <si>
    <t>Hiermit erteilen wir o.g. Vereinigung Verhandlungsmandat</t>
  </si>
  <si>
    <t>Platzzahl der Pflegeeinrichtung entsprechend des Versorgungsvertrages:</t>
  </si>
  <si>
    <t>Pflegeeinrichtungskonzeption Stand:</t>
  </si>
  <si>
    <t>von</t>
  </si>
  <si>
    <t>bis</t>
  </si>
  <si>
    <t>AOK PLUS</t>
  </si>
  <si>
    <t>vdek</t>
  </si>
  <si>
    <t>BKK</t>
  </si>
  <si>
    <t>IKK</t>
  </si>
  <si>
    <t>Knappschaft</t>
  </si>
  <si>
    <t>PKV</t>
  </si>
  <si>
    <t>Sonstige Sozialversicherungsträger</t>
  </si>
  <si>
    <t>jährliche Öffnungstage:</t>
  </si>
  <si>
    <t>Plätze:</t>
  </si>
  <si>
    <t>Wachkoma</t>
  </si>
  <si>
    <t>2.</t>
  </si>
  <si>
    <t>Küche</t>
  </si>
  <si>
    <t>Haustechnik</t>
  </si>
  <si>
    <t>Wäscherei</t>
  </si>
  <si>
    <t>Reinigung</t>
  </si>
  <si>
    <t>2.1</t>
  </si>
  <si>
    <t>Lebensmittel</t>
  </si>
  <si>
    <t>2.2</t>
  </si>
  <si>
    <t>Pflegerischer Bedarf</t>
  </si>
  <si>
    <t>2.3</t>
  </si>
  <si>
    <t>2.6</t>
  </si>
  <si>
    <t>Betreuungsaufwand</t>
  </si>
  <si>
    <t>2.7</t>
  </si>
  <si>
    <t>Wirtschaftsbedarf</t>
  </si>
  <si>
    <t>2.8</t>
  </si>
  <si>
    <t>Steuern/Abgaben/Versicherungen</t>
  </si>
  <si>
    <t>2.9</t>
  </si>
  <si>
    <t>Wartung (keine Instandhaltung)</t>
  </si>
  <si>
    <t>2.10</t>
  </si>
  <si>
    <t>sonstige Aufwendungen</t>
  </si>
  <si>
    <t>Divisor:</t>
  </si>
  <si>
    <t>Pflegegrad 1</t>
  </si>
  <si>
    <t>Pflegegrad 2</t>
  </si>
  <si>
    <t>Pflegegrad 3</t>
  </si>
  <si>
    <t>Pflegegrad 4</t>
  </si>
  <si>
    <t>Pflegegrad 5</t>
  </si>
  <si>
    <t>Hauswirtschaft</t>
  </si>
  <si>
    <t>Pflegegrad 1:</t>
  </si>
  <si>
    <t>Pflegegrad 2:</t>
  </si>
  <si>
    <t>Pflegegrad 3:</t>
  </si>
  <si>
    <t>Pflegegrad 4:</t>
  </si>
  <si>
    <t>Pflegegrad 5:</t>
  </si>
  <si>
    <t>Ort, Datum</t>
  </si>
  <si>
    <t>Gesamtkalkulation</t>
  </si>
  <si>
    <t>GELBER TEIL</t>
  </si>
  <si>
    <t>Gesamtplätze:</t>
  </si>
  <si>
    <t>WIRD AUS-</t>
  </si>
  <si>
    <t>Tage/Monat</t>
  </si>
  <si>
    <t>GEBLENDET</t>
  </si>
  <si>
    <t>Leistungsbetrag § 43 SGB XI (nur vollstationär):</t>
  </si>
  <si>
    <t>Aufwendungen für Leistungen im Pflegegrad 1</t>
  </si>
  <si>
    <t>Aufwendungen für Leistungen im Pflegegrad 2</t>
  </si>
  <si>
    <t>Aufwendungen für Leistungen im Pflegegrad 3</t>
  </si>
  <si>
    <t>Aufwendungen für Leistungen im Pflegegrad 4</t>
  </si>
  <si>
    <t>Aufwendungen für Leistungen im Pflegegrad 5</t>
  </si>
  <si>
    <t>Aufwendungen für die Unterkunft</t>
  </si>
  <si>
    <t>Aufwendungen für die Verpflegung</t>
  </si>
  <si>
    <t>Gesamtaufwendungen</t>
  </si>
  <si>
    <t>Plausi Ges.</t>
  </si>
  <si>
    <t>Gesamt in €</t>
  </si>
  <si>
    <t xml:space="preserve">1. </t>
  </si>
  <si>
    <t>1.3.</t>
  </si>
  <si>
    <t>1.4.</t>
  </si>
  <si>
    <t>1.5.</t>
  </si>
  <si>
    <t>1.6.</t>
  </si>
  <si>
    <t>1.7.</t>
  </si>
  <si>
    <t>Sachaufwendungen</t>
  </si>
  <si>
    <t xml:space="preserve">3. </t>
  </si>
  <si>
    <t>Fremdleistungen / Trägerleistungen</t>
  </si>
  <si>
    <t>Umsatz Leistungsbeträge § 43 SGB XI:</t>
  </si>
  <si>
    <t xml:space="preserve"> Budget Eigenanteil nach Pflegegraden:</t>
  </si>
  <si>
    <t>errechnete Pflegesätze (Tag je Platz):</t>
  </si>
  <si>
    <t>Unterkunft:</t>
  </si>
  <si>
    <t>Verpflegung:</t>
  </si>
  <si>
    <t xml:space="preserve">   (ohne Ausbildungsvergütung nach § 82a SGB XI)</t>
  </si>
  <si>
    <t>1.8.</t>
  </si>
  <si>
    <t>Stellungnahme der Bewohnervertretung gem. § 85 (3) SGB XI</t>
  </si>
  <si>
    <t>Bewohnervertretung</t>
  </si>
  <si>
    <t>a)</t>
  </si>
  <si>
    <t xml:space="preserve">Schriftliche Stellungnahme liegt vor </t>
  </si>
  <si>
    <t>Ja</t>
  </si>
  <si>
    <t>weitere Angaben unter c) oder als Anlage erforderlich</t>
  </si>
  <si>
    <t>Nein</t>
  </si>
  <si>
    <t>weitere Angaben unter b) erforderlich</t>
  </si>
  <si>
    <t>b)</t>
  </si>
  <si>
    <t>Begründung für Nichtvorlage der schriftlichen Stellungnahme</t>
  </si>
  <si>
    <t xml:space="preserve">Gelegenheit zur Stellungnahme wurde eingeräumt, </t>
  </si>
  <si>
    <t>c)</t>
  </si>
  <si>
    <t>Unterschrift des Vorsitzenden der Bewohnervertretung</t>
  </si>
  <si>
    <t>Einrichtungsart</t>
  </si>
  <si>
    <t>Kreuz</t>
  </si>
  <si>
    <t>Öffnungstage</t>
  </si>
  <si>
    <t>Auslastung</t>
  </si>
  <si>
    <t>Ja/Nein</t>
  </si>
  <si>
    <t xml:space="preserve">vollstationäre Pflege </t>
  </si>
  <si>
    <t>x</t>
  </si>
  <si>
    <t>ja</t>
  </si>
  <si>
    <t>4. Generation</t>
  </si>
  <si>
    <t>nein</t>
  </si>
  <si>
    <t>Pflegeeinrichtung:</t>
  </si>
  <si>
    <t>Einrichtungsleitung</t>
  </si>
  <si>
    <t>Web-Adresse</t>
  </si>
  <si>
    <t>bis:</t>
  </si>
  <si>
    <t>ANT am PS</t>
  </si>
  <si>
    <t>Divisor allg</t>
  </si>
  <si>
    <t>§ 43b:</t>
  </si>
  <si>
    <t>Aufwendungen für § 43b</t>
  </si>
  <si>
    <t>Der vorliegende Antrag auf Abschluss einer neuen Pflegesatzvereinbarung, die zu einer Erhöhung der</t>
  </si>
  <si>
    <t>Entgelte für Pflege, Unterkunft, Verpflegung und des einrichtungseinheitlichen Eigenanteils in vollstationären</t>
  </si>
  <si>
    <t xml:space="preserve">Einrichtungen nach § 43 führen kann, wurde uns vom Einrichtungsträger vorgelegt und erläutert. Die dem   </t>
  </si>
  <si>
    <t xml:space="preserve">Antrag zugrunde liegenden Einzelpositionen, der Umlagemaßstab sowie die Antragsbegründung wurden </t>
  </si>
  <si>
    <t>ausführlich dargestellt und auf die Möglichkeit an der Pflegesatzverhandlung teilzunehmen hingewiesen.</t>
  </si>
  <si>
    <t>§ 43b SGB XI:</t>
  </si>
  <si>
    <r>
      <t xml:space="preserve">Aufwendungen für Leistungen im </t>
    </r>
    <r>
      <rPr>
        <b/>
        <sz val="10"/>
        <color theme="1"/>
        <rFont val="Arial"/>
        <family val="2"/>
      </rPr>
      <t>Pflegegrad 1</t>
    </r>
  </si>
  <si>
    <r>
      <t>Aufwendungen für Leistungen im</t>
    </r>
    <r>
      <rPr>
        <b/>
        <sz val="10"/>
        <color theme="1"/>
        <rFont val="Arial"/>
        <family val="2"/>
      </rPr>
      <t xml:space="preserve"> Pflegegrad 2</t>
    </r>
  </si>
  <si>
    <r>
      <t xml:space="preserve">Aufwendungen für Leistungen im </t>
    </r>
    <r>
      <rPr>
        <b/>
        <sz val="10"/>
        <color theme="1"/>
        <rFont val="Arial"/>
        <family val="2"/>
      </rPr>
      <t>Pflegegrad 3</t>
    </r>
  </si>
  <si>
    <r>
      <t xml:space="preserve">Aufwendungen für Leistungen im </t>
    </r>
    <r>
      <rPr>
        <b/>
        <sz val="10"/>
        <color theme="1"/>
        <rFont val="Arial"/>
        <family val="2"/>
      </rPr>
      <t>Pflegegrad 4</t>
    </r>
  </si>
  <si>
    <r>
      <t>Aufwendungen für Leistungen im</t>
    </r>
    <r>
      <rPr>
        <b/>
        <sz val="10"/>
        <color theme="1"/>
        <rFont val="Arial"/>
        <family val="2"/>
      </rPr>
      <t xml:space="preserve"> Pflegegrad 5</t>
    </r>
  </si>
  <si>
    <r>
      <t xml:space="preserve">Aufwendungen für die 
</t>
    </r>
    <r>
      <rPr>
        <b/>
        <sz val="10"/>
        <color theme="1"/>
        <rFont val="Arial"/>
        <family val="2"/>
      </rPr>
      <t>Unterkunft</t>
    </r>
  </si>
  <si>
    <r>
      <t xml:space="preserve">Aufwendungen für die 
</t>
    </r>
    <r>
      <rPr>
        <b/>
        <sz val="10"/>
        <color theme="1"/>
        <rFont val="Arial"/>
        <family val="2"/>
      </rPr>
      <t>Verpflegung</t>
    </r>
  </si>
  <si>
    <r>
      <t xml:space="preserve">Aufwendungen für 
</t>
    </r>
    <r>
      <rPr>
        <b/>
        <sz val="10"/>
        <color theme="1"/>
        <rFont val="Arial"/>
        <family val="2"/>
      </rPr>
      <t>§ 43b</t>
    </r>
  </si>
  <si>
    <t xml:space="preserve">davon Träger der Sozialhilfe in %   </t>
  </si>
  <si>
    <t xml:space="preserve">Parteien der Pflegesatzvereinbarung (gem. § 85 Abs. 2 SGB XI) </t>
  </si>
  <si>
    <t>Anteil in %</t>
  </si>
  <si>
    <t>kalkulatorischer Auslastungsgrad:</t>
  </si>
  <si>
    <t>* Im Sinne der besseren Lesbarkeit wurde stellvertretend für beide Geschlechtsformen durchgehend nur die männliche Form verwendet.</t>
  </si>
  <si>
    <t>(schriftliche Mitteilung des Trägers der Einrichtung an die zuständige Behörde beifügen)</t>
  </si>
  <si>
    <t xml:space="preserve">Adressverzeichnis der Parteien der Pflegesatzvereinbarung
gem. § 85 Abs. 2 SGB XI sowie von Vergütungen nach § 75 SGB XII
</t>
  </si>
  <si>
    <t>AOK PLUS - Die Gesundheitskasse für Sachsen und Thüringen</t>
  </si>
  <si>
    <t>Müllerstraße 41</t>
  </si>
  <si>
    <t>09113 Chemnitz</t>
  </si>
  <si>
    <t>IKK classic</t>
  </si>
  <si>
    <t>Postfach 10 02 51</t>
  </si>
  <si>
    <t>01072 Dresden</t>
  </si>
  <si>
    <t xml:space="preserve">Knappschaft </t>
  </si>
  <si>
    <t>Regionaldirektion Chemnitz</t>
  </si>
  <si>
    <t>Jagdschänkenstraße 50</t>
  </si>
  <si>
    <t>09117 Chemnitz</t>
  </si>
  <si>
    <t>Kommunaler Sozialverband Sachsen</t>
  </si>
  <si>
    <t>Arbeitsgemeinschaft Betriebskrankenkassen</t>
  </si>
  <si>
    <t>BKK-Landesverband Mitte</t>
  </si>
  <si>
    <t>Landesrepräsentanz Sachsen</t>
  </si>
  <si>
    <t>Dr.-Külz-Ring 12</t>
  </si>
  <si>
    <t>01219 Dresden</t>
  </si>
  <si>
    <t>Arbeitsgemeinschaft Ersatzkassen</t>
  </si>
  <si>
    <t>vdek - Landesvertretung Sachsen</t>
  </si>
  <si>
    <t>Glacisstr. 4</t>
  </si>
  <si>
    <t>01099 Dresden</t>
  </si>
  <si>
    <t>DAK-Gesundheit</t>
  </si>
  <si>
    <t>Kaufmännische Krankenkasse - KKH</t>
  </si>
  <si>
    <t>Verband der Privaten Kranken-</t>
  </si>
  <si>
    <t>versicherung e.V.</t>
  </si>
  <si>
    <t>Barmer</t>
  </si>
  <si>
    <t>Handelskrankenkasse (hkk)</t>
  </si>
  <si>
    <t>HEK - Hanseatische Krankenkasse</t>
  </si>
  <si>
    <t>EEA-Divisor</t>
  </si>
  <si>
    <r>
      <t>Freiwillige Dienste, FSJ</t>
    </r>
    <r>
      <rPr>
        <b/>
        <sz val="10"/>
        <color rgb="FFFF0000"/>
        <rFont val="Arial"/>
        <family val="2"/>
      </rPr>
      <t xml:space="preserve"> </t>
    </r>
  </si>
  <si>
    <t>Ansprechpartner/ Funktion</t>
  </si>
  <si>
    <t>Humboldtstraße 18</t>
  </si>
  <si>
    <t>04105 Leipzig</t>
  </si>
  <si>
    <t>vereinbarungen-pflege@ksv-sachsen.de</t>
  </si>
  <si>
    <t>Zelle H53 neue Formel: =WENN(Belegung!E26&gt;0;Gesamtkalkulation!H47*0,96/0,9;J53*0,78) STATT BISHER: =WENN('Allgemeine Angaben'!$L$45&gt;0;Gesamtkalkulation!L47*0,96/0,9;"")</t>
  </si>
  <si>
    <t>Nachrichtliche Angaben zum Zeitpunkt der Antragstellung und nicht Gegenstand dieses Antrages</t>
  </si>
  <si>
    <t>vom:</t>
  </si>
  <si>
    <t>Hauswirtschaft:</t>
  </si>
  <si>
    <t>Küche:</t>
  </si>
  <si>
    <t>Haustechnik:</t>
  </si>
  <si>
    <t>Personalkosten:</t>
  </si>
  <si>
    <t>zusätzliche Betreuung und Aktivierung nach       § 43 b SGB XI:</t>
  </si>
  <si>
    <t>gesamt:</t>
  </si>
  <si>
    <t>Stellen</t>
  </si>
  <si>
    <t>Personalausstattung:</t>
  </si>
  <si>
    <t>Freiwillige Dienste/FSJ Einsatz:</t>
  </si>
  <si>
    <t>pflegerischer Sachbedarf</t>
  </si>
  <si>
    <t>Gesamtsumme:</t>
  </si>
  <si>
    <t>2.1.</t>
  </si>
  <si>
    <t>2.2.</t>
  </si>
  <si>
    <t>2.3.</t>
  </si>
  <si>
    <t>2.4.</t>
  </si>
  <si>
    <t>2.5.</t>
  </si>
  <si>
    <t>2.6.</t>
  </si>
  <si>
    <t>2.7.</t>
  </si>
  <si>
    <t>2.8.</t>
  </si>
  <si>
    <t>Fremdleistungen/ Leistungen des Trägers</t>
  </si>
  <si>
    <t>3.1.</t>
  </si>
  <si>
    <t>3.2.</t>
  </si>
  <si>
    <t>3.3.</t>
  </si>
  <si>
    <t>3.4.</t>
  </si>
  <si>
    <t>3.5.</t>
  </si>
  <si>
    <t>3.6.</t>
  </si>
  <si>
    <t>Unterkunft</t>
  </si>
  <si>
    <t>Vergütungszuschlag für:</t>
  </si>
  <si>
    <t>Datum</t>
  </si>
  <si>
    <t>Eigenanteil:</t>
  </si>
  <si>
    <t>Laufzeit:</t>
  </si>
  <si>
    <t>Wasser/ Energie/ Brennstoffe</t>
  </si>
  <si>
    <t>Steuern/ Abgaben/ Versicherungen</t>
  </si>
  <si>
    <r>
      <rPr>
        <sz val="10"/>
        <color theme="1"/>
        <rFont val="Arial"/>
        <family val="2"/>
      </rPr>
      <t>Wartung</t>
    </r>
    <r>
      <rPr>
        <sz val="9"/>
        <color theme="1"/>
        <rFont val="Arial"/>
        <family val="2"/>
      </rPr>
      <t xml:space="preserve"> (keine Instandhaltung)</t>
    </r>
  </si>
  <si>
    <t>Küche (ohne Pkt. 2.1)</t>
  </si>
  <si>
    <t>Plätze von</t>
  </si>
  <si>
    <t>Plätze bis</t>
  </si>
  <si>
    <t>VK</t>
  </si>
  <si>
    <t>VK PDL für PE</t>
  </si>
  <si>
    <t xml:space="preserve"> &lt; 151</t>
  </si>
  <si>
    <t>PDL/stellv. PDL</t>
  </si>
  <si>
    <t>Summe:</t>
  </si>
  <si>
    <t>Wäschekennzeichnung</t>
  </si>
  <si>
    <t>Kalkulation</t>
  </si>
  <si>
    <t>Antrag vom:</t>
  </si>
  <si>
    <t>Funktionsbereich</t>
  </si>
  <si>
    <t>regional übliches Entgeltniveau</t>
  </si>
  <si>
    <t>gesteigert bis max. 10%</t>
  </si>
  <si>
    <t>inkl. variable pflegetypische Zuschläge</t>
  </si>
  <si>
    <t>zusätzliche Betreuung</t>
  </si>
  <si>
    <t>Einrichtung:</t>
  </si>
  <si>
    <t>PLZ Ort:</t>
  </si>
  <si>
    <r>
      <t>Pflege-/Betreuungs</t>
    </r>
    <r>
      <rPr>
        <sz val="11"/>
        <color theme="1"/>
        <rFont val="Arial"/>
        <family val="2"/>
      </rPr>
      <t xml:space="preserve">fachkraft, </t>
    </r>
    <r>
      <rPr>
        <sz val="9"/>
        <color theme="1"/>
        <rFont val="Arial"/>
        <family val="2"/>
      </rPr>
      <t>mind.3 Jahre Berufsausbildung</t>
    </r>
  </si>
  <si>
    <r>
      <t>Pflege-/Betreuungs</t>
    </r>
    <r>
      <rPr>
        <sz val="11"/>
        <color theme="1"/>
        <rFont val="Arial"/>
        <family val="2"/>
      </rPr>
      <t xml:space="preserve">hilfskraft, </t>
    </r>
    <r>
      <rPr>
        <sz val="9"/>
        <color theme="1"/>
        <rFont val="Arial"/>
        <family val="2"/>
      </rPr>
      <t>mind. 1 Jahr Berufsausbildung</t>
    </r>
  </si>
  <si>
    <r>
      <t>Pflege-/Betreuungs</t>
    </r>
    <r>
      <rPr>
        <sz val="11"/>
        <color theme="1"/>
        <rFont val="Arial"/>
        <family val="2"/>
      </rPr>
      <t xml:space="preserve">hilfskraft, </t>
    </r>
    <r>
      <rPr>
        <sz val="9"/>
        <color theme="1"/>
        <rFont val="Arial"/>
        <family val="2"/>
      </rPr>
      <t>ohne mind. 1 Jahr Berufsausbildung</t>
    </r>
  </si>
  <si>
    <t>Trägerdaten</t>
  </si>
  <si>
    <t xml:space="preserve">bis: </t>
  </si>
  <si>
    <t>sv-freie Zuschläge</t>
  </si>
  <si>
    <t>zusätzliche Betreung § 43 b SGB XI</t>
  </si>
  <si>
    <t>vst./KZP</t>
  </si>
  <si>
    <t xml:space="preserve"> inkl. SV-Beiträge</t>
  </si>
  <si>
    <t>inkl. PNK</t>
  </si>
  <si>
    <t>Pflegeeinrichtung</t>
  </si>
  <si>
    <t>Personalaufwendungen</t>
  </si>
  <si>
    <t>Berechnung</t>
  </si>
  <si>
    <t xml:space="preserve">Träger der Einrichtung </t>
  </si>
  <si>
    <t>Institutionskennzeichen (IK):</t>
  </si>
  <si>
    <t xml:space="preserve"> inkl. Zuschlag nach § 32 RV</t>
  </si>
  <si>
    <t>Gesamt § 43 b SGB XI:</t>
  </si>
  <si>
    <t>SV-Beiträge</t>
  </si>
  <si>
    <t xml:space="preserve"> (in%)</t>
  </si>
  <si>
    <t>Gesamt</t>
  </si>
  <si>
    <t>AG</t>
  </si>
  <si>
    <t>AN</t>
  </si>
  <si>
    <t>KV</t>
  </si>
  <si>
    <t>RV</t>
  </si>
  <si>
    <t>AV</t>
  </si>
  <si>
    <t>PV* mit Kd.</t>
  </si>
  <si>
    <t>Gesamt *</t>
  </si>
  <si>
    <t>U2</t>
  </si>
  <si>
    <t>100% Erstatt.</t>
  </si>
  <si>
    <t>Gesamt *+U2+Insolvenzgeld</t>
  </si>
  <si>
    <t xml:space="preserve">U1 </t>
  </si>
  <si>
    <t>50% Erstatt.</t>
  </si>
  <si>
    <t>Insolvenzgeld</t>
  </si>
  <si>
    <t>Gesamt *+U1+U2+Insolvenzgeld</t>
  </si>
  <si>
    <t>PK/BK</t>
  </si>
  <si>
    <t>PK/BK o.</t>
  </si>
  <si>
    <t>PFK/BFK</t>
  </si>
  <si>
    <t xml:space="preserve"> mind. 3 Jahre Berufsausbildung</t>
  </si>
  <si>
    <t xml:space="preserve"> mind. 1 Jahr Berufsausbildung</t>
  </si>
  <si>
    <t xml:space="preserve"> mind. ohne 1 Jahr Berufsausbildung</t>
  </si>
  <si>
    <t>fixe, regelm. Entlohnung je VK</t>
  </si>
  <si>
    <t>mtl. Arbeitszeit (40 h/Woche)</t>
  </si>
  <si>
    <t>VK alle Beschäftigungsgruppen</t>
  </si>
  <si>
    <t xml:space="preserve">Anteil je Beschäftigungsgruppe </t>
  </si>
  <si>
    <t>einrichtungsindividuelles Entgeltniveau</t>
  </si>
  <si>
    <t>Gesamtbruttopersonalkosten je Jahr</t>
  </si>
  <si>
    <t>Hilfsspalten</t>
  </si>
  <si>
    <t>Register</t>
  </si>
  <si>
    <t>zusätzliche Betreuung - Personalkosten gesamt:</t>
  </si>
  <si>
    <t xml:space="preserve">arbeitszeitnormierter Std.lohn </t>
  </si>
  <si>
    <t>Ausbildungsbetrieb und/oder Praktikumsbetrieb nach dem Pflegeberufegesetz</t>
  </si>
  <si>
    <t>SPERREN UND AUSBLENDEN</t>
  </si>
  <si>
    <t>letzter Vereinbarungszeitraum:</t>
  </si>
  <si>
    <t>Forderung:</t>
  </si>
  <si>
    <t>Verhandelte Kostenkalkulation der letzten Pflegesatzvereinbarung:</t>
  </si>
  <si>
    <t>Sachkosten</t>
  </si>
  <si>
    <t>Fremdleistung</t>
  </si>
  <si>
    <t>max</t>
  </si>
  <si>
    <t>Begründungen für:</t>
  </si>
  <si>
    <t xml:space="preserve"> - Sachkostensteigerungen -</t>
  </si>
  <si>
    <t xml:space="preserve"> - Fremdleistungen -</t>
  </si>
  <si>
    <t>Stundenlohn:</t>
  </si>
  <si>
    <t>Jahresbruttostunden</t>
  </si>
  <si>
    <t>40 Std./Wo</t>
  </si>
  <si>
    <t>Jahresbruttolohn:</t>
  </si>
  <si>
    <t>Arbeitgeberanteile:</t>
  </si>
  <si>
    <t>Zwischensumme:</t>
  </si>
  <si>
    <t>sofern keine Zuschläge</t>
  </si>
  <si>
    <t>Zuschläge:</t>
  </si>
  <si>
    <t>sofern keine fest vereinbarten Sonderzahlungen</t>
  </si>
  <si>
    <t>13. Monatsgehalt**:</t>
  </si>
  <si>
    <t>HW</t>
  </si>
  <si>
    <t>Kü</t>
  </si>
  <si>
    <t>HAT</t>
  </si>
  <si>
    <t>inkl. 2% PNK + 2% UR:</t>
  </si>
  <si>
    <t>&lt;</t>
  </si>
  <si>
    <t>max. bis</t>
  </si>
  <si>
    <t xml:space="preserve">Steigerungsraten </t>
  </si>
  <si>
    <t>LuV</t>
  </si>
  <si>
    <t>B1 - Grundsatz:</t>
  </si>
  <si>
    <t xml:space="preserve">    =&gt; sonstige Stellen = pauschale Steigerung der bisher geeinten PK um x%</t>
  </si>
  <si>
    <t xml:space="preserve">    =&gt; für Leitung/Verwaltung, HW, Kü, HAT = pauschale Steigerung der bisher geeinten PK um x% aber mindestens um x% auf den Mindestlohn</t>
  </si>
  <si>
    <t>Die Berechnungen gehen immer von der korrekten Erfassung und der Wiedergabe der geeinten Werte vom Ergebnisblatt aus!</t>
  </si>
  <si>
    <t>Berechnung der progn. PK auf Basis der geeinten PK</t>
  </si>
  <si>
    <t xml:space="preserve">          bisher geeinten Personalkosten        =&gt; </t>
  </si>
  <si>
    <t>pauschale Herleitung der Prognose</t>
  </si>
  <si>
    <t>unter Mindestlohn                     =&gt;</t>
  </si>
  <si>
    <t>Mindestlohn +x %</t>
  </si>
  <si>
    <t>geeint + x%</t>
  </si>
  <si>
    <t>Herleitung der Personalkosten</t>
  </si>
  <si>
    <t xml:space="preserve">                         =&gt;</t>
  </si>
  <si>
    <t>unter  Mindestlohn                 =&gt;</t>
  </si>
  <si>
    <t>über Mindestlohn                   =&gt;</t>
  </si>
  <si>
    <t>Die Belegung, die PR für Pflege, Betreuung und sonstige Mitarbeiter, die FKQ Pflege sind für die Prognose veränderbar im Rahmen der Wirtschaftlichkeit und der rahmenvertraglichen Vorgaben. Die restliche Personalausstattung bleibt unverändert. Die Sachkosten, die Fremdleistungen sowie die Beförderungsvergütungen werden auf Basis der geeinten Werte prognostisch um x% gesteigert. Die Personalkosten werden für Mitarbeiter Pflege/Betreuung nach GVWG umgestellt. Die Personalkosten in den Funktionsbereichen LuV, HW, Kü, HAT werden auf Basis der geeinten Personalkosten um x% gesteigert aber mindestens um x% auf den Mindestlohn</t>
  </si>
  <si>
    <t>pflegesatzverhandlungen_sachsen@plus.aok.de</t>
  </si>
  <si>
    <t>% Ansatz für sv-freie Zuschläge für:</t>
  </si>
  <si>
    <t>LuV/HW/Kü, HAT - kein Veto in AG VM 08.06.2022</t>
  </si>
  <si>
    <t>Pflege/ Betreuung, zusätzliche Betreuung entspr. PSK Beschluss 19.05.2022</t>
  </si>
  <si>
    <t>ERGEBNIS</t>
  </si>
  <si>
    <t>Vereinbarungszeitraum prospektiv:</t>
  </si>
  <si>
    <t>Datum der 
Änderung</t>
  </si>
  <si>
    <t>Tabellenblatt</t>
  </si>
  <si>
    <t>Zeile/Spalte</t>
  </si>
  <si>
    <t>Erläuterung der Änderung</t>
  </si>
  <si>
    <t>Hinweise für die Anwender</t>
  </si>
  <si>
    <t>Heidestraße 40</t>
  </si>
  <si>
    <t>10557 Berlin</t>
  </si>
  <si>
    <t>€/Tag</t>
  </si>
  <si>
    <t>handelnd für alle Kostenträger (Datum, Unterschrift)</t>
  </si>
  <si>
    <t>Zulassungsdatum der Pflegeeinrichtung:</t>
  </si>
  <si>
    <t>Angebot gesundheitliche Versorgungsplanung in der letzten Lebensphase (§132g SGB V)</t>
  </si>
  <si>
    <t>solitär</t>
  </si>
  <si>
    <t>angebunden</t>
  </si>
  <si>
    <t>Einrichtungsformen -Steigerung PK</t>
  </si>
  <si>
    <t>Einrichtungsformen - sv-freie Zuschläge</t>
  </si>
  <si>
    <t xml:space="preserve"> </t>
  </si>
  <si>
    <t>Entgeltniveau inkl. variabler pflegetypischer Zuschläge pro Jahr/VK</t>
  </si>
  <si>
    <t>verguetung-pflege.sac@vdek.com</t>
  </si>
  <si>
    <t>BARMER</t>
  </si>
  <si>
    <t>Landesvertretung Sachsen</t>
  </si>
  <si>
    <t>Postfach 12 03 65</t>
  </si>
  <si>
    <t>01004 Dresden</t>
  </si>
  <si>
    <t>Mitglieder:</t>
  </si>
  <si>
    <t>Techniker Krankenkasse</t>
  </si>
  <si>
    <t xml:space="preserve">Entscheidung UAG und Kostenträger 21.11.2024 (Pflege,Betreuung,43b, HW,Kü;HAT) für vst./KZP - LuV bleibt - bei TP bleiben alle Werte </t>
  </si>
  <si>
    <t>STD_VG_PFK</t>
  </si>
  <si>
    <t>STD_VH_PHK_mit ausbildung</t>
  </si>
  <si>
    <t>STD_VG_PHK_ohne Ausbildung</t>
  </si>
  <si>
    <t>STD_VG_einr. ind. Egniveau</t>
  </si>
  <si>
    <t>VK_PFK</t>
  </si>
  <si>
    <t>VK_PHK_mit ausbildung</t>
  </si>
  <si>
    <t>VK_PHK_ohne Ausbildung</t>
  </si>
  <si>
    <t>GES_VG_PFK</t>
  </si>
  <si>
    <t>GES_VG_PHK_mit Ausbildung</t>
  </si>
  <si>
    <t>GES_VG_PHK_ohne Ausbildung</t>
  </si>
  <si>
    <t xml:space="preserve">Hinweisfelder hervorheben </t>
  </si>
  <si>
    <t>Felder mit Hinweisen und Fehlermeldungen werden blau (="ja") bzw. weiß (="nein") hinterlegt</t>
  </si>
  <si>
    <t>unmittelbare Bindung Tarif / AVR:</t>
  </si>
  <si>
    <t>Welcher Tarif / AVR:</t>
  </si>
  <si>
    <t>Fassung vom:</t>
  </si>
  <si>
    <t>Entlohnung nach:</t>
  </si>
  <si>
    <t>rüE</t>
  </si>
  <si>
    <t>PFK/BFK                § 113 c Abs. 1 SGB XI je 1 Heimbewo.</t>
  </si>
  <si>
    <t>PK/BK            § 113 c Abs. 1 SGB XI je Heimbewo.</t>
  </si>
  <si>
    <t>PK/BK o.            § 113 c Abs. 1 SGB XI je Heimbewo.</t>
  </si>
  <si>
    <t xml:space="preserve">Herleitung der Verteilungsschlüssel (%) für Personalkosten der Pflege/Betreuung in den PG </t>
  </si>
  <si>
    <r>
      <rPr>
        <b/>
        <sz val="10"/>
        <color theme="1"/>
        <rFont val="Arial"/>
        <family val="2"/>
      </rPr>
      <t xml:space="preserve">Abstand PG 1 zu PG 2  </t>
    </r>
    <r>
      <rPr>
        <sz val="10"/>
        <color theme="1"/>
        <rFont val="Arial"/>
        <family val="2"/>
      </rPr>
      <t xml:space="preserve"> </t>
    </r>
    <r>
      <rPr>
        <sz val="10"/>
        <color theme="3"/>
        <rFont val="Arial"/>
        <family val="2"/>
      </rPr>
      <t xml:space="preserve"> (für Ableitung Pflegesatz PG 1 bei Nullbelegung in PG 1)</t>
    </r>
  </si>
  <si>
    <t>Belegung - Prognose</t>
  </si>
  <si>
    <t>PFK/BFK                § 113 c Abs. 1 SGB XI lt. Belegungs-prognose</t>
  </si>
  <si>
    <t>PK/BK            § 113 c Abs. 1 SGB XI lt. Belegungs-prognose</t>
  </si>
  <si>
    <t>PK/BK o.            § 113 c Abs. 1 SGB XI lt. Belegungs-prognose</t>
  </si>
  <si>
    <r>
      <rPr>
        <b/>
        <sz val="10"/>
        <color theme="1"/>
        <rFont val="Arial"/>
        <family val="2"/>
      </rPr>
      <t>Summe § 113 c Abs. 1 SGB XI lt. Belegungs-prognose</t>
    </r>
    <r>
      <rPr>
        <sz val="10"/>
        <color theme="1"/>
        <rFont val="Arial"/>
        <family val="2"/>
      </rPr>
      <t xml:space="preserve"> </t>
    </r>
    <r>
      <rPr>
        <b/>
        <sz val="10"/>
        <color rgb="FFFF0000"/>
        <rFont val="Arial"/>
        <family val="2"/>
      </rPr>
      <t>=</t>
    </r>
    <r>
      <rPr>
        <sz val="10"/>
        <color rgb="FFFF0000"/>
        <rFont val="Arial"/>
        <family val="2"/>
      </rPr>
      <t xml:space="preserve"> </t>
    </r>
    <r>
      <rPr>
        <b/>
        <sz val="10"/>
        <color rgb="FFFF0000"/>
        <rFont val="Arial"/>
        <family val="2"/>
      </rPr>
      <t>Basis für Verteilung</t>
    </r>
  </si>
  <si>
    <t>Pflege / Betreuung</t>
  </si>
  <si>
    <t xml:space="preserve"> Prognose in %</t>
  </si>
  <si>
    <t>Summe § 113 c Abs. 1 SGB XI</t>
  </si>
  <si>
    <t>Verhältnis PG 1 zu PG 2</t>
  </si>
  <si>
    <t>Verwaltungsbudget</t>
  </si>
  <si>
    <t>Berücksichtigungsfähiges Gesamtbudget vor Verwaltungsleistungen</t>
  </si>
  <si>
    <t>4.</t>
  </si>
  <si>
    <t xml:space="preserve">Prozentsatz </t>
  </si>
  <si>
    <t>Budgetaufschlag</t>
  </si>
  <si>
    <t>Verwaltungsbudget (inkl. Budgetaufschlag)</t>
  </si>
  <si>
    <t>Budget Leitung und Verwaltung (Beschluss PSK vom 12.03.2026)</t>
  </si>
  <si>
    <t>Einrichtungsleitung (max. Stellenanteil)</t>
  </si>
  <si>
    <t>VK für PE</t>
  </si>
  <si>
    <t>Pflegegrad 1 - 5:</t>
  </si>
  <si>
    <t>1.1.1.</t>
  </si>
  <si>
    <t>1.1.2.</t>
  </si>
  <si>
    <t>1.1.3.</t>
  </si>
  <si>
    <t>1.2.1.</t>
  </si>
  <si>
    <t>1.2.2.</t>
  </si>
  <si>
    <t>1.2.3.</t>
  </si>
  <si>
    <t>rüE Pflege- und Betreuungskräfte mit mind. einjähriger berufsausbildung</t>
  </si>
  <si>
    <t>rüE Pflege- und Betreuungskräfte ohne mind. einjähriger berufsausbildung</t>
  </si>
  <si>
    <t>rüE Pflege- und Betreuungsfachkräfte mit mind. dreijähriger Berufsausbildung</t>
  </si>
  <si>
    <t>keine Pflege</t>
  </si>
  <si>
    <t>Qualifikation</t>
  </si>
  <si>
    <t>Pauschalen</t>
  </si>
  <si>
    <t>Anteil Verwaltungsbudget</t>
  </si>
  <si>
    <t>PK je VK Leitung unausgeschöpfte Stellenanteile</t>
  </si>
  <si>
    <t>Zusätzliche Betreuung und Aktivierung nach § 43b SGB XI</t>
  </si>
  <si>
    <t>Prognose in VK</t>
  </si>
  <si>
    <t>Personalkosten in €/VK</t>
  </si>
  <si>
    <t>Personalkosten gesamt:</t>
  </si>
  <si>
    <t>Pflge &amp; Betreuung - Personalkosten gesamt.</t>
  </si>
  <si>
    <t>QM &amp; HM - Personalkosten gesamt</t>
  </si>
  <si>
    <t>errechnete Aufwendungen nach Pflegegrad 2 bis 5:</t>
  </si>
  <si>
    <t>Wohnpflegeheim</t>
  </si>
  <si>
    <t>Qualitätsmanagement</t>
  </si>
  <si>
    <t>Hygienemanagement</t>
  </si>
  <si>
    <t>Gesamtdokument</t>
  </si>
  <si>
    <t>Neugestaltung der Antragsunterlagen auf Basis des bisherigen Antrages B1</t>
  </si>
  <si>
    <t>Belegung gesamt:</t>
  </si>
  <si>
    <t>PLZ</t>
  </si>
  <si>
    <t>Ort</t>
  </si>
  <si>
    <t xml:space="preserve">Pflege- / Betreuungsfachkräfte mit mind. dreijähriger Berufsausbildung (§ 113 c Abs. 1 Nr. 3 SGB XI) </t>
  </si>
  <si>
    <t>Pflege- / Betreuungskräfte mit mind. einjähriger Berufsausbildung  (§ 113 c Abs. 1 Nr. 2 SGB XI)</t>
  </si>
  <si>
    <t>Pflege- / Betreuungskräfte ohne mind. einjährige Berufsausbildung (§ 113 c Abs. 1 Nr. 1 SGB XI)</t>
  </si>
  <si>
    <t>PDL / stellvertretende PDL</t>
  </si>
  <si>
    <t>Regional übliches Entgelt / allgemeiner Mindestlohn</t>
  </si>
  <si>
    <t>allgemeiner Mindestlohn</t>
  </si>
  <si>
    <t>Steigerungsrate</t>
  </si>
  <si>
    <t>bisher bereits vereinbart</t>
  </si>
  <si>
    <t>wie QN 1-2</t>
  </si>
  <si>
    <t>wie QN 3</t>
  </si>
  <si>
    <t>wie QN 4</t>
  </si>
  <si>
    <t>Ansatz PK (max. einer der Werte beträgt 1)</t>
  </si>
  <si>
    <t>wie bisher + x%</t>
  </si>
  <si>
    <t>pflegeverhandlungen-sachsen@ikk-classic.de</t>
  </si>
  <si>
    <t>vertrag.chemnitz@kbs.de</t>
  </si>
  <si>
    <t>Pflege-SN@bkkmitte.de</t>
  </si>
  <si>
    <t>und</t>
  </si>
  <si>
    <t>pflege@pkv.de</t>
  </si>
  <si>
    <t xml:space="preserve">pflegesatzverhandlungen_sachsen@barmer.de </t>
  </si>
  <si>
    <t>Neberechnung Personalkosten QM &amp; HM (0 = nein; 1 = ja)</t>
  </si>
  <si>
    <t>Pflege/ Betreuung</t>
  </si>
  <si>
    <t>Wasser, Energie, Brennstoffe</t>
  </si>
  <si>
    <t>Freiwillige Dienste/FSJ Einsatz</t>
  </si>
  <si>
    <t>Freiwillige Dienste/ FSJ Einsatz</t>
  </si>
  <si>
    <t>Anteilswert / Personalrelation</t>
  </si>
  <si>
    <t>davon vollstationär</t>
  </si>
  <si>
    <t>davon Kurzzeitpflege</t>
  </si>
  <si>
    <t>Geschäftsbereich Gesundheitspartner</t>
  </si>
  <si>
    <t>Bereich Pflege/HKP</t>
  </si>
  <si>
    <t>Fachbereich Vertrags- und Qualitätsmanagement SAC</t>
  </si>
  <si>
    <t>VK-Umfang für Sonderfunktionen entsprechend RVT</t>
  </si>
  <si>
    <t>PDL/ stellv. PDL</t>
  </si>
  <si>
    <t xml:space="preserve">PK/BK </t>
  </si>
  <si>
    <t>Mindestpersonalausstattung Pflege und Betreuung entsprechend RVT</t>
  </si>
  <si>
    <t>Prüfwert QN 1-3</t>
  </si>
  <si>
    <t xml:space="preserve">Erläuterung der Änderungen gegenüber der Vorversion (Änderungshistorie ab 18.06.2026) </t>
  </si>
  <si>
    <t>IK KZP:</t>
  </si>
  <si>
    <t>davon Platzzahl der Kurzzeitpflege gemäß § 1 Abs. 7 Rahmenvertrag Kurzzeitpflege</t>
  </si>
  <si>
    <t>Pflege und Betreuung ohne Sonderfunktionen</t>
  </si>
  <si>
    <t>davon Belegung KZP:</t>
  </si>
  <si>
    <t>Vergütungszuschlag KZP für:</t>
  </si>
  <si>
    <t>Pflegegrad 1 bis 5</t>
  </si>
  <si>
    <t>einrichtungsindividueller Eigenanteil:</t>
  </si>
  <si>
    <t>§ 43 b SGB XI</t>
  </si>
  <si>
    <t>$ 43 b SGB XI</t>
  </si>
  <si>
    <t>€ gesamt</t>
  </si>
  <si>
    <t>€/VK bzw. €/Stelle</t>
  </si>
  <si>
    <t>Pflege&amp;Betreuung</t>
  </si>
  <si>
    <t>gültig ab 01.01.2027</t>
  </si>
  <si>
    <t>Im Antrag:</t>
  </si>
  <si>
    <t>zusätzliche Betreuung und Aktivierung nach 
§ 43 b SGB XI</t>
  </si>
  <si>
    <t>Personelle Ausstattung / Personalkosten der Pflegeeinrichtung:</t>
  </si>
  <si>
    <t>Sonderfunktionen (gemäß Rahmenvertrag)</t>
  </si>
  <si>
    <t>Vollkräfte</t>
  </si>
  <si>
    <t>gesamt</t>
  </si>
  <si>
    <t>davon Vollkräfte</t>
  </si>
  <si>
    <t>Personal-relation</t>
  </si>
  <si>
    <t>für vollstationäre Pflege-einrichtungen</t>
  </si>
  <si>
    <t>Anteil in Bezug zu max. Werten nach § 113 c Abs. 1     SGB XI</t>
  </si>
  <si>
    <r>
      <t xml:space="preserve">Pflege- / Betreuungsfachkräfte mit mind. dreijähriger Berufsausbildung </t>
    </r>
    <r>
      <rPr>
        <sz val="10"/>
        <color theme="3"/>
        <rFont val="Arial"/>
        <family val="2"/>
      </rPr>
      <t>(§ 113 c Abs. 1 Nr. 3 SGB XI)</t>
    </r>
  </si>
  <si>
    <r>
      <t xml:space="preserve">Pflege-- / Betreuungskräfte mit mind. einjähriger Berufsausbildung </t>
    </r>
    <r>
      <rPr>
        <sz val="10"/>
        <color theme="3"/>
        <rFont val="Arial"/>
        <family val="2"/>
      </rPr>
      <t>(§ 113 c Abs. 1 Nr. 2 SGB XI)</t>
    </r>
  </si>
  <si>
    <r>
      <t>Pflege- / Betreuungskräfte ohne mind. einjährige Berufsausbildung</t>
    </r>
    <r>
      <rPr>
        <sz val="10"/>
        <color theme="3"/>
        <rFont val="Arial"/>
        <family val="2"/>
      </rPr>
      <t xml:space="preserve"> (§113 c Abs. 1 Nr. 1 SGB XI)</t>
    </r>
  </si>
  <si>
    <t>Gesamt:</t>
  </si>
  <si>
    <t xml:space="preserve"> 1:</t>
  </si>
  <si>
    <t>Einsatzstellen Freiwillige Dienste / FSJ</t>
  </si>
  <si>
    <t>Anzahl:</t>
  </si>
  <si>
    <t>Kosten je Stelle</t>
  </si>
  <si>
    <t>2.1. Lebensmittel</t>
  </si>
  <si>
    <t>2.2. pflegerischer Sachbedarf</t>
  </si>
  <si>
    <t>2.3. Wasser, Energie, Brennstoffe</t>
  </si>
  <si>
    <t>2.4. Betreuungsaufwand</t>
  </si>
  <si>
    <t>2.5. Wirtschaftsbedarf</t>
  </si>
  <si>
    <t>2.6. Steuern/Abgaben/Versicherungen</t>
  </si>
  <si>
    <t>2.7. Wartung (keine Instandhaltung)</t>
  </si>
  <si>
    <t>2.8. sonstige Aufwendungen</t>
  </si>
  <si>
    <t>3.1. Küche</t>
  </si>
  <si>
    <t>3.2. Wäscherei</t>
  </si>
  <si>
    <t>3.3. Wäschekennzeichnung</t>
  </si>
  <si>
    <t>3.4. Reinigung</t>
  </si>
  <si>
    <t>3.5. Haustechnik</t>
  </si>
  <si>
    <t xml:space="preserve">Einrichtungseinheitlicher Eigenanteil, Pflegesätze und Entgelte </t>
  </si>
  <si>
    <t>(ohne Ausbildungsvergütung nach § 82 a SGB XI)</t>
  </si>
  <si>
    <t>Pflegesätze:</t>
  </si>
  <si>
    <t>vollstationäre Pflegeeinrichtung</t>
  </si>
  <si>
    <t>€ / Tag</t>
  </si>
  <si>
    <t xml:space="preserve">Pflegegrad 4: </t>
  </si>
  <si>
    <t>Entgelte:</t>
  </si>
  <si>
    <t>für die Unterkunft:</t>
  </si>
  <si>
    <t>für die Verpflegung:</t>
  </si>
  <si>
    <t>Belegung:</t>
  </si>
  <si>
    <t>Die ständige Anwesenheit einer Pflegefachkraft wird sichergestellt:</t>
  </si>
  <si>
    <t>Vergütungszuschlag § 43 b SGB XI:</t>
  </si>
  <si>
    <t>einrichtungseinheitlicher Eigenanteil:</t>
  </si>
  <si>
    <t>für Bvgl</t>
  </si>
  <si>
    <t>Zusätzliche Betreuung und Aktivierung nach            § 43 b SGB XI</t>
  </si>
  <si>
    <t>Personal-kosten je VK</t>
  </si>
  <si>
    <t>Differenzierung KZP:</t>
  </si>
  <si>
    <t>Prüfergebnis</t>
  </si>
  <si>
    <t>Verwaltungsbudget (gesamt):</t>
  </si>
  <si>
    <t>Fremdleistungen / Leistungen des Trägers (gesamt):</t>
  </si>
  <si>
    <t>Sachaufwendungen (gesamt):</t>
  </si>
  <si>
    <t>Belegung</t>
  </si>
  <si>
    <t>davon Belegung</t>
  </si>
  <si>
    <t xml:space="preserve"> gesamt</t>
  </si>
  <si>
    <t>Vereinbarungszeitraum:</t>
  </si>
  <si>
    <t>Pflegegrad 1 bis 5:</t>
  </si>
  <si>
    <r>
      <t>Institutionskennzeichen</t>
    </r>
    <r>
      <rPr>
        <sz val="10"/>
        <color rgb="FFFF0000"/>
        <rFont val="Arial"/>
        <family val="2"/>
      </rPr>
      <t xml:space="preserve"> </t>
    </r>
    <r>
      <rPr>
        <sz val="10"/>
        <color theme="1"/>
        <rFont val="Arial"/>
        <family val="2"/>
      </rPr>
      <t>Kurzzeitpflege:</t>
    </r>
  </si>
  <si>
    <t>für Kurzzeitpflege</t>
  </si>
  <si>
    <t>Kurzzeitpflege</t>
  </si>
  <si>
    <t>= eigener VV = eigenes IK</t>
  </si>
  <si>
    <t>= keine KZP</t>
  </si>
  <si>
    <t>= keinen eigenen VV = gleiches IK wie vst. PE</t>
  </si>
  <si>
    <r>
      <t xml:space="preserve">Entlohnung der Pflege-/Betreuungsmitarbeiter </t>
    </r>
    <r>
      <rPr>
        <b/>
        <u/>
        <sz val="10"/>
        <rFont val="Arial"/>
        <family val="2"/>
      </rPr>
      <t xml:space="preserve">inkl. QM und HM </t>
    </r>
    <r>
      <rPr>
        <b/>
        <sz val="10"/>
        <color theme="1"/>
        <rFont val="Arial"/>
        <family val="2"/>
      </rPr>
      <t xml:space="preserve">entsprechend der Vorgaben </t>
    </r>
  </si>
  <si>
    <t>3.7.</t>
  </si>
  <si>
    <t>gehe weiter zu B_PH_Kalkulation</t>
  </si>
  <si>
    <t>gehe weiter zu B_PH_Ergebnis</t>
  </si>
  <si>
    <t>gehe weiter zu B_PH_Berechnung rüE</t>
  </si>
  <si>
    <t>gehe weiter zu B_PH_Bewohnervertretung</t>
  </si>
  <si>
    <t>Verpflegung</t>
  </si>
  <si>
    <t>dav_KZP_Plätze</t>
  </si>
  <si>
    <t>Auslastung_E</t>
  </si>
  <si>
    <t>VWBUD_PROZENT</t>
  </si>
  <si>
    <t>VWBUD_BETRAG</t>
  </si>
  <si>
    <t>VWBUD_AUFSCHLAG</t>
  </si>
  <si>
    <t>VWBUD_AUFSCHLAG_BETRAG</t>
  </si>
  <si>
    <t>VWBUD_N_AUSG_STELLENANT</t>
  </si>
  <si>
    <t>VWBUD_PK_JE_VK</t>
  </si>
  <si>
    <t>VK_EL</t>
  </si>
  <si>
    <t>Verhandlungsart</t>
  </si>
  <si>
    <t>IK_E</t>
  </si>
  <si>
    <t>IK_KZP</t>
  </si>
  <si>
    <t>Antragsdatum</t>
  </si>
  <si>
    <t>E_Art</t>
  </si>
  <si>
    <t>Name_E</t>
  </si>
  <si>
    <t>Straße_E</t>
  </si>
  <si>
    <t>PLZ_E</t>
  </si>
  <si>
    <t>Ort_E</t>
  </si>
  <si>
    <t>TEL_E</t>
  </si>
  <si>
    <t>Fax_E</t>
  </si>
  <si>
    <t>EMail_E</t>
  </si>
  <si>
    <t>Web_E</t>
  </si>
  <si>
    <t>Name_T</t>
  </si>
  <si>
    <t>Straße_T</t>
  </si>
  <si>
    <t>PLZ_T</t>
  </si>
  <si>
    <t>Ort_T</t>
  </si>
  <si>
    <t>Tel_T</t>
  </si>
  <si>
    <t>Fax_T</t>
  </si>
  <si>
    <t>EMail_T</t>
  </si>
  <si>
    <t>Web_T</t>
  </si>
  <si>
    <t>AP_Funktion</t>
  </si>
  <si>
    <t>Verband</t>
  </si>
  <si>
    <t>Zulassungsdatum</t>
  </si>
  <si>
    <t>Platzzahl</t>
  </si>
  <si>
    <t>LFZ_ab</t>
  </si>
  <si>
    <t>LFZ_bis</t>
  </si>
  <si>
    <t>letzte_LFZ_ab</t>
  </si>
  <si>
    <t>letzte_LFZ_bis</t>
  </si>
  <si>
    <t>ANT_AOK</t>
  </si>
  <si>
    <t>ANT_vdek</t>
  </si>
  <si>
    <t>ANT_BKK</t>
  </si>
  <si>
    <t>ANT_IKK</t>
  </si>
  <si>
    <t>ANT_KBS</t>
  </si>
  <si>
    <t>ANT_PKV</t>
  </si>
  <si>
    <t>ANT_Sonstige_SVT</t>
  </si>
  <si>
    <t>dav_SHT</t>
  </si>
  <si>
    <t>Ausbildungsbetrieb</t>
  </si>
  <si>
    <t>132g</t>
  </si>
  <si>
    <t>BEL_letze12M_PG1</t>
  </si>
  <si>
    <t>BEL_letze12M_PG2</t>
  </si>
  <si>
    <t>BEL_letze12M_PG3</t>
  </si>
  <si>
    <t>BEL_letze12M_PG4</t>
  </si>
  <si>
    <t>BEL_letze12M_PG5</t>
  </si>
  <si>
    <t>BEL_letze12M_SUM</t>
  </si>
  <si>
    <t>BEL_STICHTAG_PG1</t>
  </si>
  <si>
    <t>BEL_STICHTAG_PG2</t>
  </si>
  <si>
    <t>BEL_STICHTAG_PG3</t>
  </si>
  <si>
    <t>BEL_STICHTAG_PG4</t>
  </si>
  <si>
    <t>BEL_STICHTAG_PG5</t>
  </si>
  <si>
    <t>BEL_STICHTAG_SUM</t>
  </si>
  <si>
    <t>BEL_PROG_PG1</t>
  </si>
  <si>
    <t>BEL_PROG_PG2</t>
  </si>
  <si>
    <t>BEL_PROG_PG3</t>
  </si>
  <si>
    <t>BEL_PROG_PG4</t>
  </si>
  <si>
    <t>BEL_PROG_PG5</t>
  </si>
  <si>
    <t>BEL_PROG_SUM</t>
  </si>
  <si>
    <t>BEL_PROG_DAV_KZP_PG1</t>
  </si>
  <si>
    <t>BEL_PROG_DAV_KZP_PG2</t>
  </si>
  <si>
    <t>BEL_PROG_DAV_KZP_PG3</t>
  </si>
  <si>
    <t>BEL_PROG_DAV_KZP_PG4</t>
  </si>
  <si>
    <t>BEL_PROG_DAV_KZP_PG5</t>
  </si>
  <si>
    <t>BEL_PROG_DAV_KZP_SUM</t>
  </si>
  <si>
    <t>wö_AZ_je_VK</t>
  </si>
  <si>
    <t>letzte12M_PKL_von</t>
  </si>
  <si>
    <t>letzte12M_PKL_bis</t>
  </si>
  <si>
    <t>PKL_PERS_IST_111_PDL-stellvPDL</t>
  </si>
  <si>
    <t>PKL_AG_Brutto_IST_111_PDL-stellvPDL</t>
  </si>
  <si>
    <t>PKL_PERS_IST_112_QM</t>
  </si>
  <si>
    <t>PKL_AG_Brutto_IST_112_QM</t>
  </si>
  <si>
    <t>PKL_PERS_IST_113_HM</t>
  </si>
  <si>
    <t>PKL_AG_Brutto_IST_113_HM</t>
  </si>
  <si>
    <t>PKL_PERS_IST_121_PFK/BFK</t>
  </si>
  <si>
    <t>PKL_AG_Brutto_IST_121_PFK/BFK</t>
  </si>
  <si>
    <t>PKL_PERS_IST_121_PFK/BFK_DAV_PRÄSK</t>
  </si>
  <si>
    <t>PKL_PERS_IST_122_PK/BK</t>
  </si>
  <si>
    <t>PKL_AG_Brutto_IST_121_PK/BK</t>
  </si>
  <si>
    <t>PKL_PERS_IST_122_PK/BK_DAV_PRÄSK</t>
  </si>
  <si>
    <t>PKL_PERS_IST_123_PK/BK o.</t>
  </si>
  <si>
    <t>PKL_AG_Brutto_IST_123_PK/BK o.</t>
  </si>
  <si>
    <t>PKL_PERS_IST_123_PK/BK o._DAV_PRÄSK</t>
  </si>
  <si>
    <t>PKL_PERS_IST_12_SUM</t>
  </si>
  <si>
    <t>PKL_AG_Brutto_IST_12_SUM</t>
  </si>
  <si>
    <t>PKL_IST_121_PFK/BFK_ANT_113c</t>
  </si>
  <si>
    <t>PKL_IST_122_PK/BKANT_113c</t>
  </si>
  <si>
    <t>PKL_IST_123_PK/BK o.113c</t>
  </si>
  <si>
    <t>PKL_PERS_IST_131_43b_PK/BK</t>
  </si>
  <si>
    <t>PKL_AG_Brutto_IST_131_43b_PK/BK</t>
  </si>
  <si>
    <t>PKL_PERS_IST_132_43b_PK/BK o.</t>
  </si>
  <si>
    <t>PKL_AG_Brutto_IST_132_43b_PK/BK o.</t>
  </si>
  <si>
    <t>PKL_PERS_IST_13_43b_SUM</t>
  </si>
  <si>
    <t>PKL_AG_Brutto_IST_13_43b_SUM</t>
  </si>
  <si>
    <t>PKL_PERS_IST_14_LuV</t>
  </si>
  <si>
    <t>PKL_AG_Brutto_IST_14_LuV</t>
  </si>
  <si>
    <t>PKL_PERS_IST_15_HW</t>
  </si>
  <si>
    <t>PKL_AG_Brutto_IST_15_HW</t>
  </si>
  <si>
    <t>PKL_PERS_IST_15_HW_DAV_PräsK_PFK/BFK</t>
  </si>
  <si>
    <t>PKL_PERS_IST_15_HW_DAV_PräsK_PK/BK</t>
  </si>
  <si>
    <t>PKL_PERS_IST_15_HW_DAV_PräsK_PK/BK o.</t>
  </si>
  <si>
    <t>PKL_PERS_IST_16_KÜCHE</t>
  </si>
  <si>
    <t>PKL_AG_Brutto_IST_16_KÜCHE</t>
  </si>
  <si>
    <t>PKL_PERS_IST_17_HAT</t>
  </si>
  <si>
    <t>PKL_AG_Brutto_IST_17_HAT</t>
  </si>
  <si>
    <t>PKL_PERS_IST_18_FwD</t>
  </si>
  <si>
    <t>PKL_AG_Brutto_IST_18_FwD</t>
  </si>
  <si>
    <t>PKL_PERS_IST_18_FSJ</t>
  </si>
  <si>
    <t>PKL_AG_Brutto_IST_18_FSJ</t>
  </si>
  <si>
    <t>PKL_PERS_IST_18_SONS_SUM</t>
  </si>
  <si>
    <t>PKL_AG_Brutto_IST_18_SONS_SUM</t>
  </si>
  <si>
    <t>UNMITT_TARIFBIND</t>
  </si>
  <si>
    <t>ENTLOHNUNG_NACH</t>
  </si>
  <si>
    <t>TARIF_AVR</t>
  </si>
  <si>
    <t>TARIF_FASSG_VOM</t>
  </si>
  <si>
    <t>FORD_SV_ANT</t>
  </si>
  <si>
    <t>FORD_bAV_ANT</t>
  </si>
  <si>
    <t>FORD_SV_ANT_GfB</t>
  </si>
  <si>
    <t>FORD_GVWG_STD_LOHN_PFK/BFK</t>
  </si>
  <si>
    <t>FORD_GVWG_STD_LOHN_PK/BK</t>
  </si>
  <si>
    <t>FORD_GVWG_STD_LOHN_PK/BK o.</t>
  </si>
  <si>
    <t>FORD_GVWG_VK_PFK/BFK</t>
  </si>
  <si>
    <t>FORD_GVWG_VK_PK/BK</t>
  </si>
  <si>
    <t>FORD_GVWG_VK_PK/BK o.</t>
  </si>
  <si>
    <t>FORD_GVWG_VK_SUM</t>
  </si>
  <si>
    <t>FORD_GVWG_REG</t>
  </si>
  <si>
    <t>FORD_GVWG_GES_BRUTTO_PFK/BFK</t>
  </si>
  <si>
    <t>FORD_GVWG_GES_BRUTTO_PK/BK</t>
  </si>
  <si>
    <t>FORD_GVWG_GES_BRUTTO_PK/BK o.</t>
  </si>
  <si>
    <t>PERS_STICHT_111_PDL-stellvPDL</t>
  </si>
  <si>
    <t>PERS_STICHT_112_QM</t>
  </si>
  <si>
    <t>PERS_STICHT_113_HM</t>
  </si>
  <si>
    <t>PERS_STICHT_11_SUM</t>
  </si>
  <si>
    <t>PERS_STICHT_121_PFK/BFK</t>
  </si>
  <si>
    <t>PERS_STICHT_121_PFK/BFK_DAV_PRÄSK</t>
  </si>
  <si>
    <t>PERS_STICHT_122_PK/BK</t>
  </si>
  <si>
    <t>PERS_STICHT_122_PK/BK_DAV_PRÄSK</t>
  </si>
  <si>
    <t>PERS_STICHT_123_PK/BK o.</t>
  </si>
  <si>
    <t>PERS_STICHT_123_PK/BK o._DAV_PRÄSK</t>
  </si>
  <si>
    <t>PERS_STICHT_12_SUM</t>
  </si>
  <si>
    <t>ANT_113c_STICHT_121_PFK/BFK</t>
  </si>
  <si>
    <t>ANT_113c_STICHT_122_PK/BK</t>
  </si>
  <si>
    <t>ANT_113c_STICHT_123_PK/BK o.</t>
  </si>
  <si>
    <t xml:space="preserve">PERS_STICHT_131_43b_PK/BK </t>
  </si>
  <si>
    <t xml:space="preserve">PERS_STICHT_132_43b_PK/BK o. </t>
  </si>
  <si>
    <t>PERS_STICHT_13_43b_SUM</t>
  </si>
  <si>
    <t>PERS_STICHT_14_LuV_LTG</t>
  </si>
  <si>
    <t>PERS_STICHT_14_LuV_VW</t>
  </si>
  <si>
    <t>PERS_STICHT_14_EL</t>
  </si>
  <si>
    <t>PERS_STICHT_15_HW</t>
  </si>
  <si>
    <t>PERS_STICHT_15_HW_DAV_PRÄSK_PFK/BFK</t>
  </si>
  <si>
    <t>PERS_STICHT_15_HW_DAV_PRÄSK_PK/BK</t>
  </si>
  <si>
    <t>PERS_STICHT_15_HW_DAV_PRÄSK_PK/BK o.</t>
  </si>
  <si>
    <t>PERS_STICHT_16_KÜCHE</t>
  </si>
  <si>
    <t>PERS_STICHT_17_HAT</t>
  </si>
  <si>
    <t>PERS_STICHT_18_FwD</t>
  </si>
  <si>
    <t>PERS_STICHT_18_FSJ</t>
  </si>
  <si>
    <t>PERS_PROGN_111_PDL-stellvPDL</t>
  </si>
  <si>
    <t>PERS_PROGN_112_QM</t>
  </si>
  <si>
    <t>PERS_PROGN_113_HM</t>
  </si>
  <si>
    <t>PERS_PROGN_11_SUM</t>
  </si>
  <si>
    <t>PERS_PROGN_121_PFK/BFK</t>
  </si>
  <si>
    <t>PERS_PROGN_121_PFK/BFK_DAV_PRÄSK</t>
  </si>
  <si>
    <t>PERS_PROGN_122_PK/BK</t>
  </si>
  <si>
    <t>PERS_PROGN_122_PK/BK_DAV_PRÄSK</t>
  </si>
  <si>
    <t>PERS_PROGN_123_PK/BK o.</t>
  </si>
  <si>
    <t>PERS_PROGN_123_PK/BK o._DAV_PRÄSK</t>
  </si>
  <si>
    <t>PERS_PROGN_12_SUM</t>
  </si>
  <si>
    <t>ANT_113c_PROGN_121_PFK/BFK</t>
  </si>
  <si>
    <t>ANT_113c_PROGN_122_PK/BK</t>
  </si>
  <si>
    <t>ANT_113c_PROGN_123_PK/BK o.</t>
  </si>
  <si>
    <t xml:space="preserve">PERS_PROGN_131_43b_PK/BK </t>
  </si>
  <si>
    <t xml:space="preserve">PERS_PROGN_132_43b_PK/BK o. </t>
  </si>
  <si>
    <t>PERS_PROGN_13_43b_SUM</t>
  </si>
  <si>
    <t>PERS_PROGN_14_LuV_LTG</t>
  </si>
  <si>
    <t>PERS_PROGN_14_LuV_VW</t>
  </si>
  <si>
    <t>PERS_PROGN_14_EL</t>
  </si>
  <si>
    <t>PERS_PROGN_15_HW</t>
  </si>
  <si>
    <t>PERS_PROGN_15_HW_DAV_PRÄSK_PFK/BFK</t>
  </si>
  <si>
    <t>PERS_PROGN_15_HW_DAV_PRÄSK_PK/BK</t>
  </si>
  <si>
    <t>PERS_PROGN_15_HW_DAV_PRÄSK_PK/BK o.</t>
  </si>
  <si>
    <t>PERS_PROGN_15_HW_SUM</t>
  </si>
  <si>
    <t>ANT_PROGN_PRÄSK_15_HW</t>
  </si>
  <si>
    <t>PERS_PROGN_16_KÜCHE</t>
  </si>
  <si>
    <t>PERS_PROGN_17_HAT</t>
  </si>
  <si>
    <t>PERS_PROGN_18_FwD</t>
  </si>
  <si>
    <t>PERS_PROGN_18_FSJ</t>
  </si>
  <si>
    <t>PNK_PROGN_BG</t>
  </si>
  <si>
    <t>PNK_PROGN_AUSGL</t>
  </si>
  <si>
    <t>PNK_PROGN_FORTB</t>
  </si>
  <si>
    <t>PNK_PROGN_ARB-GES-SCHUTZ</t>
  </si>
  <si>
    <t>PNK_PROGN_PROZ</t>
  </si>
  <si>
    <t>PNK_PROGN_SUM</t>
  </si>
  <si>
    <t>stfr_Sachbez_PROGN_PROZ</t>
  </si>
  <si>
    <t>stfr_Sachbez_PROGN</t>
  </si>
  <si>
    <t>UR_PROGN_PROZ</t>
  </si>
  <si>
    <t>UR_PROGN</t>
  </si>
  <si>
    <t>GES-PeKo_PROGN_111_PDL-stellvPDL</t>
  </si>
  <si>
    <t>GES_PeKo_PROGN_112_QM</t>
  </si>
  <si>
    <t>GES_PeKo_PROGN_113_HM</t>
  </si>
  <si>
    <t>GES_PeKo_PROGN_11_SUM</t>
  </si>
  <si>
    <t>GES_PeKo_PROGN_121_PFK/BFK</t>
  </si>
  <si>
    <t>GES_PeKo_PROGN_122_PK/BK</t>
  </si>
  <si>
    <t>GES_PeKo_PROGN_123_PK/BK o.</t>
  </si>
  <si>
    <t>GES_PeKo_PROGN_12_SUM</t>
  </si>
  <si>
    <t xml:space="preserve">GES_PeKo_PROGN_131_43b_PK/BK </t>
  </si>
  <si>
    <t xml:space="preserve">GES_PeKo_PROGN_132_43b_PK/BK o. </t>
  </si>
  <si>
    <t>GES_PeKo_PROGN_13_43b_SUM</t>
  </si>
  <si>
    <t>GES_PeKo_PROGN_14_LuV_LTG</t>
  </si>
  <si>
    <t>GES_PeKo_PROGN_14_LuV_VW</t>
  </si>
  <si>
    <t>GES_PeKo_PROGN_14_EL_SUM</t>
  </si>
  <si>
    <t>GES_PeKo_PROGN_15_HW_SUM</t>
  </si>
  <si>
    <t>GES_PeKo_PROGN_16_KÜCHE_SUM</t>
  </si>
  <si>
    <t>GES_PeKo_PROGN_17_HAT_SUM</t>
  </si>
  <si>
    <t>PeKo_PROGN_18_FwD_STELLE</t>
  </si>
  <si>
    <t>PeKo_PROGN_18_FSJ_STELLE</t>
  </si>
  <si>
    <t>SK_Zeitraum_Wahl</t>
  </si>
  <si>
    <t>SK_ZEITR_VON</t>
  </si>
  <si>
    <t>SK_ZEITR_BIS</t>
  </si>
  <si>
    <t>SK_BT_abweichender Zeitraum</t>
  </si>
  <si>
    <t>SK_ZEITR_21_LEBENSM</t>
  </si>
  <si>
    <t>SK_ZEITR_22_PFLEGEBEDARF</t>
  </si>
  <si>
    <t>SK_ZEITR_23_W-E-B</t>
  </si>
  <si>
    <t>SK_ZEITR_24_VW_BEDARF</t>
  </si>
  <si>
    <t>SK_ZEITR_25_VW_DIENSTE</t>
  </si>
  <si>
    <t>SK_ZEITR_26_BETREUUNG</t>
  </si>
  <si>
    <t>SK_ZEITR_27_WIRTSCHAFT</t>
  </si>
  <si>
    <t>SK_ZEITR_28_S-A-V</t>
  </si>
  <si>
    <t>SK_ZEITR_29_WARTUNG</t>
  </si>
  <si>
    <t>SK_ZEITR_210_SONSTIGE</t>
  </si>
  <si>
    <t>SK_ZEITR_2_SUM</t>
  </si>
  <si>
    <t>FL_ZEITR_31_Küche</t>
  </si>
  <si>
    <t>FL_ZEITR_32_WÄSCHEREI</t>
  </si>
  <si>
    <t>FL_ZEITR_33_WÄSCHE-KZ</t>
  </si>
  <si>
    <t>FL_ZEITR_34_REINIGUNG</t>
  </si>
  <si>
    <t>FL_ZEITR_35_VW</t>
  </si>
  <si>
    <t>FL_ZEITR_36_HT</t>
  </si>
  <si>
    <t>FL_ZEITR_37_EINTR</t>
  </si>
  <si>
    <t>FL_ZEITR_37_ZEILE1</t>
  </si>
  <si>
    <t>FL_ZEITR_38_EINTR</t>
  </si>
  <si>
    <t>FL_ZEITR_38_ZEILE2</t>
  </si>
  <si>
    <t>FL_ZEITR_3_SUM</t>
  </si>
  <si>
    <t>SK_PROGN_21_LEBENSM</t>
  </si>
  <si>
    <t>SK_PROGN_22_PFLEGEBEDARF</t>
  </si>
  <si>
    <t>SK_PROGN_23_W-E-B</t>
  </si>
  <si>
    <t>SK_PROGN_24_VW_BEDARF</t>
  </si>
  <si>
    <t>SK_PROGN_25_VW_DIENSTE</t>
  </si>
  <si>
    <t>SK_PROGN_26_BETREUUNG</t>
  </si>
  <si>
    <t>SK_PROGN_27_WIRTSCHAFT</t>
  </si>
  <si>
    <t>SK_PROGN_28_S-A-V</t>
  </si>
  <si>
    <t>SK_PROGN_29_WARTUNG</t>
  </si>
  <si>
    <t>SK_PROGN_210_SONSTIGE</t>
  </si>
  <si>
    <t>SK_PROGN_2_SUM</t>
  </si>
  <si>
    <t>FL_PROGN_31_Küche</t>
  </si>
  <si>
    <t>FL_PROGN_32_WÄSCHEREI</t>
  </si>
  <si>
    <t>FL_PROGN_33_WÄSCHE-KZ</t>
  </si>
  <si>
    <t>FL_PROGN_34_REINIGUNG</t>
  </si>
  <si>
    <t>FL_PROGN_35_VW</t>
  </si>
  <si>
    <t>FL_PROGN_36_HT</t>
  </si>
  <si>
    <t>FL_PROGN_37_EINTR</t>
  </si>
  <si>
    <t>FL_PROGN_37_ZEILE1</t>
  </si>
  <si>
    <t>FL_PROGN_38_EINTR</t>
  </si>
  <si>
    <t>FL_PROGN_38_ZEILE2</t>
  </si>
  <si>
    <t>FL_PROGN_3_SUM</t>
  </si>
  <si>
    <t>SK_PROGN-BT_21_LEBENSM</t>
  </si>
  <si>
    <t>SK_PROGN-BT_22_PFLEGEBEDARF</t>
  </si>
  <si>
    <t>SK_PROGN-BT_23_W-E-B</t>
  </si>
  <si>
    <t>SK_PROGN-BT_24_VW_BEDARF</t>
  </si>
  <si>
    <t>SK_PROGN-BT_25_VW_DIENSTE</t>
  </si>
  <si>
    <t>SK_PROGN-BT_26_BETREUUNG</t>
  </si>
  <si>
    <t>SK_PROGN-BT_27_WIRTSCHAFT</t>
  </si>
  <si>
    <t>SK_PROGN-BT_28_S-A-V</t>
  </si>
  <si>
    <t>SK_PROGN-BT_29_WARTUNG</t>
  </si>
  <si>
    <t>SK_PROGN-BT_210_SONSTIGE</t>
  </si>
  <si>
    <t>SK_PROGN-BT_2_SUM</t>
  </si>
  <si>
    <t>FL_PROGN-BT_31_Küche</t>
  </si>
  <si>
    <t>FL_PROGN-BT_32_WÄSCHEREI</t>
  </si>
  <si>
    <t>FL_PROGN-BT_33_WÄSCHE-KZ</t>
  </si>
  <si>
    <t>FL_PROGN-BT_34_REINIGUNG</t>
  </si>
  <si>
    <t>FL_PROGN-BT_35_VW</t>
  </si>
  <si>
    <t>FL_PROGN-BT_36_HT</t>
  </si>
  <si>
    <t>FL_PROGN-BT_37_EINTR</t>
  </si>
  <si>
    <t>FL_PROGN-BT_37_ZEILE1</t>
  </si>
  <si>
    <t>FL_PROGN-BT_38_EINTR</t>
  </si>
  <si>
    <t>FL_PROGN-BT_38_ZEILE2</t>
  </si>
  <si>
    <t>FL_PROGN-BT_3_SUM</t>
  </si>
  <si>
    <t>SK_PROGN_UR_PROZ</t>
  </si>
  <si>
    <t>SK_PROGN_UR_BETR</t>
  </si>
  <si>
    <t>FORD_VK_111_PDL-stellvPDL</t>
  </si>
  <si>
    <t>FORD_VK_112_QM</t>
  </si>
  <si>
    <t>FORD_VK_113_HM</t>
  </si>
  <si>
    <t>FORD_VK_121_PFK/BFK</t>
  </si>
  <si>
    <t>FORD_VK_122_PK/BK</t>
  </si>
  <si>
    <t>FORD_VK_123_PK/BK o.</t>
  </si>
  <si>
    <t>FORD_VK_131_43b</t>
  </si>
  <si>
    <t>FORD_VK_14_LuV</t>
  </si>
  <si>
    <t>FORD_VK_15_HW</t>
  </si>
  <si>
    <t>FORD_VK_16_KÜCHE</t>
  </si>
  <si>
    <t>FORD_VK_17_HAT</t>
  </si>
  <si>
    <t>FORD_Anzahhl_18_FwD_FSJ</t>
  </si>
  <si>
    <t>FORD_VK_111_PDL-stellvPDL_DAV_VST</t>
  </si>
  <si>
    <t>FORD_VK_112_QM_DAV_VST</t>
  </si>
  <si>
    <t>FORD_VK_113_HM_DAV_VST</t>
  </si>
  <si>
    <t>FORD_VK_121_PFK/BFK_DAV_VST</t>
  </si>
  <si>
    <t>FORD_VK_122_PK/BK_DAV_VST</t>
  </si>
  <si>
    <t>FORD_VK_123_PK/BK o._DAV_VST</t>
  </si>
  <si>
    <t>FORD_VK_131_43b_DAV_VST</t>
  </si>
  <si>
    <t>FORD_VK_14_LuV_DAV_VST</t>
  </si>
  <si>
    <t>FORD_VK_15_HW_DAV_VST</t>
  </si>
  <si>
    <t>FORD_VK_16_KÜCHE_DAV_VST</t>
  </si>
  <si>
    <t>FORD_VK_17_HAT_DAV_VST</t>
  </si>
  <si>
    <t>FORD_Anzahl_18_FwD_FSJ_DAV_VST</t>
  </si>
  <si>
    <t>FORD_VK_111_PDL-stellvPDL_DAV_KZP</t>
  </si>
  <si>
    <t>FORD_VK_112_QM_DAV_KZP</t>
  </si>
  <si>
    <t>FORD_VK_113_HM_DAV_KZP</t>
  </si>
  <si>
    <t>FORD_VK_121_PFK/BFK_DAV_KZP</t>
  </si>
  <si>
    <t>FORD_VK_122_PK/BK_DAV_KZP</t>
  </si>
  <si>
    <t>FORD_VK_123_PK/BK o._DAV_KZP</t>
  </si>
  <si>
    <t>FORD_VK_131_43b_DAV_KZP</t>
  </si>
  <si>
    <t>FORD_VK_14_LuV_DAV_KZP</t>
  </si>
  <si>
    <t>FORD_VK_15_HW_DAV_KZP</t>
  </si>
  <si>
    <t>FORD_VK_16_KÜCHE_DAV_KZP</t>
  </si>
  <si>
    <t>FORD_VK_17_HAT_DAV_KZP</t>
  </si>
  <si>
    <t>FORD_Anzahl_18_FwD_FSJ_DAV_KZP</t>
  </si>
  <si>
    <t>FORD_ANT_113c_121_PFK/BFK</t>
  </si>
  <si>
    <t>FORD_ANT_113c_122_PK/BK</t>
  </si>
  <si>
    <t>FORD_ANT_113c_123_PK/BK o.</t>
  </si>
  <si>
    <t>FORD_PR_131_43b_</t>
  </si>
  <si>
    <t>FORD_PR_14_LuV_</t>
  </si>
  <si>
    <t>FORD_PR_15_HW_</t>
  </si>
  <si>
    <t>FORD_PR_16_KÜCHE_</t>
  </si>
  <si>
    <t>FORD_PR_17_HAT_</t>
  </si>
  <si>
    <t>FORD_PR_18_FwD_FSJ_</t>
  </si>
  <si>
    <t>FORD_EEE_VST</t>
  </si>
  <si>
    <t>FORD_PS-PG1_VST</t>
  </si>
  <si>
    <t>FORD_PS-PG2_VST</t>
  </si>
  <si>
    <t>FORD_PS-PG3_VST</t>
  </si>
  <si>
    <t>FORD_PS-PG4_VST</t>
  </si>
  <si>
    <t>FORD_PS-PG5_VST</t>
  </si>
  <si>
    <t>FORD_43b_VST</t>
  </si>
  <si>
    <t>FORD_U_VST</t>
  </si>
  <si>
    <t>FORD_V_VST</t>
  </si>
  <si>
    <t>FORD_PS-PG1-5_KZP</t>
  </si>
  <si>
    <t>FORD_43b_KZP</t>
  </si>
  <si>
    <t>FORD_U_KZP</t>
  </si>
  <si>
    <t>FORD_V_KZP</t>
  </si>
  <si>
    <t>VWBUD_GES_PeKo_PROGN</t>
  </si>
  <si>
    <t>VWBUD_PeKo_BREUCK</t>
  </si>
  <si>
    <t>VWBUD_PeKo_SK-FL_BERUECK</t>
  </si>
  <si>
    <t>VWBUD_ERGEBNIS</t>
  </si>
  <si>
    <t>BEL_PG1</t>
  </si>
  <si>
    <t>BEL_PG2</t>
  </si>
  <si>
    <t>BEL_PG3</t>
  </si>
  <si>
    <t>BEL_PG4</t>
  </si>
  <si>
    <t>BEL_PG5</t>
  </si>
  <si>
    <t>BEL_DAV_KZP_PG1</t>
  </si>
  <si>
    <t>BEL_DAV_KZP_PG2</t>
  </si>
  <si>
    <t>BEL_DAV_KZP_PG3</t>
  </si>
  <si>
    <t>BEL_DAV_KZP_PG4</t>
  </si>
  <si>
    <t>BEL_DAV_KZP_PG5</t>
  </si>
  <si>
    <t>SV_ANT</t>
  </si>
  <si>
    <t>bAV_ANT</t>
  </si>
  <si>
    <t>TV_
Steigerung</t>
  </si>
  <si>
    <t xml:space="preserve"> PNK_ANT</t>
  </si>
  <si>
    <t>stfr. 
Sachbez.</t>
  </si>
  <si>
    <t>stfr. Sachbez. €</t>
  </si>
  <si>
    <t>UR_ANT</t>
  </si>
  <si>
    <t>UR €</t>
  </si>
  <si>
    <t>PFK/
BFK_VK_
113c</t>
  </si>
  <si>
    <t>PK/BK_VK_113c</t>
  </si>
  <si>
    <t>PK/BK o._VK_113c</t>
  </si>
  <si>
    <t>PFK/BFK aus ZV (§ 8 Abs. 6/ § 84 Abs. 9)</t>
  </si>
  <si>
    <t>PK/BK_VK_aus ZV (§ 8 Abs. 6/ § 84 Abs. 9)</t>
  </si>
  <si>
    <t>PK/BK o._VK_ aus ZV (§ 8 Abs. 6/ § 84 Abs. 9)</t>
  </si>
  <si>
    <t>PDL / stellvertretende PDL_VK</t>
  </si>
  <si>
    <t>Qualitätsmanagement_VK</t>
  </si>
  <si>
    <t>Hygienemanagement_VK</t>
  </si>
  <si>
    <t>PR_HW</t>
  </si>
  <si>
    <t>HW_PFK/BFK_DAVON_Präsenzkraft_VK</t>
  </si>
  <si>
    <t>HW_PK/BK_DAVON_Präsenzkraft_VK</t>
  </si>
  <si>
    <t>HW_PK/BK o._DAVON_Präsenzkraft_VK</t>
  </si>
  <si>
    <t>PR_Kü</t>
  </si>
  <si>
    <t>PR_HAT</t>
  </si>
  <si>
    <t>Anzahl_Freiw. Dienste</t>
  </si>
  <si>
    <t>PDL / stellvertretende PDL_PK €/VK</t>
  </si>
  <si>
    <t>Qualitätsmanagement_PK €/VK</t>
  </si>
  <si>
    <t>Hygienemanagement_VK €/VK</t>
  </si>
  <si>
    <t>PFK/BFK_VK €/VK</t>
  </si>
  <si>
    <t>PK/BK_VK €/VK</t>
  </si>
  <si>
    <t>PK/BK o._VK €/VK</t>
  </si>
  <si>
    <t>43b_PK €/VK</t>
  </si>
  <si>
    <t>EL_PK €/VK</t>
  </si>
  <si>
    <t>HW_PK €/VK</t>
  </si>
  <si>
    <t>Kü_PK €/VK</t>
  </si>
  <si>
    <t>HAT_PK €/VK</t>
  </si>
  <si>
    <t>Freiw. Dienste_PK €/Stelle</t>
  </si>
  <si>
    <t>SK_UR_Ant.</t>
  </si>
  <si>
    <t>Ford._LM_€/BT</t>
  </si>
  <si>
    <t>Ford._pfleg. Sachbedarf_€/BT</t>
  </si>
  <si>
    <t>Ford._WEB_€/BT</t>
  </si>
  <si>
    <t>Ford._VW-Bedarf_€/BT</t>
  </si>
  <si>
    <t>Ford._ZVW_€/BT</t>
  </si>
  <si>
    <t>Ford._Betreuungsaufw._€/BT</t>
  </si>
  <si>
    <t>Ford._Wirt-Bedarf_€/BT</t>
  </si>
  <si>
    <t>Ford._S/A/V_€/BT</t>
  </si>
  <si>
    <t>Ford._Wartung_€/BT</t>
  </si>
  <si>
    <t>Ford._sonst.Sachbedarf_€/BT</t>
  </si>
  <si>
    <t>Ford._FL Kü_€/BT</t>
  </si>
  <si>
    <t>Ford._FL Wä_€/BT</t>
  </si>
  <si>
    <t>Ford._FL WäKZ_€/BT</t>
  </si>
  <si>
    <t>Ford._FL Reinigung_€/BT</t>
  </si>
  <si>
    <t>Ford._FL VW_€/BT</t>
  </si>
  <si>
    <t>Ford._FL HAT_€/BT</t>
  </si>
  <si>
    <t>Ford._FL sonstige_€/BT</t>
  </si>
  <si>
    <t>Angebot_LM_€/BT</t>
  </si>
  <si>
    <t>Angebot_pfleg. Sachbedarf_€/BT</t>
  </si>
  <si>
    <t>Angebot_WEB_€/BT</t>
  </si>
  <si>
    <t>Angebot_VW-Bedarf_€/BT</t>
  </si>
  <si>
    <t>Angebot_ZVW_€/BT</t>
  </si>
  <si>
    <t>Angebot_Betreuungsaufw._€/BT</t>
  </si>
  <si>
    <t>Angebot_Wirt-Bedarf_€/BT</t>
  </si>
  <si>
    <t>Angebot_S/A/V_€/BT</t>
  </si>
  <si>
    <t>Angebot_Wartung_€/BT</t>
  </si>
  <si>
    <t>Angebot_sonst.Sachbedarf_€/BT</t>
  </si>
  <si>
    <t>Angebot_FL Kü_€/BT</t>
  </si>
  <si>
    <t>Angebot_FL Wä_€/BT</t>
  </si>
  <si>
    <t>Angebot_FL WäKZ_€/BT</t>
  </si>
  <si>
    <t>Angebot_FL Reinigung_€/BT</t>
  </si>
  <si>
    <t>Angebot_FL VW_€/BT</t>
  </si>
  <si>
    <t>Angebot_FL HAT_€/BT</t>
  </si>
  <si>
    <t>Angebot_FL sonstige_€/BT</t>
  </si>
  <si>
    <t>Zeile 2</t>
  </si>
  <si>
    <t xml:space="preserve"> =&gt; Erfassung Vollkalkulation - Prognose</t>
  </si>
  <si>
    <t xml:space="preserve"> =&gt; Erfassung Folgeverhandlung </t>
  </si>
  <si>
    <t>Bel_letzte24 M_von</t>
  </si>
  <si>
    <t>Bel_letzte24 M_bis</t>
  </si>
  <si>
    <t>BEL_letze24M_PG1</t>
  </si>
  <si>
    <t>BEL_letze24M_PG2</t>
  </si>
  <si>
    <t>BEL_letze24M_PG3</t>
  </si>
  <si>
    <t>BEL_letze24M_PG4</t>
  </si>
  <si>
    <t>BEL_letze24M_PG5</t>
  </si>
  <si>
    <t>BEL_letze24M_SUM</t>
  </si>
  <si>
    <t>BelTage_letzten12M</t>
  </si>
  <si>
    <t>PKL_PERS_IST_131_43b_PFK/BFK</t>
  </si>
  <si>
    <t>PKL_AG_Brutto_IST_131_43b_PFK/BFK</t>
  </si>
  <si>
    <t>PKL_PERS_IST_15_HW_Kü_HAT</t>
  </si>
  <si>
    <t>PKL_AG_Brutto_IST_15_HW_KÜ_HAT</t>
  </si>
  <si>
    <t>ständige Anwesenh. PFK</t>
  </si>
  <si>
    <t>PERS_STICHT_15-17_HW_Kü_HAT</t>
  </si>
  <si>
    <t>PERS_PROGN_15-17_HW_Kü_HAT</t>
  </si>
  <si>
    <t>GES_PeKo_PROGN_15-17_HW_Kü_HAT</t>
  </si>
  <si>
    <t>FORD_PR_PDL/ stellv. PDL_</t>
  </si>
  <si>
    <t>FORD_VK_Pflege/Betreuung_PG 1-5</t>
  </si>
  <si>
    <t>FORD_PR_Pflege/ Betreuung_PG 1-5</t>
  </si>
  <si>
    <t>FORD_VK_LuV</t>
  </si>
  <si>
    <t>FORD_PR_LuV</t>
  </si>
  <si>
    <t>FORD_VK_HW_Kü_HAT</t>
  </si>
  <si>
    <t>FORD_PR_HW_Kü_HAT</t>
  </si>
  <si>
    <t xml:space="preserve"> =&gt; Erfassung Betriebsvergleich</t>
  </si>
  <si>
    <t>pauschal_B_PH</t>
  </si>
  <si>
    <t>Formel</t>
  </si>
  <si>
    <t>Zeile 6</t>
  </si>
  <si>
    <t>PNK €</t>
  </si>
  <si>
    <t>EEE</t>
  </si>
  <si>
    <t>Psatz_VST_PG 1</t>
  </si>
  <si>
    <t>Psatz_VST_PG 2</t>
  </si>
  <si>
    <t>Psatz_VST_PG 3</t>
  </si>
  <si>
    <t>Psatz_VST_PG 4</t>
  </si>
  <si>
    <t>Psatz_VST_PG 5</t>
  </si>
  <si>
    <t>U_VST</t>
  </si>
  <si>
    <t>V_VST</t>
  </si>
  <si>
    <t>§ 43b_KZP</t>
  </si>
  <si>
    <t>Psatz_KZP_PG 1 bis 5</t>
  </si>
  <si>
    <t>§ 43b_VST</t>
  </si>
  <si>
    <t>U_KZP</t>
  </si>
  <si>
    <t>V_KZP</t>
  </si>
  <si>
    <t>B_PH_Gesamtkalkulation</t>
  </si>
  <si>
    <t>H52</t>
  </si>
  <si>
    <t>anstelle 1,5 =&gt; 0,5</t>
  </si>
  <si>
    <t>Kostenverteilung korrigiert</t>
  </si>
  <si>
    <t>J52</t>
  </si>
  <si>
    <t xml:space="preserve"> bisherige Formel ohne Berücksichtigung VW-Budget Formel neu: =WENN(B_PH_Kalkulation!H15=0;RUNDEN(B_PH_Gesamtkalkulation!L57*KAT!M35;2);RUNDEN((B_PH_Gesamtkalkulation!J16+B_PH_Gesamtkalkulation!J30+B_PH_Gesamtkalkulation!J40+J49);2))</t>
  </si>
  <si>
    <t>B_PH_Kalkulation</t>
  </si>
  <si>
    <t>D29:D31 , J29:J31</t>
  </si>
  <si>
    <t>Formel ohne Runden</t>
  </si>
  <si>
    <t>keine Rundung der Rundung, da im Vollantrag aus der VK die PR auf 2 Nachkommastellen gerundet wird, desh. kann in dem pauschalen Antrag aus den gerundeten PR nicht die VK mit nochmaliger Rundung ermittelt werden</t>
  </si>
  <si>
    <t>M35; M46</t>
  </si>
  <si>
    <t>Fehlertext angepasst, SK max. 2,5%, FL max. 6%</t>
  </si>
  <si>
    <t>KATI74</t>
  </si>
  <si>
    <t>KATI75</t>
  </si>
  <si>
    <t>Zeile 10</t>
  </si>
  <si>
    <t>Erfassungstag /Änderungstag</t>
  </si>
  <si>
    <t xml:space="preserve">Platzzahl </t>
  </si>
  <si>
    <t>IK KZP</t>
  </si>
  <si>
    <t>KZP bzw. Art KZP</t>
  </si>
  <si>
    <t>Auslastung KZP</t>
  </si>
  <si>
    <t>VG_PDL-stellvPDL</t>
  </si>
  <si>
    <t>VG_QM</t>
  </si>
  <si>
    <t>VG_HM</t>
  </si>
  <si>
    <t>VG_PFK/BFK</t>
  </si>
  <si>
    <t>VG_PK/BK</t>
  </si>
  <si>
    <t>VG_PK/BK o.</t>
  </si>
  <si>
    <t>VG_43b</t>
  </si>
  <si>
    <t xml:space="preserve">VG_EL </t>
  </si>
  <si>
    <t>VG_HW</t>
  </si>
  <si>
    <t>VG_Küche</t>
  </si>
  <si>
    <t>VG_HT</t>
  </si>
  <si>
    <t>VG_ZDL-FSJ</t>
  </si>
  <si>
    <t>PNK (%)</t>
  </si>
  <si>
    <t>stfr.Sachbez. (%)</t>
  </si>
  <si>
    <t>Risiko/Wagnis/Gewinn-PK (%)</t>
  </si>
  <si>
    <t>Risiko/Wagnis/Gewinn-SK (%)</t>
  </si>
  <si>
    <t>SK_Lebensmittel BelTag</t>
  </si>
  <si>
    <t>SK_pfleg_ Bedarf BelTag</t>
  </si>
  <si>
    <t>SK_W/E/B BelTag</t>
  </si>
  <si>
    <t>SK_VW-Bedarf BelTag</t>
  </si>
  <si>
    <t>SK_Zentr-VW BelTag</t>
  </si>
  <si>
    <t>SK_Betreuung BelTag</t>
  </si>
  <si>
    <t>SK_Wirt-bedarf BelTag</t>
  </si>
  <si>
    <t>SK_S/A/V   BelTag</t>
  </si>
  <si>
    <t>SK_Wartung BelTag</t>
  </si>
  <si>
    <t>SK_Sonstiges BelTag</t>
  </si>
  <si>
    <t>FL_Küche BelTag</t>
  </si>
  <si>
    <t>FL_Wäscherei BelTag</t>
  </si>
  <si>
    <t>FL_Wäschekennz_BelTag</t>
  </si>
  <si>
    <t>FL_Reinigung BelTag</t>
  </si>
  <si>
    <t>FL_Zentrale Verwaltung BelTag</t>
  </si>
  <si>
    <t>FL_Haustechnik BelTag</t>
  </si>
  <si>
    <t>FL_Sonstiges_HW_HT BelTag</t>
  </si>
  <si>
    <t>FL_Sonstiges BelTag</t>
  </si>
  <si>
    <t>VE_PS_PG1</t>
  </si>
  <si>
    <t>VE_PS_PG2</t>
  </si>
  <si>
    <t>VE_PS_PG3</t>
  </si>
  <si>
    <t>VE_PS_PG4</t>
  </si>
  <si>
    <t>VE_PS_PG5</t>
  </si>
  <si>
    <t>VE_EEE</t>
  </si>
  <si>
    <t>VE_U</t>
  </si>
  <si>
    <t>VE_V</t>
  </si>
  <si>
    <t>VE_FK</t>
  </si>
  <si>
    <t>VE-Beginn</t>
  </si>
  <si>
    <t>VE-Ende</t>
  </si>
  <si>
    <t>Verhandlungs-verfahren</t>
  </si>
  <si>
    <t>VE_PS_PG1-5_KZP</t>
  </si>
  <si>
    <t>VE_U_KZP</t>
  </si>
  <si>
    <t>VE_V_KZP</t>
  </si>
  <si>
    <t>Auslastung_12_Mon_Erf</t>
  </si>
  <si>
    <t>Bel_PG1</t>
  </si>
  <si>
    <t>Bel_PG2</t>
  </si>
  <si>
    <t>Bel_PG3</t>
  </si>
  <si>
    <t>Bel_PG4</t>
  </si>
  <si>
    <t>Bel_PG5</t>
  </si>
  <si>
    <t>VK_PDL-stellvPDL</t>
  </si>
  <si>
    <t>VK_QM</t>
  </si>
  <si>
    <t>VK_HM</t>
  </si>
  <si>
    <t xml:space="preserve">VK_PFK/BFK </t>
  </si>
  <si>
    <t>VK_PK/BK</t>
  </si>
  <si>
    <t>VK_PK/BK_o.</t>
  </si>
  <si>
    <t>ANT_PFK_zu113c(1)3</t>
  </si>
  <si>
    <t>ANT_PK/BK_zu113c(1)2</t>
  </si>
  <si>
    <t>ANT_PK/BK o._zu113c(1)1</t>
  </si>
  <si>
    <t>PR_L/V</t>
  </si>
  <si>
    <t>PR_Hauswirtschaft</t>
  </si>
  <si>
    <t>PR_Küche</t>
  </si>
  <si>
    <t>PR_Haustechnik</t>
  </si>
  <si>
    <t>Anz_BFD/FSJ</t>
  </si>
  <si>
    <t>unmittelbare Tarifbindung</t>
  </si>
  <si>
    <t>Entlohng nach</t>
  </si>
  <si>
    <t>Tarif</t>
  </si>
  <si>
    <t>STD_VG_PFK/BFK</t>
  </si>
  <si>
    <t>STD_VG_PK/BK</t>
  </si>
  <si>
    <t>STD_VG_PK/BK_o.</t>
  </si>
  <si>
    <t>STD_VG_einr.ind.Egniveau_Erf</t>
  </si>
  <si>
    <t>VK_PFK/BFK_GVWG</t>
  </si>
  <si>
    <t>VK_PK/BK_GVWG</t>
  </si>
  <si>
    <t>VK_PK/BK_o._GVWG</t>
  </si>
  <si>
    <t>GES_VG_PFK/BFK</t>
  </si>
  <si>
    <t>GES_VG_PK/BK</t>
  </si>
  <si>
    <t>GES_VG_PK/BK_o.</t>
  </si>
  <si>
    <t>VWBUD_ERGEBNIS_BelT</t>
  </si>
  <si>
    <t>PLATZHALTER</t>
  </si>
  <si>
    <t>ANT_PFK_zu113c(1)3 VOR</t>
  </si>
  <si>
    <t>ANT_PK/BK_zu113c(1)3 VOR</t>
  </si>
  <si>
    <t>ANT_PK/BKo._zu113c(1)3 VOR</t>
  </si>
  <si>
    <t>VK_PFK/BFK_PG1</t>
  </si>
  <si>
    <t>VK_PFK/BFK_PG2</t>
  </si>
  <si>
    <t>VK_PFK/BFK_PG3</t>
  </si>
  <si>
    <t>VK_PFK/BFK_PG4</t>
  </si>
  <si>
    <t>VK_PFK/BFK_PG5</t>
  </si>
  <si>
    <t>VK_PK/BK_PG1</t>
  </si>
  <si>
    <t>VK_PK/BK_PG2</t>
  </si>
  <si>
    <t>VK_PK/BK_PG3</t>
  </si>
  <si>
    <t>VK_PK/BK_PG4</t>
  </si>
  <si>
    <t>VK_PK/BK_PG5</t>
  </si>
  <si>
    <t>VK_PK/BK o._PG1</t>
  </si>
  <si>
    <t>VK_PK/BK o._PG2</t>
  </si>
  <si>
    <t>VK_PK/BK o._PG3</t>
  </si>
  <si>
    <t>VK_PK/BK o._PG4</t>
  </si>
  <si>
    <t>VK_PK/BK o._PG5</t>
  </si>
  <si>
    <t>Prozent PNK, Risiko?</t>
  </si>
  <si>
    <t>offene Fragen an Bischi:</t>
  </si>
  <si>
    <t>gibt es nicht mehr, VW-Budget</t>
  </si>
  <si>
    <t>Verhandlungsverfahren als fester Wert (pauschal SAC B), Verhandlungsführerschaft?</t>
  </si>
  <si>
    <t>Runden der Pflegesätze auf zwei Nachkommastellen</t>
  </si>
  <si>
    <t>Runden der Pflegesätze auf zwei Nachkommastellen für die KZP</t>
  </si>
  <si>
    <t>J61, T61, V61, X61</t>
  </si>
  <si>
    <t>Auslastung_12_Mon_Erf - gibt es Eintragungen zur Auslastung?</t>
  </si>
  <si>
    <t>Umrechnungstabelle im Hintergrund bei KAT einbauen, um die VK je QN auf die Pflegegrade aufzuteilen</t>
  </si>
  <si>
    <t>C24:C26; C29:C31</t>
  </si>
  <si>
    <t>Eingabe mit max. 2 Nachkommastellen begrenzt</t>
  </si>
  <si>
    <t>I24</t>
  </si>
  <si>
    <t>I25</t>
  </si>
  <si>
    <t>Beschäftigungsgruppe</t>
  </si>
  <si>
    <t>I26</t>
  </si>
  <si>
    <t>B_PH_Berechnung rüE</t>
  </si>
  <si>
    <t>B29:B30</t>
  </si>
  <si>
    <t>Datenüberprüfung angepasst:                                  bisher Dezimal; min = KAT!B26 und max. C24        Korrektur: benutzerdefiniert; Formel=UND(I24&gt;=KAT!B25;I24&lt;=C24;REST(I24*10000;1)=0)  + Text angepasst</t>
  </si>
  <si>
    <t>Datenüberprüfung angepasst:                                  bisher Dezimal; min = 0 und max. C25                      Korrektur: benutzerdefiniert; Formel=UND(I25&gt;=0;I25&lt;=C25;REST(I25*10000;1)=0)  + Text angepasst</t>
  </si>
  <si>
    <t>Datenüberprüfung angepasst:                                  bisher Dezimal; min = 0 und max. C26                       Korrektur: benutzerdefiniert; Formel=UND(I26&gt;=0;I26&lt;=C26;REST(I26*10000;1)=0)  + Text angepasst</t>
  </si>
  <si>
    <t>bisher: Beschätigungsgruppe                                     Korrektur: Beschäftigungsgruppe</t>
  </si>
  <si>
    <t>D24:D26; J24:J26</t>
  </si>
  <si>
    <t>Rundung bleibt, da Anteilswerte innerhalb der vorgegebenen Grenzen veränderbar</t>
  </si>
  <si>
    <t>Berichtspflicht - Verteilung VK je Berufsgruppe und PG auf Basis des Verteilungsschlüssels je PG für Personalkostenbudget Pflege</t>
  </si>
  <si>
    <t>VK - Angebot PFK/BFK</t>
  </si>
  <si>
    <t>VK - Angebot PK/BK o.</t>
  </si>
  <si>
    <t>VK -Verteilung je PG</t>
  </si>
  <si>
    <t>in %</t>
  </si>
  <si>
    <t>Anteil zu max. § 113 c Abs. 1 SGB XI:</t>
  </si>
  <si>
    <t>Verteilung P-Personalkosten im Gesamtbudget (Berichtspflicht)</t>
  </si>
  <si>
    <t>KAT</t>
  </si>
  <si>
    <t>B31:R41</t>
  </si>
  <si>
    <t>Berichtspflicht intern</t>
  </si>
  <si>
    <t>Art und Auslastung der KZP &gt;&gt;&gt; TESTEN, ob Formel einwandfrei funktioniert</t>
  </si>
  <si>
    <t>Sachkostenberechnung richtig? (Gesamtbetrag/365/Plätze?)</t>
  </si>
  <si>
    <t>Rundung Anteile §113c auf zwei Nachkommastellen? &gt; umgesetzt über Datenüberprüfung</t>
  </si>
  <si>
    <t>Rundung Personalrelationen auf zwei Nachkommastellen? &gt; umgesetzt über Datenüberprüfung</t>
  </si>
  <si>
    <t>Berechnung VW-Budget auf den Belegungstag - Formel testen!!</t>
  </si>
  <si>
    <t>Kostenträger</t>
  </si>
  <si>
    <t>KSV</t>
  </si>
  <si>
    <t>Verhandlungsführer</t>
  </si>
  <si>
    <t>Die Richtigkeit der o. g. Angaben wird bestätigt:</t>
  </si>
  <si>
    <t>H1:H4</t>
  </si>
  <si>
    <t>Auswahlmöglichkeiten Kostenträger ergänzt (für Auswahl im Blatt Ergebnis)</t>
  </si>
  <si>
    <t>C48</t>
  </si>
  <si>
    <t>Wert von 1,25 auf 1,5 angepasst</t>
  </si>
  <si>
    <t>L67</t>
  </si>
  <si>
    <t>Formel =INDEX(I67:K67;VERGLEICH($L$66;I$66:$K$66;0)) eingefügt</t>
  </si>
  <si>
    <t>I67</t>
  </si>
  <si>
    <t>Wert ergänzt (wird benötigt für die Steigerung der PK PDL)</t>
  </si>
  <si>
    <t>B_PH_Ergebnis</t>
  </si>
  <si>
    <t>B99:B100</t>
  </si>
  <si>
    <t>Auswahlfeld zur Angabe des Verhandlungsführers hinterlegt</t>
  </si>
  <si>
    <t xml:space="preserve">C24:C26; C29:C31; I24:I26 </t>
  </si>
  <si>
    <t xml:space="preserve">Funktion angepasst: rest() ersetzt durch </t>
  </si>
  <si>
    <t>WENNFEHLER((LÄNGE()-FINDEN(",";));0)</t>
  </si>
  <si>
    <t xml:space="preserve">I24:I26 </t>
  </si>
  <si>
    <t>Fehlertext angepasst</t>
  </si>
  <si>
    <t>N31</t>
  </si>
  <si>
    <t>N32</t>
  </si>
  <si>
    <t>N33</t>
  </si>
  <si>
    <t>N36</t>
  </si>
  <si>
    <t>N37</t>
  </si>
  <si>
    <t>N38</t>
  </si>
  <si>
    <t>N42</t>
  </si>
  <si>
    <t>N44</t>
  </si>
  <si>
    <t>N46</t>
  </si>
  <si>
    <t>N48</t>
  </si>
  <si>
    <t>N50</t>
  </si>
  <si>
    <t>N53</t>
  </si>
  <si>
    <t>M36</t>
  </si>
  <si>
    <t>M37</t>
  </si>
  <si>
    <t>M38</t>
  </si>
  <si>
    <t>M39</t>
  </si>
  <si>
    <t>M40</t>
  </si>
  <si>
    <t>M41</t>
  </si>
  <si>
    <t>M42</t>
  </si>
  <si>
    <t>M43</t>
  </si>
  <si>
    <t>M47</t>
  </si>
  <si>
    <t>M48</t>
  </si>
  <si>
    <t>M49</t>
  </si>
  <si>
    <t>M50</t>
  </si>
  <si>
    <t>M51</t>
  </si>
  <si>
    <t>M52</t>
  </si>
  <si>
    <t>M53</t>
  </si>
  <si>
    <t>J57</t>
  </si>
  <si>
    <t>L57</t>
  </si>
  <si>
    <t>N57</t>
  </si>
  <si>
    <t>P57</t>
  </si>
  <si>
    <t>R57</t>
  </si>
  <si>
    <t>J59</t>
  </si>
  <si>
    <t>T57</t>
  </si>
  <si>
    <t>V57</t>
  </si>
  <si>
    <t>F11</t>
  </si>
  <si>
    <t>I11</t>
  </si>
  <si>
    <t>F16</t>
  </si>
  <si>
    <t>F17</t>
  </si>
  <si>
    <t>F18</t>
  </si>
  <si>
    <t>F19</t>
  </si>
  <si>
    <t>F20</t>
  </si>
  <si>
    <t>F31</t>
  </si>
  <si>
    <t>F32</t>
  </si>
  <si>
    <t>F33</t>
  </si>
  <si>
    <t>F36</t>
  </si>
  <si>
    <t>F37</t>
  </si>
  <si>
    <t>F38</t>
  </si>
  <si>
    <t>J36</t>
  </si>
  <si>
    <t>J37</t>
  </si>
  <si>
    <t>J38</t>
  </si>
  <si>
    <t>L46</t>
  </si>
  <si>
    <t>L48</t>
  </si>
  <si>
    <t>L50</t>
  </si>
  <si>
    <t>F53</t>
  </si>
  <si>
    <t>H56</t>
  </si>
  <si>
    <t>H57</t>
  </si>
  <si>
    <t>H58</t>
  </si>
  <si>
    <t>L58</t>
  </si>
  <si>
    <t>M58</t>
  </si>
  <si>
    <t>L60</t>
  </si>
  <si>
    <t>M60</t>
  </si>
  <si>
    <t>J60</t>
  </si>
  <si>
    <t>K60</t>
  </si>
  <si>
    <t>F44</t>
  </si>
  <si>
    <t>N35</t>
  </si>
  <si>
    <t>N26</t>
  </si>
  <si>
    <t>N39</t>
  </si>
  <si>
    <t>O35</t>
  </si>
  <si>
    <t>O36</t>
  </si>
  <si>
    <t>O37</t>
  </si>
  <si>
    <t>O38</t>
  </si>
  <si>
    <t>O39</t>
  </si>
  <si>
    <t>P35</t>
  </si>
  <si>
    <t>P36</t>
  </si>
  <si>
    <t>P37</t>
  </si>
  <si>
    <t>P38</t>
  </si>
  <si>
    <t>P39</t>
  </si>
  <si>
    <t>Veränderung drchn PK €/VK (ohne FSJ/BufDi)</t>
  </si>
  <si>
    <t>Veränderung SK</t>
  </si>
  <si>
    <t>Veränderung FL</t>
  </si>
  <si>
    <t>Veränderung PK (gesamt - inkl. FSJ/BufDi)</t>
  </si>
  <si>
    <t>Gesamtkosten</t>
  </si>
  <si>
    <t>M35</t>
  </si>
  <si>
    <t>M46</t>
  </si>
  <si>
    <t>Gesamtkosten o. 43 b</t>
  </si>
  <si>
    <t>erledigt</t>
  </si>
  <si>
    <t>entfällt</t>
  </si>
  <si>
    <t>Abstimmung mit Astrid 9/26</t>
  </si>
  <si>
    <t>Verknüpfungstabelle</t>
  </si>
  <si>
    <t>Anpassungen für Betriebsvergleich</t>
  </si>
  <si>
    <t>Stand 30.09.2026</t>
  </si>
  <si>
    <t>Betrag</t>
  </si>
  <si>
    <t>Vereinbarungswerte</t>
  </si>
  <si>
    <t>Forderung</t>
  </si>
  <si>
    <t>Pflegesätze</t>
  </si>
  <si>
    <t>Pflegesatz für KZP</t>
  </si>
  <si>
    <t>Zeile 63ff</t>
  </si>
  <si>
    <t>Eingabefelder für bisherige Vereinbarungswerte eingefügt; Positionierung und Formulierungen der Forderungswerte angepasst</t>
  </si>
  <si>
    <t>Zeile 58 bis 61</t>
  </si>
  <si>
    <t>Eingabefelder für das bisher vereinbartes Verwaltungsbudget ergänzt</t>
  </si>
  <si>
    <t xml:space="preserve"> - Personalkostensteigerungen -</t>
  </si>
  <si>
    <t>Verwaltungsbudget (ggf. inkl. Budgetaufschlag)</t>
  </si>
  <si>
    <t>06.10.2026/ 07.10.2026</t>
  </si>
  <si>
    <t>O25: Text enfernt (alt:  "- Personalkostensteigerungen - (nicht für Funktionsbereich Pflege, Betreuung, zusätzliche Betreuung notwendig)")
O20: Text ersetzt (alt: " - die veränderte Personalausstattung -")
Zellen verbunden</t>
  </si>
  <si>
    <t>O25, O20 und O21:R33</t>
  </si>
  <si>
    <t>Tarifbindung/Tarifanlehnung</t>
  </si>
  <si>
    <t>*Berechnungsgrundlagen Mindestlohn für LAUFZEIT für Arbeitnehmer, die nicht in der Grundpflege tätig sind, HAUSWIRTSCHAFT</t>
  </si>
  <si>
    <t>*Berechnungsgrundlagen Mindestlohn für LAUFZEIT für Arbeitnehmer, die nicht in der Grundpflege tätig sind, KÜCHE</t>
  </si>
  <si>
    <t>*Berechnungsgrundlagen Mindestlohn für LAUFZEIT für Arbeitnehmer, die nicht in der Grundpflege tätig sind, HAT</t>
  </si>
  <si>
    <t>H66:K75</t>
  </si>
  <si>
    <t>Steigerungen entsprechend Beschluss PSK vom 08.10.2026 angepasst</t>
  </si>
  <si>
    <t>N59</t>
  </si>
  <si>
    <t>Formel angepasst</t>
  </si>
  <si>
    <t>I25:I26</t>
  </si>
  <si>
    <t xml:space="preserve">Bedingung Datenüberprüfung korrigiert </t>
  </si>
  <si>
    <t>Formel durch "0" ersetzt (um das aktivieren des Blattes B_PH_Berechnung rüE zu verhindern) (alt: =WENN(UND(H56&lt;&gt;"ja";H57="rüE");1;0))</t>
  </si>
  <si>
    <t>Spalte M</t>
  </si>
  <si>
    <t>Hinweistexte bei Überschreitung der max. Steigerungen angepasst</t>
  </si>
  <si>
    <t>(gültig für 2027)</t>
  </si>
  <si>
    <t xml:space="preserve">Textfarbe in grau geändert (zur Kennzeichnung nicht verwendeter Inhalte) </t>
  </si>
  <si>
    <t xml:space="preserve">rüE alt </t>
  </si>
  <si>
    <t>K29:K31</t>
  </si>
  <si>
    <t>Prüfung Mindetslohn entfernt</t>
  </si>
  <si>
    <t>diverse Zellen</t>
  </si>
  <si>
    <t>B_PH_Allgemeine Angaben</t>
  </si>
  <si>
    <t>Blatt ausgeblendet</t>
  </si>
  <si>
    <t>Fehlertext angepasst (alt: Wert außerhalb der zulässigen Bandbreite …)</t>
  </si>
  <si>
    <t>Bewohnersprecher *</t>
  </si>
  <si>
    <t>Bewohnervertretung oder Bewohnersprecher haben diese nicht wahrgenommen</t>
  </si>
  <si>
    <t>Bewohnervertretung oder Bewohnersprecher nicht vorhanden,</t>
  </si>
  <si>
    <t>Einbeziehung der Bewohnervertretung / des Bewohnersprechers:</t>
  </si>
  <si>
    <t>Stellungnahme der Bewohnervertretung / des Bewohnersprechers:</t>
  </si>
  <si>
    <t>oder des Bewohnersprechers</t>
  </si>
  <si>
    <t>B_PH_Bewohnervertretung</t>
  </si>
  <si>
    <t>Begriff "Bewohnerfürsprecher" durch "Bewohnersprecher" ersetzt</t>
  </si>
  <si>
    <t>Hinweise zum vereinfachten Verfahren der Aufforderung zum Abschluss einer 
Pflegesatzvereinbarung gemäß §§ 84, 85 SGB XI sowie von Vereinbarungen nach 
§ 75 SGB XII für vollstationäre Pflegeeinrichtungen und für Kurzzeitpflegeeinrichtungen 
im Sinne § 1 Abs. 7 dieses Rahmenvertrages</t>
  </si>
  <si>
    <t>Vereinfachtes Verfahren der Aufforderung zum Abschluss einer Pflegesatzvereinbarung gemäß § 84, 85 SGB XI - Vollstationäre Pflegeeinrichtungen
und für Kurzzeitpflegeeinrichtungen im Sinne § 1 Abs. 7 dieses Rahmenvertrages</t>
  </si>
  <si>
    <t>Aus Gründen der besseren Lesbarkeit wird auf die gleichzeitige Verwendung männlicher und 
weiblicher Sprachformen verzichtet. Sämtliche Personenbezeichnungen gelten gleichwohl für alle 
Geschlechter.</t>
  </si>
  <si>
    <t>Das vereinfachte Verfahren kann grundsätzlich nur einmal angewendet werden. Ungeachtet 
dessen erklären sich die Kostenträger bereit, auch über ein weiteres vereinfachtes Verfahren zu 
verhandeln, sofern hiermit eine entsprechende Laufzeitverlängerung der Pflegesatzvereinbarung 
verbunden wird. Bis Mitte 2027 werden die Verfahrensbeteiligten einen Vorschlag für die 
Ausgestaltung und Voraussetzungen eines solchen weiteren vereinfachten Verfahrens erarbeiten.</t>
  </si>
  <si>
    <t>Für jede vollstationäre Pflegeeinrichtung mit einem separaten Versorgungsvertrag nach § 72 
SGB XI ist eine gesonderte Aufforderung einzureichen. 
Sofern auch eine Pflegesatzvereinbarung für Kurzzeitpflege im Sinne § 1 Abs. 7 des 
Rahmenvertrages abgeschlossen werden soll, sind diese Plätze in der Antragstellung der 
vollstationären Pflegeeinrichtung mit umfasst und bedürfen keiner separaten Antragstellung.
Die Antragsunterlagen und die Stellungnahme der Bewohnervertretung sind rechtsverbindlich zu 
unterzeichnen. Die Antragsunterlagen sind im Excel-Format und die Unterschriftenseiten 
(Kalkulation und Bewohnervertretung) im pdf-Format per E-Mail an die zuständigen 
Vertragsparteien zu übermitteln.</t>
  </si>
  <si>
    <t>2. Aufforderungsunterlagen</t>
  </si>
  <si>
    <r>
      <t xml:space="preserve">2. Aufforderungsunterlagen
</t>
    </r>
    <r>
      <rPr>
        <sz val="11"/>
        <color theme="1"/>
        <rFont val="Arial"/>
        <family val="2"/>
      </rPr>
      <t>Die Aufforderungsunterlagen enthalten Formeln, so dass sich die beantragten Pflegesätze 
und Entgelte errechnen. Es sind ausschließlich die gelben Felder auszufüllen.</t>
    </r>
  </si>
  <si>
    <r>
      <t xml:space="preserve">2.1. Mappe Allgemeine Angaben
</t>
    </r>
    <r>
      <rPr>
        <sz val="11"/>
        <color theme="1"/>
        <rFont val="Arial"/>
        <family val="2"/>
      </rPr>
      <t xml:space="preserve">Für jede Pflegeeinrichtung muss zwingend ein leeres Antragsformular verwendet werden. Bereits 
befüllte Formulare führen bei einer nachträglichen Änderung der Art der Einrichtung zu 
fehlerhaften Verknüpfungen.
Die Platzzahl bestimmt sich nach dem Versorgungsvertrag. 
Wenn eine Pflegeeinrichtung die Vergütung für die Kurzzeitpflege aus dem vollstationären Antrag 
ableiten lässt, ist die Platzzahl </t>
    </r>
    <r>
      <rPr>
        <b/>
        <sz val="11"/>
        <color theme="1"/>
        <rFont val="Arial"/>
        <family val="2"/>
      </rPr>
      <t>insgesam</t>
    </r>
    <r>
      <rPr>
        <sz val="11"/>
        <color theme="1"/>
        <rFont val="Arial"/>
        <family val="2"/>
      </rPr>
      <t xml:space="preserve">t einzutragen und die Platzzahl der </t>
    </r>
    <r>
      <rPr>
        <b/>
        <sz val="11"/>
        <color theme="1"/>
        <rFont val="Arial"/>
        <family val="2"/>
      </rPr>
      <t>Kurzzeitpflege als 
DAVONposition</t>
    </r>
    <r>
      <rPr>
        <sz val="11"/>
        <color theme="1"/>
        <rFont val="Arial"/>
        <family val="2"/>
      </rPr>
      <t xml:space="preserve"> anzugeben. </t>
    </r>
    <r>
      <rPr>
        <b/>
        <sz val="11"/>
        <color theme="1"/>
        <rFont val="Arial"/>
        <family val="2"/>
      </rPr>
      <t xml:space="preserve">
</t>
    </r>
    <r>
      <rPr>
        <sz val="11"/>
        <color theme="1"/>
        <rFont val="Arial"/>
        <family val="2"/>
      </rPr>
      <t>Beispiel:
Vollstationärer Versorgungsvertrag: 40 Plätze 
davon Kurzzeitpflege (kein eigenes IK für die Kurzzeitpflege): 5 Plätze 
Gesamtplätze 40, davon 5 Kurzzeitpflegeplätze
Beispiel:
vollstationärer Versorgungsvertrag: 40 Plätze
Kurzzeitpflege (mit eigenem IK für die Kurzzeitpflege): 5 Plätze 
Gesamtplatzzahl 45, davon 5 Kurzzeitpflegeplätze</t>
    </r>
  </si>
  <si>
    <t xml:space="preserve">Die eingestreuten Plätze in einer vollstationären Pflegeeinrichtungen nach § 43 SGB XI 
(siehe § 1 Abs. 8 Rahmenvertrag Kurzzeitpflege) bleiben davon unberührt.
Der Vereinbarungszeitraum umfasst regelmäßig mindestens 12 Monate.
Die Pflegeeinrichtung muss auswählen, ob sie unmittelbar an einen Tarif / eine AVR gebunden ist, 
sich an ein Tarifwerk anlehnt oder nach dem regional üblichen Entgelt entlohnt. In Abhängigkeit 
der getroffenen Aussage stehen differenzierte Steigerungsraten für die Kalkulation zur Verfügung.
Die Parteien der Pflegesatzvereinbarung sind gemäß § 85 Abs. 2 SGB XI zu ermitteln und ihr 
Anteil an den Berechnungstagen der Pflegeeinrichtung entsprechend anzugeben. Der Anteil der 
Bewohner, die ergänzende Leistungen der Sozialhilfe erhalten, ist zusätzlich als Davonposition 
auszuweisen. </t>
  </si>
  <si>
    <t>1. Allgemeine Hinweise</t>
  </si>
  <si>
    <r>
      <rPr>
        <b/>
        <sz val="11"/>
        <color rgb="FF000000"/>
        <rFont val="Arial"/>
        <family val="2"/>
      </rPr>
      <t>2.2. Mappe Kalkulation</t>
    </r>
    <r>
      <rPr>
        <sz val="11"/>
        <color rgb="FF000000"/>
        <rFont val="Arial"/>
        <family val="2"/>
      </rPr>
      <t xml:space="preserve">
</t>
    </r>
    <r>
      <rPr>
        <u/>
        <sz val="11"/>
        <color rgb="FF000000"/>
        <rFont val="Arial"/>
        <family val="2"/>
      </rPr>
      <t>Auslastungsgrad</t>
    </r>
    <r>
      <rPr>
        <sz val="11"/>
        <color rgb="FF000000"/>
        <rFont val="Arial"/>
        <family val="2"/>
      </rPr>
      <t xml:space="preserve">
vollstationäre Pflegeeinrichtung 96 % bis 100 %
Der abgeleitete Pflegesatz und die Entgelte der Kurzzeitpflegeplätze werden mit einem 
Auslastungsgrad von 80 % kalkuliert.
</t>
    </r>
    <r>
      <rPr>
        <u/>
        <sz val="11"/>
        <color rgb="FF000000"/>
        <rFont val="Arial"/>
        <family val="2"/>
      </rPr>
      <t>jährliche Öffnungstage</t>
    </r>
    <r>
      <rPr>
        <sz val="11"/>
        <color rgb="FF000000"/>
        <rFont val="Arial"/>
        <family val="2"/>
      </rPr>
      <t xml:space="preserve">
365 Tage
Im Übrigen bildet der linke Teil der Tabelle den Sachstand der aktuell gültigen 
Pflegesatzvereinbarung ab. 
Im rechten Teil der Tabelle wird die Forderung der Pflegeeinrichtung dargestellt.
</t>
    </r>
    <r>
      <rPr>
        <u/>
        <sz val="11"/>
        <color rgb="FF000000"/>
        <rFont val="Arial"/>
        <family val="2"/>
      </rPr>
      <t>Pflegebedürftige in der Einrichtung</t>
    </r>
    <r>
      <rPr>
        <sz val="11"/>
        <color rgb="FF000000"/>
        <rFont val="Arial"/>
        <family val="2"/>
      </rPr>
      <t xml:space="preserve">
Die Pflegeeinrichtung trägt die Belegung mit Pflegebedürftigen nach den 5 Pflegegraden 
entsprechend der aktuell gültigen Pflegesatzvereinbarung ein. Eine Änderung für die 
prognostische Belegung ist nicht möglich.
Die Belegung muss der Platzzahl im Versorgungsvertrag entsprechen.
Auch wenn eine Pflegeeinrichtung bei einzelnen Pflegegraden eine Nullbelegung angibt, wird für 
diesen Pflegegrad ein Personalanteilswert Pflege / Betreuung und ein Pflegesatz ermittelt.</t>
    </r>
  </si>
  <si>
    <t>2.1. Allgemeine Angaben</t>
  </si>
  <si>
    <t>2.2.Kalkulation</t>
  </si>
  <si>
    <t>2.3.Bewohnervertretung</t>
  </si>
  <si>
    <t>zurück</t>
  </si>
  <si>
    <t xml:space="preserve">Aus der aktuell gültigen Pflegesatzvereinbarung kann der Wert zur Zeit mehrheitlich noch nicht 
übertragen werden. Die Einrichtungsleitung war in der Personalrelation Leitung / Verwaltung 
enthalten. Allerdings liegen den Verhandlungspartnern der bisherige Stellenanteil und die 
berücksichtigten Personalkosten in der Regel vor.  
In den Bereichen zusätzliche Betreuung nach § 43b SGB XI, Hauswirtschaft, Küche und 
Haustechnik werden die Personalrelationen unverändert aus der aktuell gültigen 
Pflegesatzvereinbarung übernommen.
Die Stellen für Freiwillige Dienste / FSJ sind ebenfalls der aktuell gültigen Pflegesatzvereinbarung 
zu entnehmen. Eine prospektive Veränderung ist möglich.
Entsprechende Hinweise (Fehlermeldungen) sind zu beachten. </t>
  </si>
  <si>
    <r>
      <rPr>
        <u/>
        <sz val="11"/>
        <color theme="1"/>
        <rFont val="Arial"/>
        <family val="2"/>
      </rPr>
      <t>Personalkosten</t>
    </r>
    <r>
      <rPr>
        <sz val="11"/>
        <color theme="1"/>
        <rFont val="Arial"/>
        <family val="2"/>
      </rPr>
      <t xml:space="preserve">
Die Personalkosten werden aus der aktuell gültigen Pflegesatzvereinbarung, unter Beachtung der 
Hinweise zur Einrichtungsleitung, übernommen.
Die Angaben der Personalkosten Prognose sind abhängig von der Wahl der Entlohnung (AVR / 
Tarif, Tarifanlehner, regional übliches Entgelt) in der Mappe Allgemeine Angaben.
Die Steigerung der Personalkosten wird für alle Funktionsbereiche in der Mappe Kalkulation 
eingetragen. 
Die bisher geeinten Personalkosten können in den Funktionsbereichen:</t>
    </r>
  </si>
  <si>
    <t>Tarifgebundene Einrichtungen / Tarifanlehner</t>
  </si>
  <si>
    <t>Regional übliches Entgelt</t>
  </si>
  <si>
    <t>um maximal 5 %</t>
  </si>
  <si>
    <t>um maximal 3 %</t>
  </si>
  <si>
    <t>zusätzliche Betreuung und Aktivierung nach § 43 b SGB XI</t>
  </si>
  <si>
    <t>um maximal 3,42 %</t>
  </si>
  <si>
    <t>Freiwillige Dienste / FSJ</t>
  </si>
  <si>
    <t>um maximal 4 %</t>
  </si>
  <si>
    <r>
      <t xml:space="preserve">gesteigert werden.
Für Freiwillige Dienste und FSJ sind im Antrag Netto-Personalkosten darzustellen.
Für die Sonderfunktionen Qualitätsmanagement (QM) und Hygienemanagement (HM) sind die 
Auswahloptionen davon abhängig, ob bereits Personal vereinbart ist. Bitte beachten Sie ggf. rote 
Hinweise.
Sofern </t>
    </r>
    <r>
      <rPr>
        <u/>
        <sz val="11"/>
        <color theme="1"/>
        <rFont val="Arial"/>
        <family val="2"/>
      </rPr>
      <t>bisher kein Personal</t>
    </r>
    <r>
      <rPr>
        <sz val="11"/>
        <color theme="1"/>
        <rFont val="Arial"/>
        <family val="2"/>
      </rPr>
      <t xml:space="preserve"> für die Sonderfunktionen Qualitätsmanagement (QM) und / oder 
Hygienemanagement (HM) vereinbart ist, muss für eine erstmalige Vereinbarung in der Prognose eine 
Qualifikation aus den Beschäftigungsgruppen Pflege- und Betreuungsfachkräfte, Pflege- und 
Betreuungskräfte mit mindestens einjähriger Ausbildung oder Pflege- und Betreuungskräfte ohne 
einjährige Ausbildung angegeben werden. Gemäß dieser Auswahl werden die der Qualifikation 
entsprechenden durchschnittlichen Personalkosten berücksichtigt. 
Wenn als Qualifikation „keine Pflege“ oder eine Beschäftigungsgruppe gewählt wird, für die kein 
Anteilswert und damit keine Personalkosten hinterlegt sind, erscheint ein Hinweis und es erfolgt keine 
Berechnung. 
Eine individuelle Vereinbarung von Personalkosten ist im vereinfachten Verfahren nicht möglich. </t>
    </r>
  </si>
  <si>
    <r>
      <t xml:space="preserve">Ist </t>
    </r>
    <r>
      <rPr>
        <u/>
        <sz val="11"/>
        <color theme="1"/>
        <rFont val="Arial"/>
        <family val="2"/>
      </rPr>
      <t>bereits Personal</t>
    </r>
    <r>
      <rPr>
        <sz val="11"/>
        <color theme="1"/>
        <rFont val="Arial"/>
        <family val="2"/>
      </rPr>
      <t xml:space="preserve"> für eine oder beide Sonderfunktionen vereinbart, kann entsprechend der 
Qualifikation aus den drei Beschäftigungsgruppen oder „keine Pflege“ gewählt werden. Der Stellenanteil 
kann innerhalb der rahmenverträglichen Bestimmungen unter Beachtung der Vorhaltung in der 
Pflegeeinrichtung geändert werden. Die dafür bisher vereinbarten Personalkosten werden im ersten 
Schritt übernommen. Im zweiten Schritt können sie durch die Auswahl der Qualifikation angepasst oder 
bei Auswahl „keine Pflege“ prozentual gesteigert werden. 
Wenn eine Beschäftigungsgruppe gewählt wird, für die kein Anteilswert und damit keine Personalkosten 
hinterlegt sind, erscheint ein Hinweis und es erfolgt keine Berechnung. 
Das regionale Entlohnungsniveau für Pflege / Betreuung und zusätzliche Betreuung nach § 43b SGB XI 
im Rahmen der Veröffentlichung nach § 82c Abs. 5 SGB XI (Stand 30.09.2026) für das regional übliche 
Entgelt beträgt:</t>
    </r>
  </si>
  <si>
    <t>20,88 € / h</t>
  </si>
  <si>
    <t>22,52 € / h</t>
  </si>
  <si>
    <t>27,18 € / h</t>
  </si>
  <si>
    <r>
      <t xml:space="preserve">Regional übliches Entlohnungsniveau je Beschäftigtengruppe gemäß § 4 Absatz 3 
der Richtlinien des GKV-SV nach § 82c Absatz 4 SGB XI in </t>
    </r>
    <r>
      <rPr>
        <b/>
        <sz val="11"/>
        <color theme="1"/>
        <rFont val="Arial"/>
        <family val="2"/>
      </rPr>
      <t>Sachsen</t>
    </r>
    <r>
      <rPr>
        <sz val="11"/>
        <color theme="1"/>
        <rFont val="Arial"/>
        <family val="2"/>
      </rPr>
      <t xml:space="preserve"> 
(Stand 30.9.2026)</t>
    </r>
  </si>
  <si>
    <r>
      <t xml:space="preserve">Regionale Durchschnittswerte der tarifvertraglich oder in kirchlichen 
Arbeitsrechtsregelungen vereinbarten variablen pflegetypischen Zuschläge auf den 
Stundenlohn (Grundgehalt) gemäß § 5 Absatz 2 der Richtlinien des GKV-SV nach 
§ 82c Absatz 4 SGB XI in </t>
    </r>
    <r>
      <rPr>
        <b/>
        <sz val="11"/>
        <color theme="1"/>
        <rFont val="Arial"/>
        <family val="2"/>
      </rPr>
      <t>Sachsen</t>
    </r>
    <r>
      <rPr>
        <sz val="11"/>
        <color theme="1"/>
        <rFont val="Arial"/>
        <family val="2"/>
      </rPr>
      <t xml:space="preserve"> (Stand 30.9.2026)</t>
    </r>
  </si>
  <si>
    <t>Nachtzuschläge für eine Tätigkeit in der Nacht, mindestens 
im Zeitraum zwischen 23 und 6 Uhr</t>
  </si>
  <si>
    <t>Sonntagszuschläge für eine Tätigkeit an Sonntagen im 
Zeitraum zwischen 0 und 24 Uhr</t>
  </si>
  <si>
    <t>Feiertagszuschläge für eine Tätigkeit an gesetzlichen 
Feiertagen im Zeitraum zwischen 0 und 24 Uhr (mit Freizeitausgleich)</t>
  </si>
  <si>
    <t>Feiertagszuschläge für eine Tätigkeit an gesetzlichen 
Feiertagen im Zeitraum zwischen 0 und 24 Uhr (ohne Freizeitausgleich)</t>
  </si>
  <si>
    <t>Fachkräfte in den Bereichen Pflege und Betreuung mit 
mindestens dreijähriger Berufsausbildung</t>
  </si>
  <si>
    <t>Pflege- und Betreuungskräfte mit mindestens einjähriger 
Berufsausbildung</t>
  </si>
  <si>
    <t>Pflege- und Betreuungskräfte ohne mindestens einjährige 
Berufsausbildung</t>
  </si>
  <si>
    <r>
      <rPr>
        <b/>
        <sz val="11"/>
        <color theme="1"/>
        <rFont val="Arial"/>
        <family val="2"/>
      </rPr>
      <t>2.3. Mappe Bewohnervertretung</t>
    </r>
    <r>
      <rPr>
        <sz val="11"/>
        <color theme="1"/>
        <rFont val="Arial"/>
        <family val="2"/>
      </rPr>
      <t xml:space="preserve">
Vollstationäre Pflegeeinrichtungen haben gemäß § 85 Abs. 3 SGB XI zum Zeitpunkt der Antragstellung 
eine Stellungnahme der Bewohnervertretung beizufügen.</t>
    </r>
  </si>
  <si>
    <r>
      <rPr>
        <b/>
        <sz val="11"/>
        <color theme="1"/>
        <rFont val="Arial"/>
        <family val="2"/>
      </rPr>
      <t>2.4. Mappe Ergebnis</t>
    </r>
    <r>
      <rPr>
        <sz val="11"/>
        <color theme="1"/>
        <rFont val="Arial"/>
        <family val="2"/>
      </rPr>
      <t xml:space="preserve">
Bis zur Ausfertigung der Pflegesatzvereinbarung erhält die Pflegeeinrichtung nach abgeschlossener 
Pflegesatzverhandlung ein von der Kostenträgerseite unterzeichnetes Ergebnis.
</t>
    </r>
    <r>
      <rPr>
        <u/>
        <sz val="11"/>
        <color theme="1"/>
        <rFont val="Arial"/>
        <family val="2"/>
      </rPr>
      <t>Ausbildungsvergütung gemäß § 82a SGB XI</t>
    </r>
    <r>
      <rPr>
        <sz val="11"/>
        <color theme="1"/>
        <rFont val="Arial"/>
        <family val="2"/>
      </rPr>
      <t xml:space="preserve">
Sofern die Pflegeeinrichtung eine Vereinbarung zur Ausbildungsvergütung gemäß § 82a SGB XI 
abgeschlossen hat, erhöht sich der jeweilige Pflegesatz bzw. der einrichtungseinheitliche Eigenanteil 
um diesen Betrag.</t>
    </r>
  </si>
  <si>
    <r>
      <rPr>
        <b/>
        <sz val="11"/>
        <color theme="1"/>
        <rFont val="Arial"/>
        <family val="2"/>
      </rPr>
      <t>2.5. Mappe Gesamtkalkulation</t>
    </r>
    <r>
      <rPr>
        <sz val="11"/>
        <color theme="1"/>
        <rFont val="Arial"/>
        <family val="2"/>
      </rPr>
      <t xml:space="preserve">
Die Gesamtkalkulation fasst die vorangegangenen Angaben zur Ermittlung der Entgeltbestandteile nach 
den fünf Pflegegraden zusammen. Hier kann die Pflegeeinrichtung keine Änderungen vornehmen. 
Ggf. sind Korrekturen auf den vorhergehenden Seiten erforderlich. 
Sofern auch eine Pflegesatzvereinbarung für Kurzzeitpflege im Sinne § 1 Abs. 7 des Rahmenvertrages 
abgeschlossen werden soll, werden die Kosten anteilig für die vollstationäre Pflege und die 
Kurzzeitpflege dargestellt.</t>
    </r>
  </si>
  <si>
    <t>2.4. Ergebnis</t>
  </si>
  <si>
    <t>2.5. Gesamtkalkulation</t>
  </si>
  <si>
    <r>
      <rPr>
        <b/>
        <sz val="11"/>
        <rFont val="Arial"/>
        <family val="2"/>
      </rPr>
      <t xml:space="preserve">Basis ist die Ergebniskalkulation zur aktuell gültigen Pflegesatzvereinbarung. </t>
    </r>
    <r>
      <rPr>
        <sz val="11"/>
        <rFont val="Arial"/>
        <family val="2"/>
      </rPr>
      <t xml:space="preserve">Es handelt sich 
um eine pauschale Herangehensweise, die nicht alle individuellen Veränderungen der 
Pflegeeinrichtung seit Abschluss der gültigen Pflegesatzvereinbarung berücksichtigt. 
Die vollständig ausgefüllten Antragsunterlagen sind gemäß § 85 Abs. 2 und Abs. 3 SGB XI den 
Leistungsträgern oder deren Arbeitsgemeinschaften, auf die im Jahr vor Beginn der 
Pflegesatzverhandlungen mehr als fünf vom Hundert der Berechnungstage der Pflegeeinrichtung 
entfallen, spätestens sechs Wochen vor dem beantragten Vereinbarungszeitraum durch den 
Träger der Pflegeeinrichtung zuzusenden (siehe Adressverzeichnis). Zwischen dem 
Antragsdatum und dem Laufzeitbeginn können maximal 4 Monate liegen. 
Sofern der KSV Sachsen nicht bereits Vertragspartei ist, erhält er immer eine Kopie 
der Allgemeinen Angaben und der Kalkulation. 
Werden eingereichte Antragsunterlagen korrigiert bzw. ergänzt, müssen die aktualisierten 
Antragsunterlagen rechtzeitig, in der Regel 14 Tage vor dem Verhandlungstermin, den 
beteiligten Vertragsparteien vorliegen. </t>
    </r>
  </si>
  <si>
    <t>B_PH_Hinweise</t>
  </si>
  <si>
    <t>Blatt Hinweise eingefügt</t>
  </si>
  <si>
    <t>Inhaltsverzeichnis</t>
  </si>
  <si>
    <r>
      <rPr>
        <b/>
        <sz val="11"/>
        <rFont val="Arial"/>
        <family val="2"/>
      </rPr>
      <t>1. Allgemeine Hinweise</t>
    </r>
    <r>
      <rPr>
        <sz val="11"/>
        <rFont val="Arial"/>
        <family val="2"/>
      </rPr>
      <t xml:space="preserve">
Dieses Antragsverfahren kann von vollstationären Pflegeeinrichtungen und 
Kurzzeitpflegeeinrichtungen im Sinne des § 1 Abs. 7 des Rahmenvertrages zur Kurzzeitpflege 
gemäß § 75 Abs. 1 SGB XI im Freistaat Sachsen (in Kraft ab 1. Juli 2026) genutzt werden, die
- gemäß dem 2. Nachtrag zum Rahmenvertrag zur vollstationären Pflege (in Kraft ab 1. Januar 
2026) mindestens eine Vollverhandlung durchgeführt haben, 
- deren aktuell gültige Pflegesatzvereinbarung ausgelaufen ist und
- die seit der Vorverhandlung keine Kapazitätsänderung vorgenommen haben.
Grundlagen sind der Rahmenvertrag nach § 75 Abs. 1 SGB XI zur vollstationären Pflege, der 
2. Nachtrag zum Rahmenvertrag zur vollstationären Pflege, der Beschluss 2 / 2026 der 
Pflegesatzkommission und der Rahmenvertrag nach § 75 Abs.1 SGB XI zur Kurzzeitpflege im 
Freistaat Sachsen.
Es sind außerdem die Anforderungen nach dem SächsWTG und der SächsWTVO zu beachten.</t>
    </r>
  </si>
  <si>
    <r>
      <rPr>
        <u/>
        <sz val="11"/>
        <color rgb="FF000000"/>
        <rFont val="Arial"/>
        <family val="2"/>
      </rPr>
      <t>Personalausstattung der Pflegeeinrichtung</t>
    </r>
    <r>
      <rPr>
        <sz val="11"/>
        <color rgb="FF000000"/>
        <rFont val="Arial"/>
        <family val="2"/>
      </rPr>
      <t xml:space="preserve">
Grundlage für die Ermittlung der beantragten Personalausstattung ist das prospektiv in der 
Einrichtung beschäftigte Personal. Eine Vollkraft wird mit 40 Stunden / Woche kalkuliert. Alle 
folgenden Angaben umfassen ggf. immer auch die Kurzzeitpflege.
Für die Sonderfunktionen PDL / stellvertretende PDL, Qualitätsmanagement (QM) und 
Hygienemanagement (HM) übernimmt die Pflegeeinrichtung die Angaben aus der aktuell gültigen 
Pflegesatzvereinbarung. 
Der Stellenanteil von PDL / stellvertretender PDL bestimmt sich nach der Einrichtungsgröße 
•  bis 40 Plätze → bis zu 0,75 VK
•  41 bis 80 Plätze → bis zu 1,00 VK
•  81 bis 150 Plätze → bis zu 1,25 VK
•  ab 151 Plätze → bis zu 2,00 VK
Qualitätsmanagement (QM)
Für das Qualitätsmanagement kann zusätzlich bis zu 0,50 VK vereinbart werden.
Hygienemanagement (HM)
Für das Hygienemanagement kann zusätzlich bis zu 0,25 VK vereinbart werden.
Sofern für die Sonderfunktionen die Maximalwerte entsprechend dem 2. Nachtrag zum 
Rahmenvertrag zur vollstationären Pflege noch nicht erreicht, aber vorgehalten werden oder die 
Pflegeeinrichtung erstmals Personal dafür vorhält, kann der Wert in der Prognose angepasst 
werden. 
Das gilt auch für den Fall, dass die Pflegeeinrichtung den Stellenumfang für die Sonderfunktionen 
reduzieren möchte.
</t>
    </r>
  </si>
  <si>
    <r>
      <t xml:space="preserve">Die Personalkosten von PDL / stellvertretender PDL bleiben bei der Ermittlung des regional üblichen 
Entlohnungsniveaus unberücksichtigt.
</t>
    </r>
    <r>
      <rPr>
        <u/>
        <sz val="11"/>
        <color theme="1"/>
        <rFont val="Arial"/>
        <family val="2"/>
      </rPr>
      <t>Sachkosten</t>
    </r>
    <r>
      <rPr>
        <sz val="11"/>
        <color theme="1"/>
        <rFont val="Arial"/>
        <family val="2"/>
      </rPr>
      <t xml:space="preserve">
Mit Einführung des Verwaltungsbudgets gemäß Beschluss 2 / 2026 der Pflegesatzkommission (gültig 
ab 1. Juli 2026) fallen die bisherigen Positionen Verwaltungsbedarf und zentrale Verwaltungsdienste aus 
den Sachkosten sowie die Verwaltung aus den Fremdleistungen weg. Diese werden im 
Verwaltungsbudget berücksichtigt.
Die Sachkosten können in allen Positionen pauschal um maximal 3,0 % bezogen auf die aktuell 
geeinten Werte gesteigert werden.
</t>
    </r>
    <r>
      <rPr>
        <u/>
        <sz val="11"/>
        <color theme="1"/>
        <rFont val="Arial"/>
        <family val="2"/>
      </rPr>
      <t>Fremdleistungen</t>
    </r>
    <r>
      <rPr>
        <sz val="11"/>
        <color theme="1"/>
        <rFont val="Arial"/>
        <family val="2"/>
      </rPr>
      <t xml:space="preserve">
Die Fremdleistungen können in allen Positionen pauschal um maximal 5,0 % bezogen auf die aktuell
geeinten Werte gesteigert werden.
</t>
    </r>
    <r>
      <rPr>
        <u/>
        <sz val="11"/>
        <color theme="1"/>
        <rFont val="Arial"/>
        <family val="2"/>
      </rPr>
      <t>Verwaltungsbudget</t>
    </r>
    <r>
      <rPr>
        <sz val="11"/>
        <color theme="1"/>
        <rFont val="Arial"/>
        <family val="2"/>
      </rPr>
      <t xml:space="preserve">
Das Verwaltungsbudget kann in Höhe von bis zu 7 % der Gesamtsumme aus Personalkosten (ohne 
Einrichtungsleitung und ohne Personal nach § 43b SGB XI), Sachkosten und Fremdleistungen 
vereinbart werden. Eine höhere Steigerung ist nur dann möglich, wenn bereits der aktuell geeinte Wert 
der Steigerung für das Verwaltungsbudget höher ist. 
Falls für Pflegeeinrichtungen bis zu 40 Plätzen das Verwaltungsbudget nicht auskömmlich ist, kann bei 
sachlicher Begründung eine Anpassung des Zuschlags nur durch eine Vollverhandlung abgebildet 
werden.
</t>
    </r>
  </si>
  <si>
    <t>Schöpft eine Pflegeeinrichtung entsprechend der Platzzahl die maximal mögliche VK-Zahl für die 
Einrichtungsleitung nicht aus, kann bis zur Höhe der Differenz ein Aufschlag verhandelt werden. 
Die dafür anzusetzenden Personalkosten werden jährlich zum 1. Januar mit der Steigerung des 
Grundlohns p.a. (gemäß § 72 Abs. 3 SGB XI) fortentwickelt und betragen bei Laufzeitbeginn ab 
1. Januar 2027 98.662 €.
Beispiel: 
50 Plätze → max. 1 VK Einrichtungsleitung → angesetzt 0,75 VK Einrichtungsleitung
Differenz → max. 0,25 VK * 98.662 € = 24.665,50 € Erhöhung Verwaltungsbudget	
Die Richtigkeit der Angaben der Pflegeeinrichtung ist mit Unterschrift zu bestätigen.</t>
  </si>
  <si>
    <t>kein Absprung mehr zum Blatt B_PH_Berechnung rüE</t>
  </si>
  <si>
    <t>B99 gelb eingefärbt</t>
  </si>
  <si>
    <t>damit Eintragung Verhandlungsführer ermöglicht wird</t>
  </si>
  <si>
    <t>entfernt: B_PH_Berechnung rüE'!C34</t>
  </si>
  <si>
    <t>entfernt: B_PH_Berechnung rüE'!E34</t>
  </si>
  <si>
    <t>entfernt: B_PH_Berechnung rüE'!D34</t>
  </si>
  <si>
    <t>entfernt: B_PH_Berechnung rüE'!C36</t>
  </si>
  <si>
    <t>entfernt: B_PH_Berechnung rüE'!D36</t>
  </si>
  <si>
    <t>entfernt: B_PH_Berechnung rüE'!E36</t>
  </si>
  <si>
    <t>entfernt: B_PH_Berechnung rüE'!C37</t>
  </si>
  <si>
    <t>entfernt: B_PH_Berechnung rüE'!C40</t>
  </si>
  <si>
    <t>entfernt: B_PH_Berechnung rüE'!C42</t>
  </si>
  <si>
    <t>entfernt: B_PH_Berechnung rüE'!D42</t>
  </si>
  <si>
    <t>entfernt: B_PH_Berechnung rüE'!E42</t>
  </si>
  <si>
    <t>Version 19.10.2026</t>
  </si>
  <si>
    <t>entfernt: =WENN(UND('B_PH_Allgemeine Angaben'!H56="nein";'B_PH_Allgemeine Angaben'!H57="rüE");'B_PH_Berechnung rüE'!C34;"")</t>
  </si>
  <si>
    <t>entfernt: =WENN(UND('B_PH_Allgemeine Angaben'!H56="nein";'B_PH_Allgemeine Angaben'!H57="rüE");'B_PH_Berechnung rüE'!D34;"")</t>
  </si>
  <si>
    <t>entfernt: =WENN(UND('B_PH_Allgemeine Angaben'!H56="nein";'B_PH_Allgemeine Angaben'!H57="rüE");'B_PH_Berechnung rüE'!E34;"")</t>
  </si>
  <si>
    <t>entfernt: =WENN(UND('B_PH_Allgemeine Angaben'!H56="nein";'B_PH_Allgemeine Angaben'!H57="rüE");'B_PH_Berechnung rüE'!C40;"")</t>
  </si>
  <si>
    <t>entfernt: =WENN(UND('B_PH_Allgemeine Angaben'!H56="nein";'B_PH_Allgemeine Angaben'!H57="rüE");'B_PH_Berechnung rüE'!C36;"")</t>
  </si>
  <si>
    <t>entfernt: =WENN(UND('B_PH_Allgemeine Angaben'!H56="nein";'B_PH_Allgemeine Angaben'!H57="rüE");'B_PH_Berechnung rüE'!D36;"")</t>
  </si>
  <si>
    <t>entfernt: =WENN(UND('B_PH_Allgemeine Angaben'!H56="nein";'B_PH_Allgemeine Angaben'!H57="rüE");'B_PH_Berechnung rüE'!E36;"")</t>
  </si>
  <si>
    <t>entfernt: =WENN(UND('B_PH_Allgemeine Angaben'!H56="nein";'B_PH_Allgemeine Angaben'!H57="rüE");'B_PH_Berechnung rüE'!C42;"")</t>
  </si>
  <si>
    <t>entfernt: =WENN(UND('B_PH_Allgemeine Angaben'!H56="nein";'B_PH_Allgemeine Angaben'!H57="rüE");'B_PH_Berechnung rüE'!D42;"")</t>
  </si>
  <si>
    <t>entfernt: =WENN(UND('B_PH_Allgemeine Angaben'!H56="nein";'B_PH_Allgemeine Angaben'!H57="rüE");'B_PH_Berechnung rüE'!E42;"")</t>
  </si>
  <si>
    <t>entfällt bei B</t>
  </si>
  <si>
    <t>J61 und Ergänzung Wennfunktion für KZP-Plätze</t>
  </si>
  <si>
    <t>T61 und Ergänzung Wennfunktion für KZP-Plätze</t>
  </si>
  <si>
    <t>V61 und Ergänzung Wennfunktion für KZP-Plätze</t>
  </si>
  <si>
    <t>Bezüge zum ausgeblendeten Blatt "B_PH_Berechnung rüE" entfernt</t>
  </si>
  <si>
    <t>die im ausgeblendeten Blatt gefüllten/angegebenen Paramerter sind weder geeint noch zutreffend, sie dürfen im aktuellen Verfahren keine Verwendung finden und nicht zur Anzeige kommen</t>
  </si>
  <si>
    <t>seit 2026 nicht mehr relevant</t>
  </si>
  <si>
    <t>Für den Funktionsbereich Pflege / Betreuung werden die Anteilswerte für die Pflege- und 
Betreuungsfachkräfte, die Pflege- und Betreuungskräfte mit mindestens einjähriger Ausbildung 
und für die Pflege- und Betreuungskräfte ohne einjährige Ausbildung aus der aktuell gültigen 
Pflegesatzvereinbarung übernommen. 
Eine Erhöhung der Anteilswerte ist im vereinfachten Verfahren nicht möglich, auch nicht, wenn 
noch keine 100 % gemäß § 113c Abs. 1 SGB XI vereinbart sind. Eine Reduzierung ist möglich. 
Dabei muss die Mindestpersonalausstattung entsprechend dem 2. Nachtrag zum Rahmenvertrag 
zur vollstationären Pflege eingehalten sein.
•  mindestens 75 % der höchstens zu vereinbarenden personellen Ausstattung gemäß 
§ 113c Abs. 1 Nr. 3 SGB XI für Fachkräfte Pflege und Betreuung
•  mindestens 70 % der Gesamtsumme aus der höchstens zu vereinbarenden personellen 
Ausstattung für Hilfskräfte mit und ohne Ausbildung gemäß § 113c Abs. 1 Nr. 1 und 2 SGB XI 
Für die Einrichtungsleitung kann gemäß Beschluss 2 / 2026 der PSK (gültig ab 1. Juli 2026) ein 
Stellenanteil von
•  bis 40 Plätze → bis zu 0,75 VK
•  41 bis 80 Plätze → bis zu 1,00 VK
•  81 bis 150 Plätze → bis zu 1,50 VK
•  ab 151 Plätze → bis zu 2,00 VK
vereinbart werden. Weiteres Personal für Leitung / Verwaltung wird aus dem Verwaltungsbudget 
finanziert.
Schöpft eine Einrichtung die VK-Zahl der Einrichtungsleitung entsprechend der Platzzahl nicht 
aus, kann das Verwaltungsbudget erhöht werden (Budgetaufschlag).</t>
  </si>
  <si>
    <t>H-N87 gesperrt und Link entfernt</t>
  </si>
  <si>
    <t>Pflegekassen: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</si>
</sst>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6" formatCode="#,##0\ &quot;€&quot;;[Red]\-#,##0\ &quot;€&quot;"/>
    <numFmt numFmtId="44" formatCode="_-* #,##0.00\ &quot;€&quot;_-;\-* #,##0.00\ &quot;€&quot;_-;_-* &quot;-&quot;??\ &quot;€&quot;_-;_-@_-"/>
    <numFmt numFmtId="164" formatCode="#,##0.00\ &quot;€&quot;"/>
    <numFmt numFmtId="165" formatCode="0.000"/>
    <numFmt numFmtId="166" formatCode="#,##0.00\ _€"/>
    <numFmt numFmtId="167" formatCode="0\ &quot;%&quot;"/>
    <numFmt numFmtId="168" formatCode="#,##0.000\ &quot;€&quot;"/>
    <numFmt numFmtId="169" formatCode="#,##0.0000"/>
    <numFmt numFmtId="170" formatCode="0.0\ %"/>
    <numFmt numFmtId="171" formatCode="#,##0.000"/>
    <numFmt numFmtId="172" formatCode="&quot;1 :&quot;\ 0.00"/>
    <numFmt numFmtId="173" formatCode="\ 0\ &quot;Stelle/n&quot;"/>
    <numFmt numFmtId="174" formatCode="#,##0.00\ &quot;€&quot;&quot;/VK&quot;"/>
    <numFmt numFmtId="175" formatCode="#,##0.00\ &quot;€&quot;&quot;/Stelle&quot;"/>
    <numFmt numFmtId="176" formatCode="#,###"/>
    <numFmt numFmtId="177" formatCode="0.000\ &quot;VK&quot;"/>
    <numFmt numFmtId="178" formatCode="0.000%"/>
    <numFmt numFmtId="179" formatCode="&quot;Einrichtung:&quot;\ 0"/>
    <numFmt numFmtId="180" formatCode="_-* #,##0.00\ _€_-;\-* #,##0.00\ _€_-;_-* &quot;-&quot;??\ _€_-;_-@_-"/>
    <numFmt numFmtId="181" formatCode="_-* #,##0.000\ &quot;€&quot;_-;\-* #,##0.000\ &quot;€&quot;_-;_-* &quot;-&quot;???\ &quot;€&quot;_-;_-@_-"/>
    <numFmt numFmtId="182" formatCode="_-\ #,##0.00\ &quot;€/VK&quot;"/>
    <numFmt numFmtId="183" formatCode="0.000%&quot;*&quot;"/>
    <numFmt numFmtId="184" formatCode="0.0%"/>
    <numFmt numFmtId="185" formatCode="&quot;rund&quot;\ #,##0.00\ &quot;€&quot;"/>
    <numFmt numFmtId="186" formatCode="0.00\ &quot;€/Tag&quot;"/>
    <numFmt numFmtId="187" formatCode="0&quot;%&quot;"/>
    <numFmt numFmtId="188" formatCode="0\ &quot;Kalendermonate:&quot;"/>
    <numFmt numFmtId="189" formatCode="_-* #,##0.00\ &quot;€&quot;_-;\-* #,##0.00\ &quot;€&quot;_-;_-* &quot;-&quot;???\ &quot;€&quot;_-;_-@_-"/>
    <numFmt numFmtId="190" formatCode="0.0000\ &quot;VK&quot;"/>
    <numFmt numFmtId="191" formatCode="0.0000"/>
    <numFmt numFmtId="192" formatCode="#,##0.0000\ &quot;VK&quot;"/>
    <numFmt numFmtId="193" formatCode="&quot;%&quot;"/>
    <numFmt numFmtId="194" formatCode="000\ \ 000\ \ 000"/>
    <numFmt numFmtId="195" formatCode="00000"/>
    <numFmt numFmtId="196" formatCode="#,##0.0"/>
    <numFmt numFmtId="197" formatCode="#,##0.00_ ;\-#,##0.00\ "/>
    <numFmt numFmtId="198" formatCode="#,##0.00\ &quot;%&quot;"/>
    <numFmt numFmtId="199" formatCode="0.00000"/>
  </numFmts>
  <fonts count="155" x14ac:knownFonts="1">
    <font>
      <sz val="11"/>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rgb="FFFF0000"/>
      <name val="Arial"/>
      <family val="2"/>
    </font>
    <font>
      <b/>
      <sz val="11"/>
      <color theme="1"/>
      <name val="Arial"/>
      <family val="2"/>
    </font>
    <font>
      <b/>
      <sz val="11"/>
      <name val="Arial"/>
      <family val="2"/>
    </font>
    <font>
      <sz val="11"/>
      <name val="Arial"/>
      <family val="2"/>
    </font>
    <font>
      <b/>
      <sz val="10"/>
      <color theme="1"/>
      <name val="Arial"/>
      <family val="2"/>
    </font>
    <font>
      <b/>
      <sz val="10"/>
      <name val="Arial"/>
      <family val="2"/>
    </font>
    <font>
      <sz val="8"/>
      <color rgb="FFFF0000"/>
      <name val="Arial"/>
      <family val="2"/>
    </font>
    <font>
      <sz val="8"/>
      <color theme="0"/>
      <name val="Arial"/>
      <family val="2"/>
    </font>
    <font>
      <sz val="11"/>
      <color theme="3" tint="-0.249977111117893"/>
      <name val="Arial"/>
      <family val="2"/>
    </font>
    <font>
      <sz val="10"/>
      <color rgb="FFFF0000"/>
      <name val="Arial"/>
      <family val="2"/>
    </font>
    <font>
      <sz val="10"/>
      <name val="Arial"/>
      <family val="2"/>
    </font>
    <font>
      <sz val="8"/>
      <name val="Arial"/>
      <family val="2"/>
    </font>
    <font>
      <u/>
      <sz val="10"/>
      <color indexed="12"/>
      <name val="Arial"/>
      <family val="2"/>
    </font>
    <font>
      <sz val="11"/>
      <color theme="5" tint="-0.499984740745262"/>
      <name val="Arial"/>
      <family val="2"/>
    </font>
    <font>
      <sz val="10"/>
      <color rgb="FF0070C0"/>
      <name val="Arial"/>
      <family val="2"/>
    </font>
    <font>
      <b/>
      <sz val="10"/>
      <color rgb="FFFF0000"/>
      <name val="Arial"/>
      <family val="2"/>
    </font>
    <font>
      <sz val="11"/>
      <color rgb="FF7030A0"/>
      <name val="Arial"/>
      <family val="2"/>
    </font>
    <font>
      <sz val="11"/>
      <color theme="9" tint="-0.499984740745262"/>
      <name val="Arial"/>
      <family val="2"/>
    </font>
    <font>
      <sz val="10"/>
      <color rgb="FF7030A0"/>
      <name val="Arial"/>
      <family val="2"/>
    </font>
    <font>
      <sz val="11"/>
      <color rgb="FF0070C0"/>
      <name val="Arial"/>
      <family val="2"/>
    </font>
    <font>
      <sz val="8"/>
      <color theme="1"/>
      <name val="Arial"/>
      <family val="2"/>
    </font>
    <font>
      <sz val="11"/>
      <color rgb="FFC00000"/>
      <name val="Arial"/>
      <family val="2"/>
    </font>
    <font>
      <b/>
      <sz val="12"/>
      <name val="Arial"/>
      <family val="2"/>
    </font>
    <font>
      <sz val="9"/>
      <name val="Arial"/>
      <family val="2"/>
    </font>
    <font>
      <sz val="11"/>
      <color rgb="FF92D050"/>
      <name val="Arial"/>
      <family val="2"/>
    </font>
    <font>
      <sz val="9"/>
      <color theme="1"/>
      <name val="Arial"/>
      <family val="2"/>
    </font>
    <font>
      <b/>
      <u/>
      <sz val="12"/>
      <name val="Arial"/>
      <family val="2"/>
    </font>
    <font>
      <b/>
      <sz val="12"/>
      <color theme="1"/>
      <name val="Arial"/>
      <family val="2"/>
    </font>
    <font>
      <sz val="12"/>
      <color theme="1"/>
      <name val="Arial"/>
      <family val="2"/>
    </font>
    <font>
      <sz val="12"/>
      <name val="Arial"/>
      <family val="2"/>
    </font>
    <font>
      <sz val="12"/>
      <color theme="3" tint="-0.249977111117893"/>
      <name val="Arial"/>
      <family val="2"/>
    </font>
    <font>
      <sz val="14"/>
      <name val="Arial"/>
      <family val="2"/>
    </font>
    <font>
      <sz val="48"/>
      <name val="Arial"/>
      <family val="2"/>
    </font>
    <font>
      <u/>
      <sz val="11"/>
      <color theme="1"/>
      <name val="Arial"/>
      <family val="2"/>
    </font>
    <font>
      <sz val="11"/>
      <color rgb="FF00B0F0"/>
      <name val="Arial"/>
      <family val="2"/>
    </font>
    <font>
      <sz val="10"/>
      <color rgb="FF00B0F0"/>
      <name val="Arial"/>
      <family val="2"/>
    </font>
    <font>
      <sz val="10"/>
      <color theme="3"/>
      <name val="Arial"/>
      <family val="2"/>
    </font>
    <font>
      <b/>
      <i/>
      <sz val="10"/>
      <color theme="1"/>
      <name val="Arial"/>
      <family val="2"/>
    </font>
    <font>
      <sz val="11"/>
      <color theme="6"/>
      <name val="Arial"/>
      <family val="2"/>
    </font>
    <font>
      <sz val="10"/>
      <color theme="6"/>
      <name val="Arial"/>
      <family val="2"/>
    </font>
    <font>
      <b/>
      <sz val="10"/>
      <color theme="6"/>
      <name val="Arial"/>
      <family val="2"/>
    </font>
    <font>
      <b/>
      <sz val="10"/>
      <color theme="0"/>
      <name val="Arial"/>
      <family val="2"/>
    </font>
    <font>
      <sz val="11"/>
      <color rgb="FFFFC000"/>
      <name val="Arial"/>
      <family val="2"/>
    </font>
    <font>
      <sz val="11"/>
      <color theme="9" tint="-0.249977111117893"/>
      <name val="Arial"/>
      <family val="2"/>
    </font>
    <font>
      <sz val="10"/>
      <color theme="9" tint="-0.249977111117893"/>
      <name val="Arial"/>
      <family val="2"/>
    </font>
    <font>
      <u/>
      <sz val="10"/>
      <color rgb="FFFF0000"/>
      <name val="Arial"/>
      <family val="2"/>
    </font>
    <font>
      <b/>
      <i/>
      <sz val="11"/>
      <color theme="1"/>
      <name val="Arial"/>
      <family val="2"/>
    </font>
    <font>
      <sz val="11"/>
      <color rgb="FFFF33CC"/>
      <name val="Arial"/>
      <family val="2"/>
    </font>
    <font>
      <sz val="10"/>
      <color rgb="FFFF33CC"/>
      <name val="Arial"/>
      <family val="2"/>
    </font>
    <font>
      <sz val="9"/>
      <color rgb="FFFF33CC"/>
      <name val="Arial"/>
      <family val="2"/>
    </font>
    <font>
      <sz val="11"/>
      <color theme="7"/>
      <name val="Arial"/>
      <family val="2"/>
    </font>
    <font>
      <sz val="9"/>
      <color theme="7"/>
      <name val="Arial"/>
      <family val="2"/>
    </font>
    <font>
      <sz val="9"/>
      <color rgb="FF7030A0"/>
      <name val="Arial"/>
      <family val="2"/>
    </font>
    <font>
      <sz val="9"/>
      <color rgb="FFFF0000"/>
      <name val="Arial"/>
      <family val="2"/>
    </font>
    <font>
      <b/>
      <sz val="9"/>
      <name val="Arial"/>
      <family val="2"/>
    </font>
    <font>
      <sz val="11"/>
      <color theme="0" tint="-0.34998626667073579"/>
      <name val="Arial"/>
      <family val="2"/>
    </font>
    <font>
      <b/>
      <sz val="11"/>
      <color rgb="FF0070C0"/>
      <name val="Arial"/>
      <family val="2"/>
    </font>
    <font>
      <b/>
      <sz val="11"/>
      <color rgb="FFFF0000"/>
      <name val="Arial"/>
      <family val="2"/>
    </font>
    <font>
      <sz val="10"/>
      <color theme="0" tint="-0.34998626667073579"/>
      <name val="Arial"/>
      <family val="2"/>
    </font>
    <font>
      <b/>
      <sz val="10"/>
      <color theme="0" tint="-4.9989318521683403E-2"/>
      <name val="Arial"/>
      <family val="2"/>
    </font>
    <font>
      <b/>
      <sz val="9"/>
      <color rgb="FFFF0000"/>
      <name val="Arial"/>
      <family val="2"/>
    </font>
    <font>
      <b/>
      <sz val="9"/>
      <color rgb="FF0070C0"/>
      <name val="Arial"/>
      <family val="2"/>
    </font>
    <font>
      <b/>
      <sz val="9"/>
      <color theme="3"/>
      <name val="Arial"/>
      <family val="2"/>
    </font>
    <font>
      <sz val="11"/>
      <color theme="0" tint="-0.14999847407452621"/>
      <name val="Arial"/>
      <family val="2"/>
    </font>
    <font>
      <sz val="9"/>
      <color theme="0" tint="-0.14999847407452621"/>
      <name val="Arial"/>
      <family val="2"/>
    </font>
    <font>
      <b/>
      <sz val="9"/>
      <color theme="1"/>
      <name val="Arial"/>
      <family val="2"/>
    </font>
    <font>
      <b/>
      <sz val="9"/>
      <color indexed="81"/>
      <name val="Segoe UI"/>
      <family val="2"/>
    </font>
    <font>
      <sz val="9"/>
      <color indexed="81"/>
      <name val="Segoe UI"/>
      <family val="2"/>
    </font>
    <font>
      <sz val="9"/>
      <color rgb="FF0070C0"/>
      <name val="Arial"/>
      <family val="2"/>
    </font>
    <font>
      <b/>
      <u/>
      <sz val="11"/>
      <color rgb="FFFF0000"/>
      <name val="Arial"/>
      <family val="2"/>
    </font>
    <font>
      <b/>
      <u/>
      <sz val="11"/>
      <color theme="1"/>
      <name val="Arial"/>
      <family val="2"/>
    </font>
    <font>
      <i/>
      <sz val="11"/>
      <color rgb="FFFF0000"/>
      <name val="Arial"/>
      <family val="2"/>
    </font>
    <font>
      <b/>
      <sz val="18"/>
      <color theme="0"/>
      <name val="Arial"/>
      <family val="2"/>
    </font>
    <font>
      <sz val="11"/>
      <color theme="0"/>
      <name val="Arial"/>
      <family val="2"/>
    </font>
    <font>
      <sz val="10"/>
      <color theme="0"/>
      <name val="Arial"/>
      <family val="2"/>
    </font>
    <font>
      <sz val="10"/>
      <color theme="1" tint="0.499984740745262"/>
      <name val="Arial"/>
      <family val="2"/>
    </font>
    <font>
      <b/>
      <sz val="10"/>
      <color theme="1" tint="0.499984740745262"/>
      <name val="Arial"/>
      <family val="2"/>
    </font>
    <font>
      <b/>
      <sz val="10"/>
      <color rgb="FF7030A0"/>
      <name val="Arial"/>
      <family val="2"/>
    </font>
    <font>
      <sz val="11"/>
      <color rgb="FF00B050"/>
      <name val="Arial"/>
      <family val="2"/>
    </font>
    <font>
      <b/>
      <u/>
      <sz val="9"/>
      <color theme="1"/>
      <name val="Arial"/>
      <family val="2"/>
    </font>
    <font>
      <u/>
      <sz val="10"/>
      <color theme="1"/>
      <name val="Arial"/>
      <family val="2"/>
    </font>
    <font>
      <sz val="8"/>
      <color theme="7"/>
      <name val="Arial"/>
      <family val="2"/>
    </font>
    <font>
      <b/>
      <u/>
      <sz val="10"/>
      <name val="Arial"/>
      <family val="2"/>
    </font>
    <font>
      <sz val="10"/>
      <color indexed="8"/>
      <name val="MS Sans Serif"/>
      <family val="2"/>
    </font>
    <font>
      <b/>
      <i/>
      <sz val="10"/>
      <name val="Arial"/>
      <family val="2"/>
    </font>
    <font>
      <sz val="10"/>
      <color theme="0" tint="-0.14999847407452621"/>
      <name val="Arial"/>
      <family val="2"/>
    </font>
    <font>
      <sz val="8"/>
      <color theme="0" tint="-0.14999847407452621"/>
      <name val="Arial"/>
      <family val="2"/>
    </font>
    <font>
      <sz val="11"/>
      <color theme="0" tint="-0.249977111117893"/>
      <name val="Arial"/>
      <family val="2"/>
    </font>
    <font>
      <u val="double"/>
      <sz val="10"/>
      <color theme="1" tint="0.499984740745262"/>
      <name val="Arial"/>
      <family val="2"/>
    </font>
    <font>
      <b/>
      <u val="double"/>
      <sz val="10"/>
      <color theme="1" tint="0.499984740745262"/>
      <name val="Arial"/>
      <family val="2"/>
    </font>
    <font>
      <sz val="7"/>
      <name val="Arial"/>
      <family val="2"/>
    </font>
    <font>
      <b/>
      <sz val="11"/>
      <color rgb="FF000000"/>
      <name val="Arial"/>
      <family val="2"/>
    </font>
    <font>
      <sz val="11"/>
      <color rgb="FF000000"/>
      <name val="Arial"/>
      <family val="2"/>
    </font>
    <font>
      <u/>
      <sz val="11"/>
      <color rgb="FF000000"/>
      <name val="Arial"/>
      <family val="2"/>
    </font>
    <font>
      <u/>
      <sz val="10"/>
      <name val="Arial"/>
      <family val="2"/>
    </font>
  </fonts>
  <fills count="54">
    <fill>
      <patternFill patternType="none"/>
    </fill>
    <fill>
      <patternFill patternType="gray125"/>
    </fill>
    <fill>
      <patternFill patternType="solid">
        <fgColor theme="6" tint="0.59999389629810485"/>
        <bgColor indexed="64"/>
      </patternFill>
    </fill>
    <fill>
      <patternFill patternType="solid">
        <fgColor rgb="FFFFFF99"/>
        <bgColor indexed="64"/>
      </patternFill>
    </fill>
    <fill>
      <patternFill patternType="solid">
        <fgColor indexed="43"/>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66"/>
        <bgColor indexed="64"/>
      </patternFill>
    </fill>
    <fill>
      <patternFill patternType="solid">
        <fgColor theme="5" tint="0.79998168889431442"/>
        <bgColor indexed="64"/>
      </patternFill>
    </fill>
    <fill>
      <patternFill patternType="solid">
        <fgColor rgb="FFFDECD9"/>
        <bgColor indexed="64"/>
      </patternFill>
    </fill>
    <fill>
      <patternFill patternType="solid">
        <fgColor theme="4" tint="0.59999389629810485"/>
        <bgColor indexed="65"/>
      </patternFill>
    </fill>
    <fill>
      <patternFill patternType="solid">
        <fgColor theme="6" tint="0.59999389629810485"/>
        <bgColor indexed="65"/>
      </patternFill>
    </fill>
    <fill>
      <patternFill patternType="solid">
        <fgColor theme="0" tint="-0.14999847407452621"/>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CCECFF"/>
        <bgColor indexed="64"/>
      </patternFill>
    </fill>
    <fill>
      <patternFill patternType="solid">
        <fgColor theme="6" tint="0.79998168889431442"/>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F2F2F2"/>
        <bgColor indexed="64"/>
      </patternFill>
    </fill>
    <fill>
      <patternFill patternType="solid">
        <fgColor theme="8" tint="0.59999389629810485"/>
        <bgColor indexed="64"/>
      </patternFill>
    </fill>
    <fill>
      <patternFill patternType="solid">
        <fgColor rgb="FFFFFFCC"/>
        <bgColor indexed="64"/>
      </patternFill>
    </fill>
    <fill>
      <patternFill patternType="solid">
        <fgColor rgb="FFFBFD95"/>
        <bgColor indexed="64"/>
      </patternFill>
    </fill>
    <fill>
      <patternFill patternType="solid">
        <fgColor indexed="47"/>
        <bgColor indexed="64"/>
      </patternFill>
    </fill>
    <fill>
      <patternFill patternType="solid">
        <fgColor rgb="FF99CCFF"/>
        <bgColor indexed="64"/>
      </patternFill>
    </fill>
    <fill>
      <patternFill patternType="solid">
        <fgColor rgb="FF00B0F0"/>
        <bgColor indexed="64"/>
      </patternFill>
    </fill>
    <fill>
      <patternFill patternType="solid">
        <fgColor rgb="FF00B050"/>
        <bgColor indexed="64"/>
      </patternFill>
    </fill>
    <fill>
      <patternFill patternType="solid">
        <fgColor theme="4" tint="-9.9978637043366805E-2"/>
        <bgColor indexed="64"/>
      </patternFill>
    </fill>
    <fill>
      <patternFill patternType="solid">
        <fgColor theme="7" tint="-0.249977111117893"/>
        <bgColor indexed="64"/>
      </patternFill>
    </fill>
    <fill>
      <patternFill patternType="solid">
        <fgColor rgb="FFFFCCFF"/>
        <bgColor indexed="64"/>
      </patternFill>
    </fill>
    <fill>
      <patternFill patternType="solid">
        <fgColor rgb="FFF5FEEC"/>
        <bgColor indexed="64"/>
      </patternFill>
    </fill>
    <fill>
      <patternFill patternType="solid">
        <fgColor theme="4"/>
        <bgColor indexed="64"/>
      </patternFill>
    </fill>
    <fill>
      <patternFill patternType="solid">
        <fgColor theme="2"/>
        <bgColor indexed="64"/>
      </patternFill>
    </fill>
    <fill>
      <patternFill patternType="solid">
        <fgColor rgb="FFCCFFFF"/>
        <bgColor indexed="64"/>
      </patternFill>
    </fill>
    <fill>
      <patternFill patternType="solid">
        <fgColor theme="3" tint="0.79998168889431442"/>
        <bgColor indexed="64"/>
      </patternFill>
    </fill>
    <fill>
      <patternFill patternType="solid">
        <fgColor theme="5"/>
        <bgColor indexed="64"/>
      </patternFill>
    </fill>
    <fill>
      <patternFill patternType="solid">
        <fgColor indexed="60"/>
        <bgColor indexed="64"/>
      </patternFill>
    </fill>
    <fill>
      <patternFill patternType="solid">
        <fgColor indexed="42"/>
        <bgColor indexed="64"/>
      </patternFill>
    </fill>
    <fill>
      <patternFill patternType="solid">
        <fgColor indexed="52"/>
        <bgColor indexed="64"/>
      </patternFill>
    </fill>
    <fill>
      <patternFill patternType="solid">
        <fgColor indexed="53"/>
        <bgColor indexed="64"/>
      </patternFill>
    </fill>
    <fill>
      <patternFill patternType="solid">
        <fgColor rgb="FF99CC00"/>
        <bgColor indexed="64"/>
      </patternFill>
    </fill>
    <fill>
      <patternFill patternType="solid">
        <fgColor indexed="50"/>
        <bgColor indexed="64"/>
      </patternFill>
    </fill>
    <fill>
      <patternFill patternType="solid">
        <fgColor indexed="46"/>
        <bgColor indexed="64"/>
      </patternFill>
    </fill>
    <fill>
      <patternFill patternType="solid">
        <fgColor theme="4" tint="-0.249977111117893"/>
        <bgColor indexed="64"/>
      </patternFill>
    </fill>
    <fill>
      <patternFill patternType="solid">
        <fgColor rgb="FFC00000"/>
        <bgColor indexed="64"/>
      </patternFill>
    </fill>
    <fill>
      <patternFill patternType="solid">
        <fgColor rgb="FFFF0000"/>
        <bgColor indexed="64"/>
      </patternFill>
    </fill>
    <fill>
      <patternFill patternType="solid">
        <fgColor theme="7" tint="0.59999389629810485"/>
        <bgColor indexed="64"/>
      </patternFill>
    </fill>
    <fill>
      <patternFill patternType="solid">
        <fgColor rgb="FFD0CECE"/>
        <bgColor indexed="64"/>
      </patternFill>
    </fill>
    <fill>
      <patternFill patternType="solid">
        <fgColor rgb="FFE8D9F3"/>
        <bgColor indexed="64"/>
      </patternFill>
    </fill>
  </fills>
  <borders count="10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theme="0" tint="-0.499984740745262"/>
      </bottom>
      <diagonal/>
    </border>
    <border>
      <left/>
      <right/>
      <top/>
      <bottom style="dotted">
        <color theme="0" tint="-0.499984740745262"/>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double">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top/>
      <bottom style="dashDotDot">
        <color indexed="64"/>
      </bottom>
      <diagonal/>
    </border>
    <border>
      <left/>
      <right/>
      <top/>
      <bottom style="dashDotDot">
        <color indexed="64"/>
      </bottom>
      <diagonal/>
    </border>
    <border>
      <left/>
      <right style="thin">
        <color indexed="64"/>
      </right>
      <top/>
      <bottom style="dashDotDot">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auto="1"/>
      </left>
      <right style="medium">
        <color auto="1"/>
      </right>
      <top style="medium">
        <color auto="1"/>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double">
        <color indexed="64"/>
      </bottom>
      <diagonal/>
    </border>
    <border>
      <left/>
      <right/>
      <top/>
      <bottom style="dotted">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bottom/>
      <diagonal/>
    </border>
    <border>
      <left/>
      <right style="thin">
        <color indexed="64"/>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style="medium">
        <color auto="1"/>
      </left>
      <right style="medium">
        <color auto="1"/>
      </right>
      <top style="medium">
        <color auto="1"/>
      </top>
      <bottom style="double">
        <color indexed="64"/>
      </bottom>
      <diagonal/>
    </border>
    <border>
      <left/>
      <right/>
      <top style="double">
        <color indexed="64"/>
      </top>
      <bottom/>
      <diagonal/>
    </border>
    <border>
      <left style="thin">
        <color indexed="64"/>
      </left>
      <right style="thin">
        <color indexed="64"/>
      </right>
      <top style="thin">
        <color indexed="64"/>
      </top>
      <bottom style="thin">
        <color theme="1" tint="0.499984740745262"/>
      </bottom>
      <diagonal/>
    </border>
    <border>
      <left style="thin">
        <color indexed="64"/>
      </left>
      <right/>
      <top style="thin">
        <color indexed="64"/>
      </top>
      <bottom style="thin">
        <color theme="1" tint="0.499984740745262"/>
      </bottom>
      <diagonal/>
    </border>
    <border>
      <left style="thin">
        <color indexed="64"/>
      </left>
      <right/>
      <top style="thin">
        <color theme="1" tint="0.499984740745262"/>
      </top>
      <bottom style="thin">
        <color theme="1" tint="0.499984740745262"/>
      </bottom>
      <diagonal/>
    </border>
    <border>
      <left style="thin">
        <color indexed="64"/>
      </left>
      <right/>
      <top/>
      <bottom style="thin">
        <color theme="1" tint="0.499984740745262"/>
      </bottom>
      <diagonal/>
    </border>
    <border>
      <left style="thin">
        <color indexed="64"/>
      </left>
      <right style="thin">
        <color indexed="64"/>
      </right>
      <top/>
      <bottom style="thin">
        <color theme="1" tint="0.499984740745262"/>
      </bottom>
      <diagonal/>
    </border>
    <border>
      <left/>
      <right/>
      <top/>
      <bottom style="thin">
        <color theme="1" tint="0.499984740745262"/>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style="thin">
        <color indexed="64"/>
      </top>
      <bottom style="thin">
        <color theme="0" tint="-0.14996795556505021"/>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right style="medium">
        <color indexed="64"/>
      </right>
      <top style="thin">
        <color indexed="64"/>
      </top>
      <bottom/>
      <diagonal/>
    </border>
    <border>
      <left style="thin">
        <color indexed="64"/>
      </left>
      <right style="thin">
        <color indexed="64"/>
      </right>
      <top style="thin">
        <color theme="1" tint="0.499984740745262"/>
      </top>
      <bottom style="thin">
        <color theme="1" tint="0.499984740745262"/>
      </bottom>
      <diagonal/>
    </border>
    <border>
      <left style="thin">
        <color indexed="64"/>
      </left>
      <right style="thin">
        <color indexed="64"/>
      </right>
      <top/>
      <bottom style="thin">
        <color theme="0" tint="-0.14996795556505021"/>
      </bottom>
      <diagonal/>
    </border>
    <border>
      <left/>
      <right style="thin">
        <color indexed="64"/>
      </right>
      <top style="thin">
        <color indexed="64"/>
      </top>
      <bottom style="thin">
        <color theme="0" tint="-0.14996795556505021"/>
      </bottom>
      <diagonal/>
    </border>
    <border>
      <left/>
      <right style="thin">
        <color indexed="64"/>
      </right>
      <top/>
      <bottom style="thin">
        <color theme="0" tint="-0.1499679555650502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theme="0" tint="-0.34998626667073579"/>
      </top>
      <bottom style="thin">
        <color indexed="64"/>
      </bottom>
      <diagonal/>
    </border>
    <border>
      <left style="thin">
        <color indexed="8"/>
      </left>
      <right/>
      <top style="thin">
        <color indexed="8"/>
      </top>
      <bottom/>
      <diagonal/>
    </border>
    <border>
      <left style="thin">
        <color theme="9"/>
      </left>
      <right/>
      <top style="thin">
        <color indexed="8"/>
      </top>
      <bottom/>
      <diagonal/>
    </border>
    <border>
      <left style="thin">
        <color indexed="64"/>
      </left>
      <right/>
      <top style="thin">
        <color indexed="8"/>
      </top>
      <bottom/>
      <diagonal/>
    </border>
    <border>
      <left style="thin">
        <color theme="0" tint="-0.34998626667073579"/>
      </left>
      <right style="thin">
        <color theme="0" tint="-0.34998626667073579"/>
      </right>
      <top style="thin">
        <color indexed="64"/>
      </top>
      <bottom/>
      <diagonal/>
    </border>
    <border>
      <left/>
      <right/>
      <top style="thin">
        <color indexed="8"/>
      </top>
      <bottom/>
      <diagonal/>
    </border>
    <border>
      <left style="thin">
        <color indexed="64"/>
      </left>
      <right/>
      <top style="thin">
        <color theme="4" tint="0.39997558519241921"/>
      </top>
      <bottom/>
      <diagonal/>
    </border>
    <border>
      <left style="thin">
        <color indexed="8"/>
      </left>
      <right/>
      <top style="thin">
        <color theme="9"/>
      </top>
      <bottom/>
      <diagonal/>
    </border>
    <border>
      <left style="thin">
        <color auto="1"/>
      </left>
      <right style="thin">
        <color auto="1"/>
      </right>
      <top style="thin">
        <color theme="4" tint="0.39997558519241921"/>
      </top>
      <bottom/>
      <diagonal/>
    </border>
    <border>
      <left style="dotted">
        <color theme="1"/>
      </left>
      <right/>
      <top style="thin">
        <color indexed="8"/>
      </top>
      <bottom/>
      <diagonal/>
    </border>
    <border>
      <left style="thin">
        <color theme="9"/>
      </left>
      <right style="thin">
        <color indexed="64"/>
      </right>
      <top style="thin">
        <color indexed="8"/>
      </top>
      <bottom/>
      <diagonal/>
    </border>
  </borders>
  <cellStyleXfs count="20">
    <xf numFmtId="0" fontId="0" fillId="0" borderId="0"/>
    <xf numFmtId="0" fontId="72" fillId="0" borderId="0" applyNumberFormat="0" applyFill="0" applyBorder="0" applyAlignment="0" applyProtection="0">
      <alignment vertical="top"/>
      <protection locked="0"/>
    </xf>
    <xf numFmtId="44" fontId="59" fillId="0" borderId="0" applyFont="0" applyFill="0" applyBorder="0" applyAlignment="0" applyProtection="0"/>
    <xf numFmtId="9" fontId="59" fillId="0" borderId="0" applyFont="0" applyFill="0" applyBorder="0" applyAlignment="0" applyProtection="0"/>
    <xf numFmtId="0" fontId="59" fillId="11" borderId="47" applyNumberFormat="0" applyAlignment="0">
      <protection locked="0"/>
    </xf>
    <xf numFmtId="170" fontId="70" fillId="0" borderId="0" applyFont="0" applyFill="0" applyBorder="0" applyAlignment="0" applyProtection="0"/>
    <xf numFmtId="0" fontId="59" fillId="12" borderId="0" applyNumberFormat="0" applyFont="0" applyBorder="0" applyAlignment="0" applyProtection="0"/>
    <xf numFmtId="0" fontId="59" fillId="13" borderId="0" applyNumberFormat="0" applyFont="0" applyBorder="0" applyAlignment="0" applyProtection="0"/>
    <xf numFmtId="14" fontId="70" fillId="11" borderId="14" applyFont="0" applyFill="0" applyBorder="0" applyAlignment="0" applyProtection="0">
      <alignment vertical="center"/>
      <protection locked="0"/>
    </xf>
    <xf numFmtId="0" fontId="59" fillId="11" borderId="47" applyNumberFormat="0" applyAlignment="0">
      <protection locked="0"/>
    </xf>
    <xf numFmtId="0" fontId="63" fillId="11" borderId="14" applyNumberFormat="0" applyFont="0" applyAlignment="0">
      <protection locked="0"/>
    </xf>
    <xf numFmtId="0" fontId="70" fillId="0" borderId="0" applyNumberFormat="0" applyFont="0" applyBorder="0" applyAlignment="0"/>
    <xf numFmtId="0" fontId="70" fillId="14" borderId="0" applyNumberFormat="0" applyFont="0" applyBorder="0" applyAlignment="0" applyProtection="0"/>
    <xf numFmtId="0" fontId="70" fillId="0" borderId="0" applyBorder="0">
      <alignment vertical="center"/>
    </xf>
    <xf numFmtId="2" fontId="70" fillId="0" borderId="0" applyFont="0" applyFill="0" applyBorder="0" applyAlignment="0" applyProtection="0"/>
    <xf numFmtId="49" fontId="70" fillId="0" borderId="0" applyFont="0" applyFill="0" applyBorder="0" applyAlignment="0" applyProtection="0">
      <alignment vertical="center"/>
    </xf>
    <xf numFmtId="171" fontId="70" fillId="0" borderId="0" applyFont="0" applyFill="0" applyBorder="0" applyAlignment="0" applyProtection="0"/>
    <xf numFmtId="180" fontId="59" fillId="0" borderId="0" applyFont="0" applyFill="0" applyBorder="0" applyAlignment="0" applyProtection="0"/>
    <xf numFmtId="0" fontId="70" fillId="0" borderId="0" applyBorder="0">
      <alignment vertical="center"/>
    </xf>
    <xf numFmtId="0" fontId="143" fillId="0" borderId="0"/>
  </cellStyleXfs>
  <cellXfs count="1588">
    <xf numFmtId="0" fontId="0" fillId="0" borderId="0" xfId="0"/>
    <xf numFmtId="0" fontId="60" fillId="0" borderId="0" xfId="0" applyFont="1"/>
    <xf numFmtId="0" fontId="0" fillId="0" borderId="4" xfId="0" applyBorder="1" applyProtection="1">
      <protection hidden="1"/>
    </xf>
    <xf numFmtId="0" fontId="0" fillId="0" borderId="0" xfId="0" applyProtection="1">
      <protection hidden="1"/>
    </xf>
    <xf numFmtId="0" fontId="0" fillId="0" borderId="5" xfId="0" applyBorder="1" applyProtection="1">
      <protection hidden="1"/>
    </xf>
    <xf numFmtId="0" fontId="64" fillId="0" borderId="0" xfId="0" applyFont="1" applyProtection="1">
      <protection hidden="1"/>
    </xf>
    <xf numFmtId="0" fontId="64" fillId="0" borderId="0" xfId="0" applyFont="1" applyAlignment="1" applyProtection="1">
      <alignment horizontal="right"/>
      <protection hidden="1"/>
    </xf>
    <xf numFmtId="0" fontId="65" fillId="0" borderId="0" xfId="0" applyFont="1" applyAlignment="1" applyProtection="1">
      <alignment horizontal="center"/>
      <protection hidden="1"/>
    </xf>
    <xf numFmtId="0" fontId="66" fillId="0" borderId="0" xfId="0" applyFont="1" applyAlignment="1" applyProtection="1">
      <alignment horizontal="right"/>
      <protection hidden="1"/>
    </xf>
    <xf numFmtId="0" fontId="68" fillId="0" borderId="0" xfId="0" applyFont="1"/>
    <xf numFmtId="0" fontId="66" fillId="0" borderId="0" xfId="0" applyFont="1" applyProtection="1">
      <protection hidden="1"/>
    </xf>
    <xf numFmtId="0" fontId="58" fillId="0" borderId="0" xfId="0" applyFont="1" applyProtection="1">
      <protection hidden="1"/>
    </xf>
    <xf numFmtId="0" fontId="70" fillId="0" borderId="5" xfId="0" applyFont="1" applyBorder="1" applyProtection="1">
      <protection hidden="1"/>
    </xf>
    <xf numFmtId="0" fontId="71" fillId="0" borderId="0" xfId="0" applyFont="1" applyAlignment="1" applyProtection="1">
      <alignment vertical="top"/>
      <protection hidden="1"/>
    </xf>
    <xf numFmtId="0" fontId="71" fillId="0" borderId="5" xfId="0" applyFont="1" applyBorder="1" applyAlignment="1" applyProtection="1">
      <alignment vertical="top"/>
      <protection hidden="1"/>
    </xf>
    <xf numFmtId="0" fontId="71" fillId="0" borderId="0" xfId="0" applyFont="1" applyProtection="1">
      <protection hidden="1"/>
    </xf>
    <xf numFmtId="0" fontId="65" fillId="0" borderId="0" xfId="0" applyFont="1" applyProtection="1">
      <protection hidden="1"/>
    </xf>
    <xf numFmtId="0" fontId="58" fillId="0" borderId="0" xfId="0" applyFont="1" applyAlignment="1" applyProtection="1">
      <alignment horizontal="right"/>
      <protection hidden="1"/>
    </xf>
    <xf numFmtId="0" fontId="70" fillId="0" borderId="0" xfId="0" applyFont="1"/>
    <xf numFmtId="0" fontId="0" fillId="0" borderId="5" xfId="0" applyBorder="1"/>
    <xf numFmtId="0" fontId="0" fillId="0" borderId="4" xfId="0" applyBorder="1"/>
    <xf numFmtId="0" fontId="0" fillId="0" borderId="2" xfId="0" applyBorder="1"/>
    <xf numFmtId="0" fontId="71" fillId="0" borderId="2" xfId="0" applyFont="1" applyBorder="1" applyAlignment="1" applyProtection="1">
      <alignment horizontal="center" vertical="top"/>
      <protection hidden="1"/>
    </xf>
    <xf numFmtId="0" fontId="58" fillId="0" borderId="6" xfId="0" applyFont="1" applyBorder="1" applyProtection="1">
      <protection hidden="1"/>
    </xf>
    <xf numFmtId="0" fontId="58" fillId="0" borderId="7" xfId="0" applyFont="1" applyBorder="1" applyProtection="1">
      <protection hidden="1"/>
    </xf>
    <xf numFmtId="0" fontId="58" fillId="0" borderId="4" xfId="0" applyFont="1" applyBorder="1" applyProtection="1">
      <protection hidden="1"/>
    </xf>
    <xf numFmtId="2" fontId="70" fillId="0" borderId="7" xfId="0" applyNumberFormat="1" applyFont="1" applyBorder="1" applyProtection="1">
      <protection hidden="1"/>
    </xf>
    <xf numFmtId="0" fontId="58" fillId="0" borderId="7" xfId="0" applyFont="1" applyBorder="1" applyAlignment="1" applyProtection="1">
      <alignment horizontal="right"/>
      <protection hidden="1"/>
    </xf>
    <xf numFmtId="2" fontId="58" fillId="0" borderId="7" xfId="0" applyNumberFormat="1" applyFont="1" applyBorder="1" applyAlignment="1" applyProtection="1">
      <alignment horizontal="right"/>
      <protection hidden="1"/>
    </xf>
    <xf numFmtId="2" fontId="70" fillId="0" borderId="0" xfId="0" applyNumberFormat="1" applyFont="1" applyProtection="1">
      <protection hidden="1"/>
    </xf>
    <xf numFmtId="0" fontId="58" fillId="0" borderId="5" xfId="0" applyFont="1" applyBorder="1" applyProtection="1">
      <protection hidden="1"/>
    </xf>
    <xf numFmtId="0" fontId="0" fillId="0" borderId="4" xfId="0" applyBorder="1" applyAlignment="1" applyProtection="1">
      <alignment vertical="center"/>
      <protection hidden="1"/>
    </xf>
    <xf numFmtId="0" fontId="58" fillId="0" borderId="0" xfId="0" applyFont="1" applyAlignment="1" applyProtection="1">
      <alignment vertical="center"/>
      <protection hidden="1"/>
    </xf>
    <xf numFmtId="0" fontId="0" fillId="0" borderId="5" xfId="0" applyBorder="1" applyAlignment="1" applyProtection="1">
      <alignment vertical="center"/>
      <protection hidden="1"/>
    </xf>
    <xf numFmtId="0" fontId="0" fillId="0" borderId="0" xfId="0" applyAlignment="1" applyProtection="1">
      <alignment vertical="center"/>
      <protection hidden="1"/>
    </xf>
    <xf numFmtId="0" fontId="0" fillId="0" borderId="6" xfId="0" applyBorder="1" applyProtection="1">
      <protection hidden="1"/>
    </xf>
    <xf numFmtId="0" fontId="0" fillId="0" borderId="7" xfId="0" applyBorder="1" applyProtection="1">
      <protection hidden="1"/>
    </xf>
    <xf numFmtId="0" fontId="69" fillId="0" borderId="0" xfId="0" applyFont="1" applyProtection="1">
      <protection hidden="1"/>
    </xf>
    <xf numFmtId="0" fontId="0" fillId="2" borderId="0" xfId="0" applyFill="1" applyProtection="1">
      <protection hidden="1"/>
    </xf>
    <xf numFmtId="0" fontId="65" fillId="2" borderId="0" xfId="0" applyFont="1" applyFill="1" applyProtection="1">
      <protection hidden="1"/>
    </xf>
    <xf numFmtId="0" fontId="58" fillId="8" borderId="0" xfId="0" applyFont="1" applyFill="1" applyProtection="1">
      <protection hidden="1"/>
    </xf>
    <xf numFmtId="0" fontId="58" fillId="8" borderId="0" xfId="0" applyFont="1" applyFill="1" applyAlignment="1" applyProtection="1">
      <alignment horizontal="right"/>
      <protection hidden="1"/>
    </xf>
    <xf numFmtId="0" fontId="59" fillId="0" borderId="4" xfId="0" applyFont="1" applyBorder="1"/>
    <xf numFmtId="0" fontId="82" fillId="0" borderId="0" xfId="0" applyFont="1"/>
    <xf numFmtId="0" fontId="59" fillId="0" borderId="0" xfId="0" applyFont="1"/>
    <xf numFmtId="0" fontId="59" fillId="0" borderId="5" xfId="0" applyFont="1" applyBorder="1"/>
    <xf numFmtId="0" fontId="86" fillId="0" borderId="0" xfId="0" applyFont="1"/>
    <xf numFmtId="0" fontId="63" fillId="0" borderId="0" xfId="0" applyFont="1"/>
    <xf numFmtId="0" fontId="71" fillId="0" borderId="0" xfId="0" applyFont="1"/>
    <xf numFmtId="0" fontId="63" fillId="0" borderId="5" xfId="0" applyFont="1" applyBorder="1"/>
    <xf numFmtId="0" fontId="76" fillId="0" borderId="0" xfId="0" applyFont="1"/>
    <xf numFmtId="0" fontId="70" fillId="0" borderId="5" xfId="0" applyFont="1" applyBorder="1"/>
    <xf numFmtId="0" fontId="59" fillId="0" borderId="26" xfId="0" applyFont="1" applyBorder="1"/>
    <xf numFmtId="0" fontId="59" fillId="0" borderId="27" xfId="0" applyFont="1" applyBorder="1"/>
    <xf numFmtId="0" fontId="63" fillId="0" borderId="27" xfId="0" applyFont="1" applyBorder="1"/>
    <xf numFmtId="0" fontId="70" fillId="0" borderId="27" xfId="0" applyFont="1" applyBorder="1"/>
    <xf numFmtId="0" fontId="70" fillId="0" borderId="28" xfId="0" applyFont="1" applyBorder="1"/>
    <xf numFmtId="0" fontId="83" fillId="0" borderId="0" xfId="0" applyFont="1"/>
    <xf numFmtId="0" fontId="59" fillId="0" borderId="6" xfId="0" applyFont="1" applyBorder="1"/>
    <xf numFmtId="0" fontId="59" fillId="0" borderId="8" xfId="0" applyFont="1" applyBorder="1"/>
    <xf numFmtId="0" fontId="61" fillId="0" borderId="0" xfId="0" applyFont="1"/>
    <xf numFmtId="0" fontId="58" fillId="0" borderId="0" xfId="0" quotePrefix="1" applyFont="1" applyAlignment="1" applyProtection="1">
      <alignment horizontal="left"/>
      <protection hidden="1"/>
    </xf>
    <xf numFmtId="0" fontId="71" fillId="2" borderId="0" xfId="0" applyFont="1" applyFill="1" applyAlignment="1" applyProtection="1">
      <alignment vertical="top"/>
      <protection hidden="1"/>
    </xf>
    <xf numFmtId="0" fontId="64" fillId="2" borderId="0" xfId="0" applyFont="1" applyFill="1" applyAlignment="1" applyProtection="1">
      <alignment vertical="center"/>
      <protection hidden="1"/>
    </xf>
    <xf numFmtId="0" fontId="70" fillId="0" borderId="5" xfId="0" applyFont="1" applyBorder="1" applyAlignment="1">
      <alignment horizontal="left" vertical="top"/>
    </xf>
    <xf numFmtId="0" fontId="70" fillId="0" borderId="5" xfId="0" applyFont="1" applyBorder="1" applyAlignment="1">
      <alignment horizontal="left"/>
    </xf>
    <xf numFmtId="2" fontId="58" fillId="0" borderId="17" xfId="0" applyNumberFormat="1" applyFont="1" applyBorder="1" applyAlignment="1" applyProtection="1">
      <alignment horizontal="right"/>
      <protection hidden="1"/>
    </xf>
    <xf numFmtId="0" fontId="0" fillId="0" borderId="2" xfId="0" applyBorder="1" applyProtection="1">
      <protection hidden="1"/>
    </xf>
    <xf numFmtId="0" fontId="70" fillId="0" borderId="0" xfId="0" applyFont="1" applyAlignment="1">
      <alignment horizontal="left" vertical="top"/>
    </xf>
    <xf numFmtId="0" fontId="70" fillId="0" borderId="0" xfId="0" applyFont="1" applyAlignment="1">
      <alignment horizontal="left"/>
    </xf>
    <xf numFmtId="0" fontId="59" fillId="6" borderId="0" xfId="0" applyFont="1" applyFill="1" applyAlignment="1">
      <alignment horizontal="center"/>
    </xf>
    <xf numFmtId="0" fontId="82" fillId="0" borderId="4" xfId="0" applyFont="1" applyBorder="1"/>
    <xf numFmtId="0" fontId="82" fillId="9" borderId="15" xfId="0" applyFont="1" applyFill="1" applyBorder="1" applyAlignment="1" applyProtection="1">
      <alignment horizontal="center" vertical="center"/>
      <protection locked="0"/>
    </xf>
    <xf numFmtId="0" fontId="88" fillId="0" borderId="0" xfId="0" applyFont="1"/>
    <xf numFmtId="0" fontId="82" fillId="0" borderId="5" xfId="0" applyFont="1" applyBorder="1"/>
    <xf numFmtId="0" fontId="88" fillId="0" borderId="4" xfId="0" applyFont="1" applyBorder="1"/>
    <xf numFmtId="0" fontId="89" fillId="0" borderId="0" xfId="0" applyFont="1"/>
    <xf numFmtId="0" fontId="88" fillId="0" borderId="5" xfId="0" applyFont="1" applyBorder="1"/>
    <xf numFmtId="0" fontId="62" fillId="9" borderId="15" xfId="0" applyFont="1" applyFill="1" applyBorder="1" applyAlignment="1" applyProtection="1">
      <alignment horizontal="center" vertical="center"/>
      <protection locked="0"/>
    </xf>
    <xf numFmtId="0" fontId="89" fillId="0" borderId="5" xfId="0" applyFont="1" applyBorder="1"/>
    <xf numFmtId="0" fontId="65" fillId="9" borderId="15" xfId="0" applyFont="1" applyFill="1" applyBorder="1" applyAlignment="1" applyProtection="1">
      <alignment horizontal="center" vertical="center"/>
      <protection locked="0"/>
    </xf>
    <xf numFmtId="0" fontId="70" fillId="0" borderId="0" xfId="0" applyFont="1" applyAlignment="1">
      <alignment vertical="top"/>
    </xf>
    <xf numFmtId="0" fontId="0" fillId="0" borderId="7" xfId="0" applyBorder="1"/>
    <xf numFmtId="0" fontId="63" fillId="0" borderId="7" xfId="0" applyFont="1" applyBorder="1"/>
    <xf numFmtId="0" fontId="90" fillId="0" borderId="0" xfId="0" applyFont="1"/>
    <xf numFmtId="0" fontId="59" fillId="6" borderId="0" xfId="0" applyFont="1" applyFill="1" applyProtection="1">
      <protection hidden="1"/>
    </xf>
    <xf numFmtId="0" fontId="70" fillId="6" borderId="0" xfId="0" applyFont="1" applyFill="1" applyProtection="1">
      <protection hidden="1"/>
    </xf>
    <xf numFmtId="0" fontId="65" fillId="6" borderId="0" xfId="0" applyFont="1" applyFill="1" applyAlignment="1" applyProtection="1">
      <alignment horizontal="center"/>
      <protection hidden="1"/>
    </xf>
    <xf numFmtId="0" fontId="59" fillId="0" borderId="0" xfId="0" applyFont="1" applyProtection="1">
      <protection hidden="1"/>
    </xf>
    <xf numFmtId="0" fontId="94" fillId="0" borderId="0" xfId="0" applyFont="1"/>
    <xf numFmtId="0" fontId="95" fillId="0" borderId="0" xfId="0" applyFont="1" applyAlignment="1">
      <alignment vertical="top"/>
    </xf>
    <xf numFmtId="0" fontId="98" fillId="0" borderId="0" xfId="0" applyFont="1"/>
    <xf numFmtId="0" fontId="72" fillId="0" borderId="0" xfId="1" applyBorder="1" applyAlignment="1" applyProtection="1"/>
    <xf numFmtId="0" fontId="105" fillId="6" borderId="0" xfId="1" applyFont="1" applyFill="1" applyAlignment="1" applyProtection="1"/>
    <xf numFmtId="0" fontId="63" fillId="2" borderId="7" xfId="0" applyFont="1" applyFill="1" applyBorder="1" applyProtection="1">
      <protection hidden="1"/>
    </xf>
    <xf numFmtId="0" fontId="63" fillId="2" borderId="8" xfId="0" applyFont="1" applyFill="1" applyBorder="1" applyProtection="1">
      <protection hidden="1"/>
    </xf>
    <xf numFmtId="0" fontId="0" fillId="0" borderId="3" xfId="0" applyBorder="1"/>
    <xf numFmtId="0" fontId="0" fillId="0" borderId="18" xfId="0" applyBorder="1"/>
    <xf numFmtId="14" fontId="107" fillId="0" borderId="0" xfId="0" applyNumberFormat="1" applyFont="1"/>
    <xf numFmtId="0" fontId="0" fillId="0" borderId="14" xfId="0" applyBorder="1"/>
    <xf numFmtId="0" fontId="64" fillId="0" borderId="1" xfId="0" applyFont="1" applyBorder="1"/>
    <xf numFmtId="0" fontId="0" fillId="0" borderId="12" xfId="0" applyBorder="1"/>
    <xf numFmtId="0" fontId="0" fillId="0" borderId="13" xfId="0" applyBorder="1"/>
    <xf numFmtId="0" fontId="0" fillId="0" borderId="6" xfId="0" applyBorder="1"/>
    <xf numFmtId="0" fontId="0" fillId="14" borderId="14" xfId="0" applyFill="1" applyBorder="1"/>
    <xf numFmtId="44" fontId="0" fillId="15" borderId="18" xfId="2" applyFont="1" applyFill="1" applyBorder="1" applyProtection="1">
      <protection locked="0"/>
    </xf>
    <xf numFmtId="0" fontId="0" fillId="6" borderId="31" xfId="0" applyFill="1" applyBorder="1"/>
    <xf numFmtId="0" fontId="0" fillId="6" borderId="31" xfId="0" applyFill="1" applyBorder="1" applyAlignment="1">
      <alignment wrapText="1"/>
    </xf>
    <xf numFmtId="172" fontId="0" fillId="6" borderId="14" xfId="0" applyNumberFormat="1" applyFill="1" applyBorder="1" applyAlignment="1">
      <alignment horizontal="center"/>
    </xf>
    <xf numFmtId="44" fontId="0" fillId="16" borderId="2" xfId="2" applyFont="1" applyFill="1" applyBorder="1" applyProtection="1"/>
    <xf numFmtId="44" fontId="0" fillId="16" borderId="12" xfId="2" applyFont="1" applyFill="1" applyBorder="1" applyProtection="1"/>
    <xf numFmtId="44" fontId="64" fillId="14" borderId="33" xfId="2" applyFont="1" applyFill="1" applyBorder="1" applyAlignment="1" applyProtection="1">
      <alignment horizontal="center"/>
    </xf>
    <xf numFmtId="44" fontId="64" fillId="14" borderId="34" xfId="2" applyFont="1" applyFill="1" applyBorder="1" applyAlignment="1" applyProtection="1">
      <alignment horizontal="center"/>
    </xf>
    <xf numFmtId="44" fontId="64" fillId="14" borderId="35" xfId="2" applyFont="1" applyFill="1" applyBorder="1" applyAlignment="1" applyProtection="1">
      <alignment horizontal="center"/>
    </xf>
    <xf numFmtId="0" fontId="64" fillId="6" borderId="0" xfId="0" applyFont="1" applyFill="1" applyAlignment="1">
      <alignment horizontal="center"/>
    </xf>
    <xf numFmtId="0" fontId="0" fillId="6" borderId="14" xfId="0" applyFill="1" applyBorder="1"/>
    <xf numFmtId="0" fontId="0" fillId="6" borderId="14" xfId="0" applyFill="1" applyBorder="1" applyAlignment="1">
      <alignment wrapText="1"/>
    </xf>
    <xf numFmtId="0" fontId="0" fillId="2" borderId="12" xfId="0" applyFill="1" applyBorder="1" applyAlignment="1">
      <alignment horizontal="center" vertical="center"/>
    </xf>
    <xf numFmtId="0" fontId="0" fillId="14" borderId="12" xfId="0" applyFill="1" applyBorder="1"/>
    <xf numFmtId="0" fontId="0" fillId="2" borderId="20" xfId="0" applyFill="1" applyBorder="1"/>
    <xf numFmtId="0" fontId="0" fillId="14" borderId="2" xfId="0" applyFill="1" applyBorder="1"/>
    <xf numFmtId="0" fontId="0" fillId="2" borderId="14" xfId="0" applyFill="1" applyBorder="1"/>
    <xf numFmtId="0" fontId="0" fillId="2" borderId="12" xfId="0" applyFill="1" applyBorder="1"/>
    <xf numFmtId="0" fontId="57" fillId="0" borderId="7" xfId="0" applyFont="1" applyBorder="1"/>
    <xf numFmtId="0" fontId="57" fillId="0" borderId="0" xfId="0" applyFont="1"/>
    <xf numFmtId="0" fontId="57" fillId="0" borderId="4" xfId="0" applyFont="1" applyBorder="1"/>
    <xf numFmtId="0" fontId="63" fillId="2" borderId="12" xfId="0" applyFont="1" applyFill="1" applyBorder="1"/>
    <xf numFmtId="0" fontId="64" fillId="0" borderId="0" xfId="0" applyFont="1"/>
    <xf numFmtId="0" fontId="61" fillId="0" borderId="1" xfId="0" applyFont="1" applyBorder="1"/>
    <xf numFmtId="0" fontId="0" fillId="0" borderId="0" xfId="0" applyAlignment="1">
      <alignment horizontal="center"/>
    </xf>
    <xf numFmtId="14" fontId="0" fillId="0" borderId="0" xfId="0" applyNumberFormat="1"/>
    <xf numFmtId="14" fontId="0" fillId="14" borderId="14" xfId="0" applyNumberFormat="1" applyFill="1" applyBorder="1" applyAlignment="1">
      <alignment horizontal="center"/>
    </xf>
    <xf numFmtId="0" fontId="0" fillId="2" borderId="2" xfId="0" applyFill="1" applyBorder="1"/>
    <xf numFmtId="176" fontId="0" fillId="0" borderId="18" xfId="0" applyNumberFormat="1" applyBorder="1" applyAlignment="1">
      <alignment horizontal="right"/>
    </xf>
    <xf numFmtId="0" fontId="0" fillId="0" borderId="18" xfId="0" applyBorder="1" applyAlignment="1">
      <alignment horizontal="right"/>
    </xf>
    <xf numFmtId="0" fontId="0" fillId="0" borderId="0" xfId="0" applyAlignment="1">
      <alignment horizontal="right"/>
    </xf>
    <xf numFmtId="0" fontId="0" fillId="2" borderId="13" xfId="0" applyFill="1" applyBorder="1"/>
    <xf numFmtId="0" fontId="56" fillId="0" borderId="0" xfId="0" applyFont="1"/>
    <xf numFmtId="0" fontId="0" fillId="6" borderId="0" xfId="0" applyFill="1"/>
    <xf numFmtId="0" fontId="0" fillId="6" borderId="5" xfId="0" applyFill="1" applyBorder="1"/>
    <xf numFmtId="0" fontId="85" fillId="0" borderId="7" xfId="0" applyFont="1" applyBorder="1"/>
    <xf numFmtId="0" fontId="56" fillId="6" borderId="0" xfId="0" applyFont="1" applyFill="1"/>
    <xf numFmtId="0" fontId="0" fillId="2" borderId="39" xfId="0" applyFill="1" applyBorder="1"/>
    <xf numFmtId="0" fontId="64" fillId="0" borderId="31" xfId="0" applyFont="1" applyBorder="1" applyAlignment="1">
      <alignment horizontal="center"/>
    </xf>
    <xf numFmtId="44" fontId="64" fillId="6" borderId="0" xfId="2" applyFont="1" applyFill="1" applyBorder="1" applyAlignment="1" applyProtection="1">
      <alignment horizontal="center"/>
    </xf>
    <xf numFmtId="0" fontId="64" fillId="0" borderId="14" xfId="0" applyFont="1" applyBorder="1" applyAlignment="1">
      <alignment horizontal="center"/>
    </xf>
    <xf numFmtId="0" fontId="64" fillId="0" borderId="32" xfId="0" applyFont="1" applyBorder="1" applyAlignment="1">
      <alignment horizontal="center"/>
    </xf>
    <xf numFmtId="0" fontId="62" fillId="0" borderId="0" xfId="0" applyFont="1"/>
    <xf numFmtId="0" fontId="61" fillId="2" borderId="49" xfId="0" applyFont="1" applyFill="1" applyBorder="1"/>
    <xf numFmtId="0" fontId="0" fillId="2" borderId="44" xfId="0" applyFill="1" applyBorder="1"/>
    <xf numFmtId="0" fontId="0" fillId="2" borderId="45" xfId="0" applyFill="1" applyBorder="1"/>
    <xf numFmtId="0" fontId="61" fillId="2" borderId="12" xfId="0" applyFont="1" applyFill="1" applyBorder="1"/>
    <xf numFmtId="0" fontId="0" fillId="2" borderId="18" xfId="0" applyFill="1" applyBorder="1"/>
    <xf numFmtId="0" fontId="0" fillId="0" borderId="19" xfId="0" applyBorder="1" applyAlignment="1">
      <alignment horizontal="right"/>
    </xf>
    <xf numFmtId="0" fontId="0" fillId="0" borderId="14" xfId="0" applyBorder="1" applyAlignment="1">
      <alignment horizontal="right"/>
    </xf>
    <xf numFmtId="0" fontId="0" fillId="14" borderId="13" xfId="0" applyFill="1" applyBorder="1"/>
    <xf numFmtId="44" fontId="64" fillId="6" borderId="38" xfId="2" applyFont="1" applyFill="1" applyBorder="1" applyAlignment="1" applyProtection="1">
      <alignment horizontal="center"/>
    </xf>
    <xf numFmtId="0" fontId="0" fillId="6" borderId="7" xfId="0" applyFill="1" applyBorder="1"/>
    <xf numFmtId="0" fontId="85" fillId="0" borderId="0" xfId="0" applyFont="1"/>
    <xf numFmtId="0" fontId="0" fillId="6" borderId="4" xfId="0" applyFill="1" applyBorder="1"/>
    <xf numFmtId="0" fontId="66" fillId="0" borderId="0" xfId="0" applyFont="1" applyAlignment="1">
      <alignment horizontal="left"/>
    </xf>
    <xf numFmtId="0" fontId="66" fillId="0" borderId="0" xfId="0" applyFont="1"/>
    <xf numFmtId="0" fontId="0" fillId="3" borderId="0" xfId="0" applyFill="1"/>
    <xf numFmtId="0" fontId="70" fillId="0" borderId="4" xfId="0" applyFont="1" applyBorder="1"/>
    <xf numFmtId="0" fontId="65" fillId="0" borderId="0" xfId="0" applyFont="1"/>
    <xf numFmtId="2" fontId="70" fillId="0" borderId="0" xfId="0" applyNumberFormat="1" applyFont="1" applyAlignment="1">
      <alignment horizontal="right"/>
    </xf>
    <xf numFmtId="2" fontId="70" fillId="0" borderId="0" xfId="0" applyNumberFormat="1" applyFont="1" applyAlignment="1">
      <alignment horizontal="center"/>
    </xf>
    <xf numFmtId="0" fontId="58" fillId="0" borderId="4" xfId="0" applyFont="1" applyBorder="1"/>
    <xf numFmtId="0" fontId="58" fillId="0" borderId="0" xfId="0" applyFont="1"/>
    <xf numFmtId="14" fontId="58" fillId="0" borderId="0" xfId="0" applyNumberFormat="1" applyFont="1" applyAlignment="1">
      <alignment horizontal="right"/>
    </xf>
    <xf numFmtId="14" fontId="58" fillId="0" borderId="0" xfId="0" applyNumberFormat="1" applyFont="1" applyAlignment="1">
      <alignment horizontal="center" vertical="top"/>
    </xf>
    <xf numFmtId="14" fontId="58" fillId="0" borderId="0" xfId="0" applyNumberFormat="1" applyFont="1" applyAlignment="1">
      <alignment horizontal="right" vertical="top"/>
    </xf>
    <xf numFmtId="0" fontId="58" fillId="0" borderId="5" xfId="0" applyFont="1" applyBorder="1"/>
    <xf numFmtId="0" fontId="65" fillId="2" borderId="0" xfId="0" applyFont="1" applyFill="1"/>
    <xf numFmtId="0" fontId="0" fillId="2" borderId="0" xfId="0" applyFill="1"/>
    <xf numFmtId="0" fontId="71" fillId="0" borderId="2" xfId="0" applyFont="1" applyBorder="1" applyAlignment="1">
      <alignment vertical="top"/>
    </xf>
    <xf numFmtId="0" fontId="64" fillId="0" borderId="2" xfId="0" applyFont="1" applyBorder="1"/>
    <xf numFmtId="0" fontId="71" fillId="0" borderId="2" xfId="0" applyFont="1" applyBorder="1" applyAlignment="1">
      <alignment horizontal="center" vertical="top"/>
    </xf>
    <xf numFmtId="0" fontId="58" fillId="0" borderId="16" xfId="0" applyFont="1" applyBorder="1"/>
    <xf numFmtId="0" fontId="58" fillId="0" borderId="17" xfId="0" applyFont="1" applyBorder="1"/>
    <xf numFmtId="0" fontId="85" fillId="0" borderId="0" xfId="0" applyFont="1" applyAlignment="1">
      <alignment vertical="top" wrapText="1"/>
    </xf>
    <xf numFmtId="0" fontId="85" fillId="0" borderId="5" xfId="0" applyFont="1" applyBorder="1" applyAlignment="1">
      <alignment vertical="top" wrapText="1"/>
    </xf>
    <xf numFmtId="0" fontId="58" fillId="0" borderId="7" xfId="0" applyFont="1" applyBorder="1"/>
    <xf numFmtId="0" fontId="85" fillId="0" borderId="7" xfId="0" applyFont="1" applyBorder="1" applyAlignment="1">
      <alignment vertical="top" wrapText="1"/>
    </xf>
    <xf numFmtId="0" fontId="69" fillId="6" borderId="7" xfId="0" applyFont="1" applyFill="1" applyBorder="1"/>
    <xf numFmtId="0" fontId="58" fillId="0" borderId="8" xfId="0" applyFont="1" applyBorder="1"/>
    <xf numFmtId="0" fontId="52" fillId="0" borderId="0" xfId="0" applyFont="1"/>
    <xf numFmtId="0" fontId="58" fillId="0" borderId="0" xfId="0" applyFont="1" applyAlignment="1">
      <alignment horizontal="center"/>
    </xf>
    <xf numFmtId="14" fontId="58" fillId="6" borderId="0" xfId="0" applyNumberFormat="1" applyFont="1" applyFill="1" applyAlignment="1">
      <alignment horizontal="center" vertical="top"/>
    </xf>
    <xf numFmtId="14" fontId="58" fillId="6" borderId="0" xfId="0" applyNumberFormat="1" applyFont="1" applyFill="1" applyAlignment="1">
      <alignment horizontal="right" vertical="top"/>
    </xf>
    <xf numFmtId="0" fontId="85" fillId="6" borderId="0" xfId="0" applyFont="1" applyFill="1" applyAlignment="1">
      <alignment wrapText="1"/>
    </xf>
    <xf numFmtId="0" fontId="65" fillId="2" borderId="7" xfId="0" applyFont="1" applyFill="1" applyBorder="1" applyProtection="1">
      <protection hidden="1"/>
    </xf>
    <xf numFmtId="0" fontId="63" fillId="6" borderId="0" xfId="0" applyFont="1" applyFill="1"/>
    <xf numFmtId="0" fontId="0" fillId="6" borderId="0" xfId="0" applyFill="1" applyAlignment="1">
      <alignment vertical="top" wrapText="1"/>
    </xf>
    <xf numFmtId="14" fontId="0" fillId="16" borderId="14" xfId="0" applyNumberFormat="1" applyFill="1" applyBorder="1" applyAlignment="1">
      <alignment horizontal="center"/>
    </xf>
    <xf numFmtId="0" fontId="64" fillId="2" borderId="6" xfId="0" applyFont="1" applyFill="1" applyBorder="1"/>
    <xf numFmtId="0" fontId="0" fillId="2" borderId="3" xfId="0" applyFill="1" applyBorder="1"/>
    <xf numFmtId="0" fontId="0" fillId="2" borderId="8" xfId="0" applyFill="1" applyBorder="1"/>
    <xf numFmtId="0" fontId="64" fillId="2" borderId="1" xfId="0" applyFont="1" applyFill="1" applyBorder="1"/>
    <xf numFmtId="0" fontId="50" fillId="2" borderId="2" xfId="0" applyFont="1" applyFill="1" applyBorder="1"/>
    <xf numFmtId="0" fontId="50" fillId="2" borderId="7" xfId="0" applyFont="1" applyFill="1" applyBorder="1"/>
    <xf numFmtId="0" fontId="60" fillId="14" borderId="12" xfId="0" applyFont="1" applyFill="1" applyBorder="1"/>
    <xf numFmtId="0" fontId="58" fillId="3" borderId="7" xfId="0" applyFont="1" applyFill="1" applyBorder="1" applyAlignment="1" applyProtection="1">
      <alignment horizontal="center"/>
      <protection locked="0"/>
    </xf>
    <xf numFmtId="0" fontId="64" fillId="3" borderId="15" xfId="0" applyFont="1" applyFill="1" applyBorder="1" applyAlignment="1" applyProtection="1">
      <alignment horizontal="center"/>
      <protection locked="0"/>
    </xf>
    <xf numFmtId="164" fontId="58" fillId="3" borderId="14" xfId="0" applyNumberFormat="1" applyFont="1" applyFill="1" applyBorder="1" applyAlignment="1" applyProtection="1">
      <alignment horizontal="center"/>
      <protection locked="0"/>
    </xf>
    <xf numFmtId="14" fontId="58" fillId="3" borderId="14" xfId="0" applyNumberFormat="1" applyFont="1" applyFill="1" applyBorder="1" applyAlignment="1" applyProtection="1">
      <alignment horizontal="center"/>
      <protection locked="0"/>
    </xf>
    <xf numFmtId="14" fontId="58" fillId="6" borderId="0" xfId="0" applyNumberFormat="1" applyFont="1" applyFill="1" applyAlignment="1">
      <alignment horizontal="center" vertical="center"/>
    </xf>
    <xf numFmtId="14" fontId="70" fillId="6" borderId="0" xfId="0" applyNumberFormat="1" applyFont="1" applyFill="1" applyAlignment="1">
      <alignment horizontal="center" vertical="center"/>
    </xf>
    <xf numFmtId="0" fontId="0" fillId="15" borderId="14" xfId="0" applyFill="1" applyBorder="1" applyProtection="1">
      <protection locked="0"/>
    </xf>
    <xf numFmtId="0" fontId="0" fillId="15" borderId="12" xfId="0" applyFill="1" applyBorder="1" applyProtection="1">
      <protection locked="0"/>
    </xf>
    <xf numFmtId="172" fontId="0" fillId="15" borderId="14" xfId="0" applyNumberFormat="1" applyFill="1" applyBorder="1" applyAlignment="1" applyProtection="1">
      <alignment horizontal="center"/>
      <protection locked="0"/>
    </xf>
    <xf numFmtId="10" fontId="0" fillId="15" borderId="14" xfId="0" applyNumberFormat="1" applyFill="1" applyBorder="1" applyAlignment="1" applyProtection="1">
      <alignment horizontal="center"/>
      <protection locked="0"/>
    </xf>
    <xf numFmtId="174" fontId="0" fillId="15" borderId="12" xfId="0" applyNumberFormat="1" applyFill="1" applyBorder="1" applyProtection="1">
      <protection locked="0"/>
    </xf>
    <xf numFmtId="175" fontId="0" fillId="15" borderId="12" xfId="0" applyNumberFormat="1" applyFill="1" applyBorder="1" applyProtection="1">
      <protection locked="0"/>
    </xf>
    <xf numFmtId="44" fontId="0" fillId="15" borderId="12" xfId="2" applyFont="1" applyFill="1" applyBorder="1" applyProtection="1">
      <protection locked="0"/>
    </xf>
    <xf numFmtId="44" fontId="0" fillId="15" borderId="7" xfId="2" applyFont="1" applyFill="1" applyBorder="1" applyProtection="1">
      <protection locked="0"/>
    </xf>
    <xf numFmtId="10" fontId="0" fillId="15" borderId="14" xfId="3" applyNumberFormat="1" applyFont="1" applyFill="1" applyBorder="1" applyProtection="1">
      <protection locked="0"/>
    </xf>
    <xf numFmtId="0" fontId="120" fillId="22" borderId="0" xfId="0" applyFont="1" applyFill="1" applyAlignment="1">
      <alignment horizontal="left"/>
    </xf>
    <xf numFmtId="0" fontId="121" fillId="22" borderId="0" xfId="0" applyFont="1" applyFill="1" applyAlignment="1">
      <alignment horizontal="left"/>
    </xf>
    <xf numFmtId="0" fontId="122" fillId="22" borderId="0" xfId="0" applyFont="1" applyFill="1" applyAlignment="1">
      <alignment horizontal="left"/>
    </xf>
    <xf numFmtId="178" fontId="0" fillId="15" borderId="14" xfId="3" applyNumberFormat="1" applyFont="1" applyFill="1" applyBorder="1" applyProtection="1">
      <protection locked="0"/>
    </xf>
    <xf numFmtId="0" fontId="0" fillId="26" borderId="0" xfId="0" applyFill="1"/>
    <xf numFmtId="0" fontId="0" fillId="10" borderId="0" xfId="0" applyFill="1"/>
    <xf numFmtId="0" fontId="0" fillId="14" borderId="0" xfId="0" applyFill="1"/>
    <xf numFmtId="165" fontId="69" fillId="14" borderId="50" xfId="0" applyNumberFormat="1" applyFont="1" applyFill="1" applyBorder="1"/>
    <xf numFmtId="165" fontId="74" fillId="14" borderId="50" xfId="0" applyNumberFormat="1" applyFont="1" applyFill="1" applyBorder="1"/>
    <xf numFmtId="165" fontId="96" fillId="14" borderId="50" xfId="0" applyNumberFormat="1" applyFont="1" applyFill="1" applyBorder="1"/>
    <xf numFmtId="44" fontId="74" fillId="14" borderId="21" xfId="2" applyFont="1" applyFill="1" applyBorder="1" applyProtection="1"/>
    <xf numFmtId="44" fontId="96" fillId="14" borderId="21" xfId="2" applyFont="1" applyFill="1" applyBorder="1" applyProtection="1"/>
    <xf numFmtId="44" fontId="96" fillId="14" borderId="21" xfId="2" applyFont="1" applyFill="1" applyBorder="1" applyAlignment="1" applyProtection="1">
      <alignment horizontal="left"/>
    </xf>
    <xf numFmtId="44" fontId="96" fillId="14" borderId="14" xfId="2" applyFont="1" applyFill="1" applyBorder="1" applyAlignment="1" applyProtection="1">
      <alignment horizontal="left"/>
    </xf>
    <xf numFmtId="0" fontId="124" fillId="0" borderId="8" xfId="0" applyFont="1" applyBorder="1" applyAlignment="1">
      <alignment horizontal="right"/>
    </xf>
    <xf numFmtId="0" fontId="123" fillId="0" borderId="8" xfId="0" applyFont="1" applyBorder="1" applyAlignment="1" applyProtection="1">
      <alignment horizontal="right"/>
      <protection hidden="1"/>
    </xf>
    <xf numFmtId="0" fontId="103" fillId="0" borderId="0" xfId="0" applyFont="1"/>
    <xf numFmtId="14" fontId="111" fillId="0" borderId="0" xfId="0" applyNumberFormat="1" applyFont="1"/>
    <xf numFmtId="14" fontId="112" fillId="0" borderId="0" xfId="0" applyNumberFormat="1" applyFont="1"/>
    <xf numFmtId="0" fontId="104" fillId="0" borderId="0" xfId="0" applyFont="1"/>
    <xf numFmtId="0" fontId="99" fillId="0" borderId="0" xfId="0" applyFont="1"/>
    <xf numFmtId="0" fontId="98" fillId="0" borderId="0" xfId="0" applyFont="1" applyProtection="1">
      <protection hidden="1"/>
    </xf>
    <xf numFmtId="0" fontId="60" fillId="0" borderId="0" xfId="0" applyFont="1" applyProtection="1">
      <protection hidden="1"/>
    </xf>
    <xf numFmtId="14" fontId="95" fillId="0" borderId="0" xfId="0" applyNumberFormat="1" applyFont="1"/>
    <xf numFmtId="0" fontId="102" fillId="0" borderId="0" xfId="0" applyFont="1"/>
    <xf numFmtId="0" fontId="97" fillId="0" borderId="0" xfId="0" applyFont="1"/>
    <xf numFmtId="0" fontId="110" fillId="0" borderId="0" xfId="0" applyFont="1"/>
    <xf numFmtId="0" fontId="78" fillId="0" borderId="0" xfId="0" applyFont="1" applyProtection="1">
      <protection hidden="1"/>
    </xf>
    <xf numFmtId="0" fontId="100" fillId="0" borderId="0" xfId="0" applyFont="1" applyProtection="1">
      <protection hidden="1"/>
    </xf>
    <xf numFmtId="2" fontId="98" fillId="0" borderId="0" xfId="0" applyNumberFormat="1" applyFont="1" applyProtection="1">
      <protection hidden="1"/>
    </xf>
    <xf numFmtId="2" fontId="0" fillId="0" borderId="0" xfId="0" applyNumberFormat="1" applyProtection="1">
      <protection hidden="1"/>
    </xf>
    <xf numFmtId="0" fontId="69" fillId="0" borderId="0" xfId="0" applyFont="1"/>
    <xf numFmtId="0" fontId="69" fillId="0" borderId="0" xfId="0" applyFont="1" applyAlignment="1" applyProtection="1">
      <alignment vertical="center"/>
      <protection hidden="1"/>
    </xf>
    <xf numFmtId="0" fontId="108" fillId="0" borderId="0" xfId="0" applyFont="1" applyAlignment="1" applyProtection="1">
      <alignment vertical="center"/>
      <protection hidden="1"/>
    </xf>
    <xf numFmtId="0" fontId="107" fillId="0" borderId="0" xfId="0" applyFont="1" applyAlignment="1" applyProtection="1">
      <alignment vertical="center"/>
      <protection hidden="1"/>
    </xf>
    <xf numFmtId="0" fontId="46" fillId="0" borderId="0" xfId="0" applyFont="1" applyAlignment="1" applyProtection="1">
      <alignment vertical="center"/>
      <protection hidden="1"/>
    </xf>
    <xf numFmtId="14" fontId="95" fillId="0" borderId="0" xfId="0" applyNumberFormat="1" applyFont="1" applyProtection="1">
      <protection hidden="1"/>
    </xf>
    <xf numFmtId="14" fontId="98" fillId="0" borderId="0" xfId="0" applyNumberFormat="1" applyFont="1" applyProtection="1">
      <protection hidden="1"/>
    </xf>
    <xf numFmtId="14" fontId="76" fillId="0" borderId="0" xfId="0" applyNumberFormat="1" applyFont="1" applyProtection="1">
      <protection hidden="1"/>
    </xf>
    <xf numFmtId="14" fontId="0" fillId="0" borderId="0" xfId="0" applyNumberFormat="1" applyProtection="1">
      <protection hidden="1"/>
    </xf>
    <xf numFmtId="0" fontId="103" fillId="0" borderId="0" xfId="0" applyFont="1" applyProtection="1">
      <protection hidden="1"/>
    </xf>
    <xf numFmtId="0" fontId="84" fillId="0" borderId="0" xfId="0" applyFont="1" applyProtection="1">
      <protection hidden="1"/>
    </xf>
    <xf numFmtId="0" fontId="107" fillId="0" borderId="0" xfId="0" applyFont="1" applyProtection="1">
      <protection hidden="1"/>
    </xf>
    <xf numFmtId="0" fontId="75" fillId="0" borderId="0" xfId="0" applyFont="1" applyAlignment="1" applyProtection="1">
      <alignment horizontal="left"/>
      <protection hidden="1"/>
    </xf>
    <xf numFmtId="0" fontId="65" fillId="0" borderId="0" xfId="0" applyFont="1" applyAlignment="1" applyProtection="1">
      <alignment horizontal="left"/>
      <protection hidden="1"/>
    </xf>
    <xf numFmtId="0" fontId="70" fillId="8" borderId="0" xfId="0" applyFont="1" applyFill="1" applyAlignment="1" applyProtection="1">
      <alignment horizontal="left"/>
      <protection hidden="1"/>
    </xf>
    <xf numFmtId="0" fontId="0" fillId="8" borderId="0" xfId="0" applyFill="1" applyProtection="1">
      <protection hidden="1"/>
    </xf>
    <xf numFmtId="0" fontId="58" fillId="0" borderId="0" xfId="0" applyFont="1" applyAlignment="1" applyProtection="1">
      <alignment horizontal="center"/>
      <protection hidden="1"/>
    </xf>
    <xf numFmtId="0" fontId="65" fillId="0" borderId="0" xfId="0" applyFont="1" applyAlignment="1" applyProtection="1">
      <alignment horizontal="right"/>
      <protection hidden="1"/>
    </xf>
    <xf numFmtId="3" fontId="65" fillId="7" borderId="14" xfId="0" applyNumberFormat="1" applyFont="1" applyFill="1" applyBorder="1" applyAlignment="1" applyProtection="1">
      <alignment horizontal="center"/>
      <protection hidden="1"/>
    </xf>
    <xf numFmtId="0" fontId="64" fillId="7" borderId="14" xfId="0" applyFont="1" applyFill="1" applyBorder="1" applyAlignment="1" applyProtection="1">
      <alignment horizontal="center"/>
      <protection hidden="1"/>
    </xf>
    <xf numFmtId="167" fontId="64" fillId="7" borderId="14" xfId="0" applyNumberFormat="1" applyFont="1" applyFill="1" applyBorder="1" applyAlignment="1" applyProtection="1">
      <alignment horizontal="center"/>
      <protection hidden="1"/>
    </xf>
    <xf numFmtId="4" fontId="64" fillId="7" borderId="14" xfId="0" applyNumberFormat="1" applyFont="1" applyFill="1" applyBorder="1" applyAlignment="1" applyProtection="1">
      <alignment horizontal="center"/>
      <protection hidden="1"/>
    </xf>
    <xf numFmtId="0" fontId="65" fillId="8" borderId="0" xfId="0" applyFont="1" applyFill="1" applyAlignment="1" applyProtection="1">
      <alignment horizontal="right" indent="1"/>
      <protection hidden="1"/>
    </xf>
    <xf numFmtId="0" fontId="69" fillId="8" borderId="0" xfId="0" applyFont="1" applyFill="1" applyProtection="1">
      <protection hidden="1"/>
    </xf>
    <xf numFmtId="0" fontId="70" fillId="8" borderId="0" xfId="0" applyFont="1" applyFill="1" applyAlignment="1" applyProtection="1">
      <alignment horizontal="right"/>
      <protection hidden="1"/>
    </xf>
    <xf numFmtId="0" fontId="65" fillId="8" borderId="0" xfId="0" applyFont="1" applyFill="1" applyAlignment="1" applyProtection="1">
      <alignment horizontal="right"/>
      <protection hidden="1"/>
    </xf>
    <xf numFmtId="0" fontId="70" fillId="0" borderId="0" xfId="0" applyFont="1" applyAlignment="1" applyProtection="1">
      <alignment horizontal="right"/>
      <protection hidden="1"/>
    </xf>
    <xf numFmtId="0" fontId="109" fillId="0" borderId="0" xfId="0" applyFont="1" applyProtection="1">
      <protection hidden="1"/>
    </xf>
    <xf numFmtId="1" fontId="74" fillId="8" borderId="0" xfId="0" applyNumberFormat="1" applyFont="1" applyFill="1" applyAlignment="1" applyProtection="1">
      <alignment horizontal="center"/>
      <protection hidden="1"/>
    </xf>
    <xf numFmtId="1" fontId="70" fillId="7" borderId="14" xfId="0" applyNumberFormat="1" applyFont="1" applyFill="1" applyBorder="1" applyAlignment="1" applyProtection="1">
      <alignment horizontal="right" indent="1"/>
      <protection hidden="1"/>
    </xf>
    <xf numFmtId="0" fontId="70" fillId="7" borderId="0" xfId="0" applyFont="1" applyFill="1" applyProtection="1">
      <protection hidden="1"/>
    </xf>
    <xf numFmtId="0" fontId="63" fillId="7" borderId="0" xfId="0" applyFont="1" applyFill="1" applyProtection="1">
      <protection hidden="1"/>
    </xf>
    <xf numFmtId="4" fontId="74" fillId="8" borderId="0" xfId="0" applyNumberFormat="1" applyFont="1" applyFill="1" applyAlignment="1" applyProtection="1">
      <alignment horizontal="center"/>
      <protection hidden="1"/>
    </xf>
    <xf numFmtId="3" fontId="74" fillId="8" borderId="0" xfId="0" applyNumberFormat="1" applyFont="1" applyFill="1" applyAlignment="1" applyProtection="1">
      <alignment horizontal="center"/>
      <protection hidden="1"/>
    </xf>
    <xf numFmtId="4" fontId="58" fillId="7" borderId="14" xfId="0" applyNumberFormat="1" applyFont="1" applyFill="1" applyBorder="1" applyProtection="1">
      <protection hidden="1"/>
    </xf>
    <xf numFmtId="4" fontId="58" fillId="2" borderId="25" xfId="0" applyNumberFormat="1" applyFont="1" applyFill="1" applyBorder="1" applyProtection="1">
      <protection hidden="1"/>
    </xf>
    <xf numFmtId="164" fontId="58" fillId="2" borderId="14" xfId="0" applyNumberFormat="1" applyFont="1" applyFill="1" applyBorder="1" applyProtection="1">
      <protection hidden="1"/>
    </xf>
    <xf numFmtId="169" fontId="0" fillId="8" borderId="0" xfId="0" applyNumberFormat="1" applyFill="1" applyProtection="1">
      <protection hidden="1"/>
    </xf>
    <xf numFmtId="0" fontId="79" fillId="8" borderId="0" xfId="0" applyFont="1" applyFill="1" applyProtection="1">
      <protection hidden="1"/>
    </xf>
    <xf numFmtId="0" fontId="65" fillId="0" borderId="0" xfId="0" applyFont="1" applyAlignment="1" applyProtection="1">
      <alignment horizontal="right" indent="1"/>
      <protection hidden="1"/>
    </xf>
    <xf numFmtId="3" fontId="0" fillId="8" borderId="0" xfId="0" applyNumberFormat="1" applyFill="1" applyAlignment="1" applyProtection="1">
      <alignment horizontal="center"/>
      <protection hidden="1"/>
    </xf>
    <xf numFmtId="0" fontId="58" fillId="2" borderId="12" xfId="0" applyFont="1" applyFill="1" applyBorder="1" applyAlignment="1" applyProtection="1">
      <alignment horizontal="center" wrapText="1"/>
      <protection hidden="1"/>
    </xf>
    <xf numFmtId="0" fontId="58" fillId="2" borderId="14" xfId="0" applyFont="1" applyFill="1" applyBorder="1" applyAlignment="1" applyProtection="1">
      <alignment horizontal="center" wrapText="1"/>
      <protection hidden="1"/>
    </xf>
    <xf numFmtId="0" fontId="58" fillId="2" borderId="13" xfId="0" applyFont="1" applyFill="1" applyBorder="1" applyAlignment="1" applyProtection="1">
      <alignment horizontal="center" wrapText="1"/>
      <protection hidden="1"/>
    </xf>
    <xf numFmtId="0" fontId="0" fillId="2" borderId="18" xfId="0" applyFill="1" applyBorder="1" applyProtection="1">
      <protection hidden="1"/>
    </xf>
    <xf numFmtId="0" fontId="55" fillId="2" borderId="13" xfId="0" applyFont="1" applyFill="1" applyBorder="1" applyAlignment="1" applyProtection="1">
      <alignment horizontal="right"/>
      <protection hidden="1"/>
    </xf>
    <xf numFmtId="0" fontId="74" fillId="8" borderId="18" xfId="0" applyFont="1" applyFill="1" applyBorder="1" applyAlignment="1" applyProtection="1">
      <alignment horizontal="right"/>
      <protection hidden="1"/>
    </xf>
    <xf numFmtId="0" fontId="58" fillId="2" borderId="12" xfId="0" applyFont="1" applyFill="1" applyBorder="1" applyAlignment="1" applyProtection="1">
      <alignment horizontal="right"/>
      <protection hidden="1"/>
    </xf>
    <xf numFmtId="0" fontId="58" fillId="2" borderId="13" xfId="0" applyFont="1" applyFill="1" applyBorder="1" applyAlignment="1" applyProtection="1">
      <alignment horizontal="center"/>
      <protection hidden="1"/>
    </xf>
    <xf numFmtId="0" fontId="58" fillId="2" borderId="18" xfId="0" applyFont="1" applyFill="1" applyBorder="1" applyAlignment="1" applyProtection="1">
      <alignment horizontal="right"/>
      <protection hidden="1"/>
    </xf>
    <xf numFmtId="0" fontId="65" fillId="0" borderId="18" xfId="0" applyFont="1" applyBorder="1" applyAlignment="1" applyProtection="1">
      <alignment horizontal="left"/>
      <protection hidden="1"/>
    </xf>
    <xf numFmtId="166" fontId="65" fillId="7" borderId="13" xfId="0" applyNumberFormat="1" applyFont="1" applyFill="1" applyBorder="1" applyAlignment="1" applyProtection="1">
      <alignment horizontal="right"/>
      <protection hidden="1"/>
    </xf>
    <xf numFmtId="4" fontId="74" fillId="8" borderId="18" xfId="0" applyNumberFormat="1" applyFont="1" applyFill="1" applyBorder="1" applyProtection="1">
      <protection hidden="1"/>
    </xf>
    <xf numFmtId="166" fontId="74" fillId="8" borderId="18" xfId="0" applyNumberFormat="1" applyFont="1" applyFill="1" applyBorder="1" applyProtection="1">
      <protection hidden="1"/>
    </xf>
    <xf numFmtId="166" fontId="65" fillId="8" borderId="12" xfId="0" applyNumberFormat="1" applyFont="1" applyFill="1" applyBorder="1" applyProtection="1">
      <protection hidden="1"/>
    </xf>
    <xf numFmtId="166" fontId="65" fillId="7" borderId="13" xfId="0" applyNumberFormat="1" applyFont="1" applyFill="1" applyBorder="1" applyProtection="1">
      <protection hidden="1"/>
    </xf>
    <xf numFmtId="166" fontId="65" fillId="8" borderId="18" xfId="0" applyNumberFormat="1" applyFont="1" applyFill="1" applyBorder="1" applyProtection="1">
      <protection hidden="1"/>
    </xf>
    <xf numFmtId="166" fontId="64" fillId="8" borderId="12" xfId="0" applyNumberFormat="1" applyFont="1" applyFill="1" applyBorder="1" applyProtection="1">
      <protection hidden="1"/>
    </xf>
    <xf numFmtId="166" fontId="64" fillId="7" borderId="13" xfId="0" applyNumberFormat="1" applyFont="1" applyFill="1" applyBorder="1" applyProtection="1">
      <protection hidden="1"/>
    </xf>
    <xf numFmtId="166" fontId="0" fillId="8" borderId="0" xfId="0" applyNumberFormat="1" applyFill="1" applyProtection="1">
      <protection hidden="1"/>
    </xf>
    <xf numFmtId="166" fontId="0" fillId="0" borderId="0" xfId="0" applyNumberFormat="1" applyProtection="1">
      <protection hidden="1"/>
    </xf>
    <xf numFmtId="0" fontId="58" fillId="0" borderId="18" xfId="0" applyFont="1" applyBorder="1" applyProtection="1">
      <protection hidden="1"/>
    </xf>
    <xf numFmtId="16" fontId="54" fillId="7" borderId="18" xfId="0" quotePrefix="1" applyNumberFormat="1" applyFont="1" applyFill="1" applyBorder="1" applyAlignment="1" applyProtection="1">
      <alignment horizontal="left"/>
      <protection hidden="1"/>
    </xf>
    <xf numFmtId="166" fontId="70" fillId="7" borderId="13" xfId="0" applyNumberFormat="1" applyFont="1" applyFill="1" applyBorder="1" applyAlignment="1" applyProtection="1">
      <alignment horizontal="right"/>
      <protection hidden="1"/>
    </xf>
    <xf numFmtId="166" fontId="58" fillId="8" borderId="12" xfId="0" applyNumberFormat="1" applyFont="1" applyFill="1" applyBorder="1" applyProtection="1">
      <protection hidden="1"/>
    </xf>
    <xf numFmtId="166" fontId="58" fillId="7" borderId="13" xfId="0" applyNumberFormat="1" applyFont="1" applyFill="1" applyBorder="1" applyProtection="1">
      <protection hidden="1"/>
    </xf>
    <xf numFmtId="166" fontId="58" fillId="8" borderId="1" xfId="0" quotePrefix="1" applyNumberFormat="1" applyFont="1" applyFill="1" applyBorder="1" applyProtection="1">
      <protection hidden="1"/>
    </xf>
    <xf numFmtId="166" fontId="0" fillId="0" borderId="2" xfId="0" applyNumberFormat="1" applyBorder="1" applyProtection="1">
      <protection hidden="1"/>
    </xf>
    <xf numFmtId="166" fontId="58" fillId="8" borderId="4" xfId="0" quotePrefix="1" applyNumberFormat="1" applyFont="1" applyFill="1" applyBorder="1" applyProtection="1">
      <protection hidden="1"/>
    </xf>
    <xf numFmtId="166" fontId="58" fillId="0" borderId="18" xfId="0" applyNumberFormat="1" applyFont="1" applyBorder="1" applyProtection="1">
      <protection hidden="1"/>
    </xf>
    <xf numFmtId="166" fontId="58" fillId="0" borderId="18" xfId="0" quotePrefix="1" applyNumberFormat="1" applyFont="1" applyBorder="1" applyProtection="1">
      <protection hidden="1"/>
    </xf>
    <xf numFmtId="166" fontId="0" fillId="0" borderId="18" xfId="0" applyNumberFormat="1" applyBorder="1" applyProtection="1">
      <protection hidden="1"/>
    </xf>
    <xf numFmtId="166" fontId="58" fillId="8" borderId="0" xfId="0" applyNumberFormat="1" applyFont="1" applyFill="1" applyProtection="1">
      <protection hidden="1"/>
    </xf>
    <xf numFmtId="166" fontId="64" fillId="7" borderId="14" xfId="0" applyNumberFormat="1" applyFont="1" applyFill="1" applyBorder="1" applyProtection="1">
      <protection hidden="1"/>
    </xf>
    <xf numFmtId="0" fontId="112" fillId="0" borderId="0" xfId="0" applyFont="1" applyProtection="1">
      <protection hidden="1"/>
    </xf>
    <xf numFmtId="166" fontId="58" fillId="7" borderId="8" xfId="0" applyNumberFormat="1" applyFont="1" applyFill="1" applyBorder="1" applyProtection="1">
      <protection hidden="1"/>
    </xf>
    <xf numFmtId="166" fontId="58" fillId="8" borderId="7" xfId="0" applyNumberFormat="1" applyFont="1" applyFill="1" applyBorder="1" applyProtection="1">
      <protection hidden="1"/>
    </xf>
    <xf numFmtId="166" fontId="58" fillId="8" borderId="6" xfId="0" applyNumberFormat="1" applyFont="1" applyFill="1" applyBorder="1" applyProtection="1">
      <protection hidden="1"/>
    </xf>
    <xf numFmtId="16" fontId="58" fillId="0" borderId="18" xfId="0" applyNumberFormat="1" applyFont="1" applyBorder="1" applyProtection="1">
      <protection hidden="1"/>
    </xf>
    <xf numFmtId="166" fontId="58" fillId="8" borderId="18" xfId="0" applyNumberFormat="1" applyFont="1" applyFill="1" applyBorder="1" applyProtection="1">
      <protection hidden="1"/>
    </xf>
    <xf numFmtId="0" fontId="77" fillId="0" borderId="0" xfId="0" applyFont="1" applyProtection="1">
      <protection hidden="1"/>
    </xf>
    <xf numFmtId="16" fontId="58" fillId="7" borderId="18" xfId="0" quotePrefix="1" applyNumberFormat="1" applyFont="1" applyFill="1" applyBorder="1" applyAlignment="1" applyProtection="1">
      <alignment horizontal="left"/>
      <protection hidden="1"/>
    </xf>
    <xf numFmtId="0" fontId="0" fillId="0" borderId="0" xfId="0" applyAlignment="1" applyProtection="1">
      <alignment horizontal="left"/>
      <protection hidden="1"/>
    </xf>
    <xf numFmtId="166" fontId="63" fillId="0" borderId="0" xfId="0" applyNumberFormat="1" applyFont="1" applyAlignment="1" applyProtection="1">
      <alignment horizontal="left"/>
      <protection hidden="1"/>
    </xf>
    <xf numFmtId="166" fontId="0" fillId="8" borderId="0" xfId="0" applyNumberFormat="1" applyFill="1" applyAlignment="1" applyProtection="1">
      <alignment horizontal="left"/>
      <protection hidden="1"/>
    </xf>
    <xf numFmtId="0" fontId="64" fillId="0" borderId="18" xfId="0" applyFont="1" applyBorder="1" applyProtection="1">
      <protection hidden="1"/>
    </xf>
    <xf numFmtId="166" fontId="64" fillId="8" borderId="0" xfId="0" applyNumberFormat="1" applyFont="1" applyFill="1" applyProtection="1">
      <protection hidden="1"/>
    </xf>
    <xf numFmtId="49" fontId="58" fillId="0" borderId="18" xfId="0" applyNumberFormat="1" applyFont="1" applyBorder="1" applyProtection="1">
      <protection hidden="1"/>
    </xf>
    <xf numFmtId="0" fontId="54" fillId="7" borderId="18" xfId="0" applyFont="1" applyFill="1" applyBorder="1" applyAlignment="1" applyProtection="1">
      <alignment horizontal="left"/>
      <protection hidden="1"/>
    </xf>
    <xf numFmtId="166" fontId="58" fillId="8" borderId="12" xfId="0" quotePrefix="1" applyNumberFormat="1" applyFont="1" applyFill="1" applyBorder="1" applyProtection="1">
      <protection hidden="1"/>
    </xf>
    <xf numFmtId="166" fontId="58" fillId="0" borderId="13" xfId="0" applyNumberFormat="1" applyFont="1" applyBorder="1" applyProtection="1">
      <protection hidden="1"/>
    </xf>
    <xf numFmtId="166" fontId="58" fillId="8" borderId="6" xfId="0" quotePrefix="1" applyNumberFormat="1" applyFont="1" applyFill="1" applyBorder="1" applyProtection="1">
      <protection hidden="1"/>
    </xf>
    <xf numFmtId="166" fontId="0" fillId="8" borderId="2" xfId="0" applyNumberFormat="1" applyFill="1" applyBorder="1" applyProtection="1">
      <protection hidden="1"/>
    </xf>
    <xf numFmtId="0" fontId="70" fillId="7" borderId="18" xfId="0" applyFont="1" applyFill="1" applyBorder="1" applyAlignment="1" applyProtection="1">
      <alignment horizontal="left" vertical="center"/>
      <protection hidden="1"/>
    </xf>
    <xf numFmtId="166" fontId="0" fillId="8" borderId="4" xfId="0" applyNumberFormat="1" applyFill="1" applyBorder="1" applyProtection="1">
      <protection hidden="1"/>
    </xf>
    <xf numFmtId="49" fontId="58" fillId="7" borderId="18" xfId="0" applyNumberFormat="1" applyFont="1" applyFill="1" applyBorder="1" applyProtection="1">
      <protection hidden="1"/>
    </xf>
    <xf numFmtId="0" fontId="85" fillId="7" borderId="18" xfId="0" applyFont="1" applyFill="1" applyBorder="1" applyAlignment="1" applyProtection="1">
      <alignment horizontal="left"/>
      <protection hidden="1"/>
    </xf>
    <xf numFmtId="166" fontId="58" fillId="0" borderId="0" xfId="0" applyNumberFormat="1" applyFont="1" applyProtection="1">
      <protection hidden="1"/>
    </xf>
    <xf numFmtId="0" fontId="65" fillId="7" borderId="18" xfId="0" applyFont="1" applyFill="1" applyBorder="1" applyAlignment="1" applyProtection="1">
      <alignment horizontal="left"/>
      <protection hidden="1"/>
    </xf>
    <xf numFmtId="0" fontId="65" fillId="0" borderId="18" xfId="0" applyFont="1" applyBorder="1" applyProtection="1">
      <protection hidden="1"/>
    </xf>
    <xf numFmtId="16" fontId="58" fillId="7" borderId="18" xfId="0" applyNumberFormat="1" applyFont="1" applyFill="1" applyBorder="1" applyProtection="1">
      <protection hidden="1"/>
    </xf>
    <xf numFmtId="16" fontId="54" fillId="7" borderId="18" xfId="0" quotePrefix="1" applyNumberFormat="1" applyFont="1" applyFill="1" applyBorder="1" applyProtection="1">
      <protection hidden="1"/>
    </xf>
    <xf numFmtId="166" fontId="71" fillId="8" borderId="4" xfId="0" applyNumberFormat="1" applyFont="1" applyFill="1" applyBorder="1" applyAlignment="1" applyProtection="1">
      <alignment vertical="top" wrapText="1"/>
      <protection hidden="1"/>
    </xf>
    <xf numFmtId="166" fontId="80" fillId="0" borderId="0" xfId="0" applyNumberFormat="1" applyFont="1" applyAlignment="1" applyProtection="1">
      <alignment vertical="top" wrapText="1"/>
      <protection hidden="1"/>
    </xf>
    <xf numFmtId="166" fontId="80" fillId="8" borderId="0" xfId="0" applyNumberFormat="1" applyFont="1" applyFill="1" applyAlignment="1" applyProtection="1">
      <alignment vertical="top" wrapText="1"/>
      <protection hidden="1"/>
    </xf>
    <xf numFmtId="16" fontId="58" fillId="7" borderId="18" xfId="0" quotePrefix="1" applyNumberFormat="1" applyFont="1" applyFill="1" applyBorder="1" applyProtection="1">
      <protection hidden="1"/>
    </xf>
    <xf numFmtId="166" fontId="80" fillId="8" borderId="4" xfId="0" applyNumberFormat="1" applyFont="1" applyFill="1" applyBorder="1" applyAlignment="1" applyProtection="1">
      <alignment vertical="top" wrapText="1"/>
      <protection hidden="1"/>
    </xf>
    <xf numFmtId="0" fontId="80" fillId="0" borderId="5" xfId="0" applyFont="1" applyBorder="1" applyAlignment="1" applyProtection="1">
      <alignment horizontal="right" indent="1"/>
      <protection hidden="1"/>
    </xf>
    <xf numFmtId="166" fontId="80" fillId="8" borderId="4" xfId="0" applyNumberFormat="1" applyFont="1" applyFill="1" applyBorder="1" applyProtection="1">
      <protection hidden="1"/>
    </xf>
    <xf numFmtId="166" fontId="80" fillId="0" borderId="0" xfId="0" applyNumberFormat="1" applyFont="1" applyProtection="1">
      <protection hidden="1"/>
    </xf>
    <xf numFmtId="166" fontId="80" fillId="8" borderId="0" xfId="0" applyNumberFormat="1" applyFont="1" applyFill="1" applyProtection="1">
      <protection hidden="1"/>
    </xf>
    <xf numFmtId="0" fontId="76" fillId="0" borderId="0" xfId="0" applyFont="1" applyProtection="1">
      <protection hidden="1"/>
    </xf>
    <xf numFmtId="166" fontId="65" fillId="0" borderId="0" xfId="0" applyNumberFormat="1" applyFont="1" applyProtection="1">
      <protection hidden="1"/>
    </xf>
    <xf numFmtId="166" fontId="0" fillId="8" borderId="0" xfId="0" applyNumberFormat="1" applyFill="1" applyAlignment="1" applyProtection="1">
      <alignment horizontal="right" indent="1"/>
      <protection hidden="1"/>
    </xf>
    <xf numFmtId="166" fontId="65" fillId="0" borderId="0" xfId="0" applyNumberFormat="1" applyFont="1" applyAlignment="1" applyProtection="1">
      <alignment horizontal="right" indent="1"/>
      <protection hidden="1"/>
    </xf>
    <xf numFmtId="166" fontId="65" fillId="8" borderId="0" xfId="0" applyNumberFormat="1" applyFont="1" applyFill="1" applyAlignment="1" applyProtection="1">
      <alignment horizontal="right" indent="1"/>
      <protection hidden="1"/>
    </xf>
    <xf numFmtId="166" fontId="58" fillId="8" borderId="0" xfId="0" applyNumberFormat="1" applyFont="1" applyFill="1" applyAlignment="1" applyProtection="1">
      <alignment horizontal="right" indent="1"/>
      <protection hidden="1"/>
    </xf>
    <xf numFmtId="166" fontId="0" fillId="0" borderId="0" xfId="0" applyNumberFormat="1" applyAlignment="1" applyProtection="1">
      <alignment horizontal="right" indent="1"/>
      <protection hidden="1"/>
    </xf>
    <xf numFmtId="0" fontId="69" fillId="2" borderId="18" xfId="0" applyFont="1" applyFill="1" applyBorder="1" applyAlignment="1" applyProtection="1">
      <alignment horizontal="left"/>
      <protection hidden="1"/>
    </xf>
    <xf numFmtId="166" fontId="70" fillId="8" borderId="12" xfId="0" applyNumberFormat="1" applyFont="1" applyFill="1" applyBorder="1" applyAlignment="1" applyProtection="1">
      <alignment horizontal="right" indent="1"/>
      <protection hidden="1"/>
    </xf>
    <xf numFmtId="166" fontId="70" fillId="7" borderId="13" xfId="0" applyNumberFormat="1" applyFont="1" applyFill="1" applyBorder="1" applyAlignment="1" applyProtection="1">
      <alignment horizontal="right" indent="1"/>
      <protection hidden="1"/>
    </xf>
    <xf numFmtId="166" fontId="70" fillId="8" borderId="18" xfId="0" applyNumberFormat="1" applyFont="1" applyFill="1" applyBorder="1" applyProtection="1">
      <protection hidden="1"/>
    </xf>
    <xf numFmtId="166" fontId="70" fillId="7" borderId="13" xfId="0" applyNumberFormat="1" applyFont="1" applyFill="1" applyBorder="1" applyProtection="1">
      <protection hidden="1"/>
    </xf>
    <xf numFmtId="166" fontId="69" fillId="8" borderId="0" xfId="0" applyNumberFormat="1" applyFont="1" applyFill="1" applyAlignment="1" applyProtection="1">
      <alignment horizontal="left"/>
      <protection hidden="1"/>
    </xf>
    <xf numFmtId="166" fontId="58" fillId="8" borderId="0" xfId="0" applyNumberFormat="1" applyFont="1" applyFill="1" applyAlignment="1" applyProtection="1">
      <alignment horizontal="right"/>
      <protection hidden="1"/>
    </xf>
    <xf numFmtId="166" fontId="64" fillId="0" borderId="0" xfId="0" applyNumberFormat="1" applyFont="1" applyAlignment="1" applyProtection="1">
      <alignment horizontal="right"/>
      <protection hidden="1"/>
    </xf>
    <xf numFmtId="166" fontId="64" fillId="8" borderId="0" xfId="0" applyNumberFormat="1" applyFont="1" applyFill="1" applyAlignment="1" applyProtection="1">
      <alignment horizontal="right"/>
      <protection hidden="1"/>
    </xf>
    <xf numFmtId="0" fontId="68" fillId="0" borderId="0" xfId="0" applyFont="1" applyProtection="1">
      <protection hidden="1"/>
    </xf>
    <xf numFmtId="0" fontId="71" fillId="0" borderId="0" xfId="0" applyFont="1" applyAlignment="1" applyProtection="1">
      <alignment horizontal="left"/>
      <protection hidden="1"/>
    </xf>
    <xf numFmtId="0" fontId="69" fillId="0" borderId="0" xfId="0" applyFont="1" applyAlignment="1" applyProtection="1">
      <alignment horizontal="right"/>
      <protection hidden="1"/>
    </xf>
    <xf numFmtId="0" fontId="69" fillId="8" borderId="0" xfId="0" applyFont="1" applyFill="1" applyAlignment="1" applyProtection="1">
      <alignment horizontal="right"/>
      <protection hidden="1"/>
    </xf>
    <xf numFmtId="164" fontId="65" fillId="7" borderId="15" xfId="0" applyNumberFormat="1" applyFont="1" applyFill="1" applyBorder="1" applyAlignment="1" applyProtection="1">
      <alignment horizontal="right" indent="1"/>
      <protection hidden="1"/>
    </xf>
    <xf numFmtId="0" fontId="64" fillId="8" borderId="0" xfId="0" applyFont="1" applyFill="1" applyAlignment="1" applyProtection="1">
      <alignment horizontal="right"/>
      <protection hidden="1"/>
    </xf>
    <xf numFmtId="164" fontId="65" fillId="8" borderId="10" xfId="0" applyNumberFormat="1" applyFont="1" applyFill="1" applyBorder="1" applyAlignment="1" applyProtection="1">
      <alignment horizontal="right"/>
      <protection hidden="1"/>
    </xf>
    <xf numFmtId="164" fontId="0" fillId="0" borderId="0" xfId="0" applyNumberFormat="1" applyProtection="1">
      <protection hidden="1"/>
    </xf>
    <xf numFmtId="0" fontId="70" fillId="0" borderId="0" xfId="0" applyFont="1" applyAlignment="1" applyProtection="1">
      <alignment horizontal="left"/>
      <protection hidden="1"/>
    </xf>
    <xf numFmtId="0" fontId="79" fillId="0" borderId="0" xfId="0" applyFont="1" applyProtection="1">
      <protection hidden="1"/>
    </xf>
    <xf numFmtId="0" fontId="100" fillId="0" borderId="0" xfId="0" applyFont="1" applyAlignment="1" applyProtection="1">
      <alignment horizontal="left"/>
      <protection hidden="1"/>
    </xf>
    <xf numFmtId="0" fontId="64" fillId="0" borderId="0" xfId="0" applyFont="1" applyAlignment="1" applyProtection="1">
      <alignment horizontal="left"/>
      <protection hidden="1"/>
    </xf>
    <xf numFmtId="164" fontId="101" fillId="0" borderId="0" xfId="0" applyNumberFormat="1" applyFont="1" applyAlignment="1" applyProtection="1">
      <alignment horizontal="right" indent="1"/>
      <protection hidden="1"/>
    </xf>
    <xf numFmtId="0" fontId="64" fillId="0" borderId="7" xfId="0" applyFont="1" applyBorder="1" applyProtection="1">
      <protection hidden="1"/>
    </xf>
    <xf numFmtId="0" fontId="64" fillId="0" borderId="7" xfId="0" applyFont="1" applyBorder="1" applyAlignment="1" applyProtection="1">
      <alignment horizontal="right"/>
      <protection hidden="1"/>
    </xf>
    <xf numFmtId="0" fontId="72" fillId="0" borderId="0" xfId="1" applyFill="1" applyBorder="1" applyAlignment="1" applyProtection="1">
      <alignment horizontal="center" wrapText="1"/>
      <protection hidden="1"/>
    </xf>
    <xf numFmtId="0" fontId="72" fillId="0" borderId="0" xfId="1" applyFill="1" applyBorder="1" applyAlignment="1" applyProtection="1">
      <protection hidden="1"/>
    </xf>
    <xf numFmtId="0" fontId="72" fillId="0" borderId="0" xfId="1" applyBorder="1" applyAlignment="1" applyProtection="1">
      <protection hidden="1"/>
    </xf>
    <xf numFmtId="0" fontId="81" fillId="0" borderId="0" xfId="0" applyFont="1" applyProtection="1">
      <protection hidden="1"/>
    </xf>
    <xf numFmtId="0" fontId="106" fillId="0" borderId="0" xfId="0" applyFont="1" applyProtection="1">
      <protection hidden="1"/>
    </xf>
    <xf numFmtId="0" fontId="0" fillId="6" borderId="4" xfId="0" applyFill="1" applyBorder="1" applyProtection="1">
      <protection hidden="1"/>
    </xf>
    <xf numFmtId="0" fontId="0" fillId="6" borderId="0" xfId="0" applyFill="1" applyProtection="1">
      <protection hidden="1"/>
    </xf>
    <xf numFmtId="0" fontId="50" fillId="6" borderId="0" xfId="0" applyFont="1" applyFill="1" applyProtection="1">
      <protection hidden="1"/>
    </xf>
    <xf numFmtId="0" fontId="48" fillId="6" borderId="0" xfId="0" applyFont="1" applyFill="1" applyProtection="1">
      <protection hidden="1"/>
    </xf>
    <xf numFmtId="0" fontId="0" fillId="6" borderId="5" xfId="0" applyFill="1" applyBorder="1" applyProtection="1">
      <protection hidden="1"/>
    </xf>
    <xf numFmtId="0" fontId="50" fillId="6" borderId="4" xfId="0" applyFont="1" applyFill="1" applyBorder="1" applyProtection="1">
      <protection hidden="1"/>
    </xf>
    <xf numFmtId="0" fontId="0" fillId="6" borderId="2" xfId="0" applyFill="1" applyBorder="1" applyProtection="1">
      <protection hidden="1"/>
    </xf>
    <xf numFmtId="0" fontId="61" fillId="6" borderId="0" xfId="0" applyFont="1" applyFill="1" applyProtection="1">
      <protection hidden="1"/>
    </xf>
    <xf numFmtId="0" fontId="0" fillId="6" borderId="7" xfId="0" applyFill="1" applyBorder="1" applyProtection="1">
      <protection hidden="1"/>
    </xf>
    <xf numFmtId="0" fontId="61" fillId="6" borderId="7" xfId="0" applyFont="1" applyFill="1" applyBorder="1" applyProtection="1">
      <protection hidden="1"/>
    </xf>
    <xf numFmtId="0" fontId="0" fillId="2" borderId="5" xfId="0" applyFill="1" applyBorder="1"/>
    <xf numFmtId="0" fontId="61" fillId="2" borderId="4" xfId="0" applyFont="1" applyFill="1" applyBorder="1"/>
    <xf numFmtId="0" fontId="64" fillId="2" borderId="4" xfId="0" applyFont="1" applyFill="1" applyBorder="1"/>
    <xf numFmtId="0" fontId="64" fillId="0" borderId="4" xfId="0" applyFont="1" applyBorder="1"/>
    <xf numFmtId="176" fontId="57" fillId="0" borderId="19" xfId="0" applyNumberFormat="1" applyFont="1" applyBorder="1"/>
    <xf numFmtId="0" fontId="57" fillId="0" borderId="19" xfId="0" applyFont="1" applyBorder="1"/>
    <xf numFmtId="0" fontId="55" fillId="0" borderId="4" xfId="0" applyFont="1" applyBorder="1"/>
    <xf numFmtId="0" fontId="0" fillId="0" borderId="19" xfId="0" applyBorder="1"/>
    <xf numFmtId="0" fontId="56" fillId="0" borderId="4" xfId="0" applyFont="1" applyBorder="1"/>
    <xf numFmtId="0" fontId="85" fillId="0" borderId="6" xfId="0" applyFont="1" applyBorder="1"/>
    <xf numFmtId="0" fontId="117" fillId="26" borderId="0" xfId="0" applyFont="1" applyFill="1"/>
    <xf numFmtId="2" fontId="58" fillId="27" borderId="8" xfId="0" applyNumberFormat="1" applyFont="1" applyFill="1" applyBorder="1" applyAlignment="1" applyProtection="1">
      <alignment horizontal="center"/>
      <protection locked="0"/>
    </xf>
    <xf numFmtId="2" fontId="58" fillId="27" borderId="13" xfId="0" applyNumberFormat="1" applyFont="1" applyFill="1" applyBorder="1" applyAlignment="1" applyProtection="1">
      <alignment horizontal="center"/>
      <protection locked="0"/>
    </xf>
    <xf numFmtId="2" fontId="58" fillId="27" borderId="7" xfId="0" applyNumberFormat="1" applyFont="1" applyFill="1" applyBorder="1" applyAlignment="1" applyProtection="1">
      <alignment horizontal="center"/>
      <protection locked="0"/>
    </xf>
    <xf numFmtId="14" fontId="58" fillId="3" borderId="15" xfId="0" applyNumberFormat="1" applyFont="1" applyFill="1" applyBorder="1" applyAlignment="1" applyProtection="1">
      <alignment horizontal="center"/>
      <protection locked="0"/>
    </xf>
    <xf numFmtId="10" fontId="85" fillId="6" borderId="0" xfId="0" applyNumberFormat="1" applyFont="1" applyFill="1" applyAlignment="1">
      <alignment horizontal="center"/>
    </xf>
    <xf numFmtId="172" fontId="0" fillId="6" borderId="4" xfId="0" applyNumberFormat="1" applyFill="1" applyBorder="1" applyAlignment="1">
      <alignment horizontal="center"/>
    </xf>
    <xf numFmtId="0" fontId="61" fillId="6" borderId="4" xfId="0" applyFont="1" applyFill="1" applyBorder="1" applyAlignment="1">
      <alignment wrapText="1"/>
    </xf>
    <xf numFmtId="10" fontId="80" fillId="6" borderId="4" xfId="0" applyNumberFormat="1" applyFont="1" applyFill="1" applyBorder="1" applyAlignment="1">
      <alignment horizontal="left" wrapText="1"/>
    </xf>
    <xf numFmtId="10" fontId="85" fillId="6" borderId="4" xfId="0" applyNumberFormat="1" applyFont="1" applyFill="1" applyBorder="1" applyAlignment="1">
      <alignment horizontal="center"/>
    </xf>
    <xf numFmtId="14" fontId="107" fillId="8" borderId="0" xfId="0" applyNumberFormat="1" applyFont="1" applyFill="1"/>
    <xf numFmtId="14" fontId="60" fillId="8" borderId="0" xfId="0" applyNumberFormat="1" applyFont="1" applyFill="1"/>
    <xf numFmtId="14" fontId="98" fillId="8" borderId="0" xfId="0" applyNumberFormat="1" applyFont="1" applyFill="1"/>
    <xf numFmtId="14" fontId="76" fillId="8" borderId="0" xfId="0" applyNumberFormat="1" applyFont="1" applyFill="1"/>
    <xf numFmtId="14" fontId="0" fillId="8" borderId="0" xfId="0" applyNumberFormat="1" applyFill="1"/>
    <xf numFmtId="0" fontId="0" fillId="8" borderId="0" xfId="0" applyFill="1"/>
    <xf numFmtId="0" fontId="107" fillId="8" borderId="0" xfId="0" applyFont="1" applyFill="1"/>
    <xf numFmtId="0" fontId="60" fillId="8" borderId="0" xfId="0" applyFont="1" applyFill="1"/>
    <xf numFmtId="0" fontId="56" fillId="8" borderId="0" xfId="0" applyFont="1" applyFill="1"/>
    <xf numFmtId="0" fontId="85" fillId="8" borderId="0" xfId="0" applyFont="1" applyFill="1"/>
    <xf numFmtId="0" fontId="109" fillId="8" borderId="0" xfId="0" applyFont="1" applyFill="1"/>
    <xf numFmtId="0" fontId="45" fillId="8" borderId="0" xfId="0" applyFont="1" applyFill="1"/>
    <xf numFmtId="0" fontId="129" fillId="8" borderId="0" xfId="0" applyFont="1" applyFill="1"/>
    <xf numFmtId="0" fontId="130" fillId="8" borderId="0" xfId="0" applyFont="1" applyFill="1"/>
    <xf numFmtId="0" fontId="131" fillId="8" borderId="0" xfId="0" applyFont="1" applyFill="1"/>
    <xf numFmtId="6" fontId="0" fillId="8" borderId="0" xfId="0" applyNumberFormat="1" applyFill="1"/>
    <xf numFmtId="0" fontId="93" fillId="8" borderId="0" xfId="0" applyFont="1" applyFill="1"/>
    <xf numFmtId="6" fontId="0" fillId="8" borderId="0" xfId="0" applyNumberFormat="1" applyFill="1" applyAlignment="1">
      <alignment horizontal="left"/>
    </xf>
    <xf numFmtId="0" fontId="60" fillId="8" borderId="7" xfId="0" applyFont="1" applyFill="1" applyBorder="1"/>
    <xf numFmtId="0" fontId="61" fillId="8" borderId="0" xfId="0" applyFont="1" applyFill="1"/>
    <xf numFmtId="10" fontId="128" fillId="15" borderId="12" xfId="0" applyNumberFormat="1" applyFont="1" applyFill="1" applyBorder="1" applyAlignment="1" applyProtection="1">
      <alignment horizontal="center"/>
      <protection locked="0"/>
    </xf>
    <xf numFmtId="174" fontId="0" fillId="6" borderId="12" xfId="0" applyNumberFormat="1" applyFill="1" applyBorder="1" applyAlignment="1">
      <alignment horizontal="right"/>
    </xf>
    <xf numFmtId="175" fontId="0" fillId="6" borderId="12" xfId="0" applyNumberFormat="1" applyFill="1" applyBorder="1" applyAlignment="1">
      <alignment horizontal="right"/>
    </xf>
    <xf numFmtId="0" fontId="61" fillId="2" borderId="14" xfId="0" applyFont="1" applyFill="1" applyBorder="1" applyAlignment="1">
      <alignment vertical="center"/>
    </xf>
    <xf numFmtId="0" fontId="61" fillId="2" borderId="14" xfId="0" applyFont="1" applyFill="1" applyBorder="1" applyAlignment="1">
      <alignment horizontal="left" vertical="center"/>
    </xf>
    <xf numFmtId="0" fontId="117" fillId="2" borderId="4" xfId="0" applyFont="1" applyFill="1" applyBorder="1" applyAlignment="1" applyProtection="1">
      <alignment vertical="center" wrapText="1"/>
      <protection hidden="1"/>
    </xf>
    <xf numFmtId="0" fontId="44" fillId="7" borderId="18" xfId="0" applyFont="1" applyFill="1" applyBorder="1" applyAlignment="1" applyProtection="1">
      <alignment horizontal="left"/>
      <protection hidden="1"/>
    </xf>
    <xf numFmtId="0" fontId="60" fillId="6" borderId="0" xfId="0" applyFont="1" applyFill="1" applyProtection="1">
      <protection hidden="1"/>
    </xf>
    <xf numFmtId="0" fontId="59" fillId="6" borderId="0" xfId="0" applyFont="1" applyFill="1"/>
    <xf numFmtId="0" fontId="59" fillId="6" borderId="4" xfId="0" applyFont="1" applyFill="1" applyBorder="1"/>
    <xf numFmtId="0" fontId="59" fillId="6" borderId="5" xfId="0" applyFont="1" applyFill="1" applyBorder="1"/>
    <xf numFmtId="0" fontId="59" fillId="6" borderId="0" xfId="0" applyFont="1" applyFill="1" applyAlignment="1">
      <alignment horizontal="left"/>
    </xf>
    <xf numFmtId="0" fontId="72" fillId="0" borderId="0" xfId="1" applyAlignment="1" applyProtection="1"/>
    <xf numFmtId="0" fontId="65" fillId="6" borderId="4" xfId="0" applyFont="1" applyFill="1" applyBorder="1"/>
    <xf numFmtId="0" fontId="91" fillId="6" borderId="0" xfId="0" applyFont="1" applyFill="1"/>
    <xf numFmtId="0" fontId="59" fillId="6" borderId="7" xfId="0" applyFont="1" applyFill="1" applyBorder="1"/>
    <xf numFmtId="0" fontId="59" fillId="6" borderId="8" xfId="0" applyFont="1" applyFill="1" applyBorder="1"/>
    <xf numFmtId="0" fontId="70" fillId="6" borderId="0" xfId="0" applyFont="1" applyFill="1"/>
    <xf numFmtId="0" fontId="70" fillId="6" borderId="5" xfId="0" applyFont="1" applyFill="1" applyBorder="1"/>
    <xf numFmtId="0" fontId="92" fillId="6" borderId="5" xfId="0" applyFont="1" applyFill="1" applyBorder="1"/>
    <xf numFmtId="0" fontId="59" fillId="6" borderId="6" xfId="0" applyFont="1" applyFill="1" applyBorder="1"/>
    <xf numFmtId="0" fontId="60" fillId="6" borderId="0" xfId="0" applyFont="1" applyFill="1"/>
    <xf numFmtId="0" fontId="73" fillId="6" borderId="0" xfId="0" applyFont="1" applyFill="1"/>
    <xf numFmtId="0" fontId="75" fillId="0" borderId="0" xfId="0" applyFont="1"/>
    <xf numFmtId="10" fontId="128" fillId="15" borderId="14" xfId="0" applyNumberFormat="1" applyFont="1" applyFill="1" applyBorder="1" applyAlignment="1" applyProtection="1">
      <alignment horizontal="center"/>
      <protection locked="0"/>
    </xf>
    <xf numFmtId="168" fontId="0" fillId="0" borderId="4" xfId="0" applyNumberFormat="1" applyBorder="1"/>
    <xf numFmtId="0" fontId="67" fillId="19" borderId="0" xfId="0" applyFont="1" applyFill="1" applyProtection="1">
      <protection hidden="1"/>
    </xf>
    <xf numFmtId="0" fontId="67" fillId="30" borderId="0" xfId="0" applyFont="1" applyFill="1" applyProtection="1">
      <protection hidden="1"/>
    </xf>
    <xf numFmtId="0" fontId="67" fillId="29" borderId="0" xfId="0" applyFont="1" applyFill="1" applyProtection="1">
      <protection hidden="1"/>
    </xf>
    <xf numFmtId="0" fontId="69" fillId="29" borderId="0" xfId="0" applyFont="1" applyFill="1" applyProtection="1">
      <protection hidden="1"/>
    </xf>
    <xf numFmtId="0" fontId="70" fillId="31" borderId="0" xfId="18" applyFill="1" applyAlignment="1">
      <alignment vertical="center" wrapText="1"/>
    </xf>
    <xf numFmtId="0" fontId="65" fillId="0" borderId="14" xfId="18" applyFont="1" applyBorder="1" applyAlignment="1">
      <alignment horizontal="center" vertical="center" wrapText="1"/>
    </xf>
    <xf numFmtId="0" fontId="43" fillId="0" borderId="0" xfId="0" applyFont="1"/>
    <xf numFmtId="14" fontId="70" fillId="0" borderId="20" xfId="18" applyNumberFormat="1" applyBorder="1" applyAlignment="1">
      <alignment horizontal="center" vertical="top" wrapText="1"/>
    </xf>
    <xf numFmtId="0" fontId="70" fillId="0" borderId="20" xfId="18" applyBorder="1" applyAlignment="1">
      <alignment horizontal="left" vertical="top" wrapText="1"/>
    </xf>
    <xf numFmtId="0" fontId="42" fillId="2" borderId="13" xfId="0" applyFont="1" applyFill="1" applyBorder="1" applyAlignment="1" applyProtection="1">
      <alignment horizontal="center"/>
      <protection hidden="1"/>
    </xf>
    <xf numFmtId="186" fontId="0" fillId="6" borderId="14" xfId="0" applyNumberFormat="1" applyFill="1" applyBorder="1" applyAlignment="1">
      <alignment vertical="top" wrapText="1"/>
    </xf>
    <xf numFmtId="0" fontId="58" fillId="2" borderId="14" xfId="0" applyFont="1" applyFill="1" applyBorder="1" applyAlignment="1" applyProtection="1">
      <alignment horizontal="center"/>
      <protection hidden="1"/>
    </xf>
    <xf numFmtId="186" fontId="0" fillId="16" borderId="14" xfId="0" applyNumberFormat="1" applyFill="1" applyBorder="1" applyAlignment="1">
      <alignment vertical="top" wrapText="1"/>
    </xf>
    <xf numFmtId="0" fontId="41" fillId="0" borderId="0" xfId="0" applyFont="1"/>
    <xf numFmtId="14" fontId="64" fillId="3" borderId="14" xfId="0" applyNumberFormat="1" applyFont="1" applyFill="1" applyBorder="1" applyAlignment="1" applyProtection="1">
      <alignment horizontal="center"/>
      <protection locked="0"/>
    </xf>
    <xf numFmtId="187" fontId="0" fillId="15" borderId="14" xfId="0" applyNumberFormat="1" applyFill="1" applyBorder="1" applyProtection="1">
      <protection locked="0"/>
    </xf>
    <xf numFmtId="0" fontId="65" fillId="6" borderId="0" xfId="0" applyFont="1" applyFill="1"/>
    <xf numFmtId="0" fontId="133" fillId="29" borderId="0" xfId="0" applyFont="1" applyFill="1" applyProtection="1">
      <protection hidden="1"/>
    </xf>
    <xf numFmtId="0" fontId="39" fillId="0" borderId="0" xfId="0" applyFont="1"/>
    <xf numFmtId="181" fontId="69" fillId="14" borderId="21" xfId="2" applyNumberFormat="1" applyFont="1" applyFill="1" applyBorder="1" applyProtection="1"/>
    <xf numFmtId="0" fontId="63" fillId="2" borderId="3" xfId="0" applyFont="1" applyFill="1" applyBorder="1" applyProtection="1">
      <protection hidden="1"/>
    </xf>
    <xf numFmtId="0" fontId="63" fillId="2" borderId="4" xfId="0" applyFont="1" applyFill="1" applyBorder="1" applyProtection="1">
      <protection hidden="1"/>
    </xf>
    <xf numFmtId="0" fontId="65" fillId="2" borderId="1" xfId="0" applyFont="1" applyFill="1" applyBorder="1" applyAlignment="1" applyProtection="1">
      <alignment horizontal="left"/>
      <protection hidden="1"/>
    </xf>
    <xf numFmtId="0" fontId="70" fillId="2" borderId="2" xfId="0" applyFont="1" applyFill="1" applyBorder="1" applyProtection="1">
      <protection hidden="1"/>
    </xf>
    <xf numFmtId="0" fontId="63" fillId="2" borderId="5" xfId="0" applyFont="1" applyFill="1" applyBorder="1" applyProtection="1">
      <protection hidden="1"/>
    </xf>
    <xf numFmtId="0" fontId="65" fillId="2" borderId="6" xfId="0" applyFont="1" applyFill="1" applyBorder="1" applyAlignment="1" applyProtection="1">
      <alignment horizontal="left"/>
      <protection hidden="1"/>
    </xf>
    <xf numFmtId="0" fontId="70" fillId="2" borderId="7" xfId="0" applyFont="1" applyFill="1" applyBorder="1" applyProtection="1">
      <protection hidden="1"/>
    </xf>
    <xf numFmtId="14" fontId="70" fillId="2" borderId="8" xfId="0" applyNumberFormat="1" applyFont="1" applyFill="1" applyBorder="1" applyAlignment="1" applyProtection="1">
      <alignment horizontal="left"/>
      <protection hidden="1"/>
    </xf>
    <xf numFmtId="0" fontId="51" fillId="14" borderId="1" xfId="0" applyFont="1" applyFill="1" applyBorder="1" applyAlignment="1" applyProtection="1">
      <alignment horizontal="center" vertical="center" wrapText="1"/>
      <protection hidden="1"/>
    </xf>
    <xf numFmtId="0" fontId="85" fillId="14" borderId="20" xfId="0" applyFont="1" applyFill="1" applyBorder="1" applyAlignment="1" applyProtection="1">
      <alignment horizontal="center" vertical="center" wrapText="1"/>
      <protection hidden="1"/>
    </xf>
    <xf numFmtId="0" fontId="85" fillId="6" borderId="20" xfId="0" applyFont="1" applyFill="1" applyBorder="1" applyAlignment="1" applyProtection="1">
      <alignment horizontal="center" vertical="center" wrapText="1"/>
      <protection hidden="1"/>
    </xf>
    <xf numFmtId="0" fontId="85" fillId="6" borderId="14" xfId="0" applyFont="1" applyFill="1" applyBorder="1" applyAlignment="1" applyProtection="1">
      <alignment horizontal="center" vertical="center" wrapText="1"/>
      <protection hidden="1"/>
    </xf>
    <xf numFmtId="0" fontId="0" fillId="14" borderId="6" xfId="0" applyFill="1" applyBorder="1" applyProtection="1">
      <protection hidden="1"/>
    </xf>
    <xf numFmtId="0" fontId="0" fillId="14" borderId="21" xfId="0" applyFill="1" applyBorder="1" applyProtection="1">
      <protection hidden="1"/>
    </xf>
    <xf numFmtId="0" fontId="0" fillId="6" borderId="21" xfId="0" applyFill="1" applyBorder="1" applyProtection="1">
      <protection hidden="1"/>
    </xf>
    <xf numFmtId="9" fontId="0" fillId="16" borderId="14" xfId="0" applyNumberFormat="1" applyFill="1" applyBorder="1" applyProtection="1">
      <protection hidden="1"/>
    </xf>
    <xf numFmtId="10" fontId="0" fillId="6" borderId="2" xfId="0" applyNumberFormat="1" applyFill="1" applyBorder="1" applyProtection="1">
      <protection hidden="1"/>
    </xf>
    <xf numFmtId="178" fontId="0" fillId="6" borderId="0" xfId="3" applyNumberFormat="1" applyFont="1" applyFill="1" applyBorder="1" applyProtection="1">
      <protection hidden="1"/>
    </xf>
    <xf numFmtId="9" fontId="0" fillId="6" borderId="5" xfId="0" applyNumberFormat="1" applyFill="1" applyBorder="1" applyProtection="1">
      <protection hidden="1"/>
    </xf>
    <xf numFmtId="0" fontId="61" fillId="20" borderId="18" xfId="0" applyFont="1" applyFill="1" applyBorder="1" applyProtection="1">
      <protection hidden="1"/>
    </xf>
    <xf numFmtId="0" fontId="61" fillId="14" borderId="12" xfId="0" applyFont="1" applyFill="1" applyBorder="1" applyProtection="1">
      <protection hidden="1"/>
    </xf>
    <xf numFmtId="0" fontId="0" fillId="14" borderId="2" xfId="0" applyFill="1" applyBorder="1" applyProtection="1">
      <protection hidden="1"/>
    </xf>
    <xf numFmtId="10" fontId="0" fillId="7" borderId="14" xfId="0" applyNumberFormat="1" applyFill="1" applyBorder="1" applyProtection="1">
      <protection hidden="1"/>
    </xf>
    <xf numFmtId="0" fontId="0" fillId="6" borderId="3" xfId="0" applyFill="1" applyBorder="1" applyProtection="1">
      <protection hidden="1"/>
    </xf>
    <xf numFmtId="0" fontId="50" fillId="6" borderId="7" xfId="0" applyFont="1" applyFill="1" applyBorder="1" applyProtection="1">
      <protection hidden="1"/>
    </xf>
    <xf numFmtId="44" fontId="50" fillId="14" borderId="50" xfId="2" applyFont="1" applyFill="1" applyBorder="1" applyProtection="1">
      <protection hidden="1"/>
    </xf>
    <xf numFmtId="44" fontId="116" fillId="16" borderId="60" xfId="2" applyFont="1" applyFill="1" applyBorder="1" applyProtection="1">
      <protection hidden="1"/>
    </xf>
    <xf numFmtId="0" fontId="64" fillId="14" borderId="12" xfId="0" applyFont="1" applyFill="1" applyBorder="1" applyProtection="1">
      <protection hidden="1"/>
    </xf>
    <xf numFmtId="10" fontId="40" fillId="7" borderId="14" xfId="0" applyNumberFormat="1" applyFont="1" applyFill="1" applyBorder="1" applyProtection="1">
      <protection hidden="1"/>
    </xf>
    <xf numFmtId="0" fontId="50" fillId="6" borderId="2" xfId="0" applyFont="1" applyFill="1" applyBorder="1" applyProtection="1">
      <protection hidden="1"/>
    </xf>
    <xf numFmtId="0" fontId="61" fillId="6" borderId="3" xfId="0" applyFont="1" applyFill="1" applyBorder="1" applyProtection="1">
      <protection hidden="1"/>
    </xf>
    <xf numFmtId="0" fontId="0" fillId="17" borderId="62" xfId="0" applyFill="1" applyBorder="1" applyProtection="1">
      <protection hidden="1"/>
    </xf>
    <xf numFmtId="0" fontId="61" fillId="6" borderId="5" xfId="0" applyFont="1" applyFill="1" applyBorder="1" applyProtection="1">
      <protection hidden="1"/>
    </xf>
    <xf numFmtId="0" fontId="0" fillId="19" borderId="64" xfId="0" applyFill="1" applyBorder="1" applyProtection="1">
      <protection hidden="1"/>
    </xf>
    <xf numFmtId="0" fontId="0" fillId="6" borderId="6" xfId="0" applyFill="1" applyBorder="1" applyAlignment="1" applyProtection="1">
      <alignment wrapText="1"/>
      <protection hidden="1"/>
    </xf>
    <xf numFmtId="165" fontId="50" fillId="16" borderId="6" xfId="0" applyNumberFormat="1" applyFont="1" applyFill="1" applyBorder="1" applyProtection="1">
      <protection hidden="1"/>
    </xf>
    <xf numFmtId="0" fontId="0" fillId="6" borderId="58" xfId="0" applyFill="1" applyBorder="1" applyProtection="1">
      <protection hidden="1"/>
    </xf>
    <xf numFmtId="165" fontId="64" fillId="14" borderId="46" xfId="0" applyNumberFormat="1" applyFont="1" applyFill="1" applyBorder="1" applyProtection="1">
      <protection hidden="1"/>
    </xf>
    <xf numFmtId="0" fontId="115" fillId="6" borderId="61" xfId="0" applyFont="1" applyFill="1" applyBorder="1" applyProtection="1">
      <protection hidden="1"/>
    </xf>
    <xf numFmtId="165" fontId="115" fillId="6" borderId="61" xfId="0" applyNumberFormat="1" applyFont="1" applyFill="1" applyBorder="1" applyProtection="1">
      <protection hidden="1"/>
    </xf>
    <xf numFmtId="0" fontId="61" fillId="20" borderId="20" xfId="0" applyFont="1" applyFill="1" applyBorder="1" applyProtection="1">
      <protection hidden="1"/>
    </xf>
    <xf numFmtId="0" fontId="50" fillId="6" borderId="6" xfId="0" applyFont="1" applyFill="1" applyBorder="1" applyProtection="1">
      <protection hidden="1"/>
    </xf>
    <xf numFmtId="0" fontId="50" fillId="0" borderId="46" xfId="0" applyFont="1" applyBorder="1" applyProtection="1">
      <protection hidden="1"/>
    </xf>
    <xf numFmtId="44" fontId="50" fillId="14" borderId="58" xfId="2" applyFont="1" applyFill="1" applyBorder="1" applyProtection="1">
      <protection hidden="1"/>
    </xf>
    <xf numFmtId="44" fontId="50" fillId="14" borderId="59" xfId="2" applyFont="1" applyFill="1" applyBorder="1" applyProtection="1">
      <protection hidden="1"/>
    </xf>
    <xf numFmtId="0" fontId="47" fillId="14" borderId="36" xfId="0" applyFont="1" applyFill="1" applyBorder="1" applyAlignment="1" applyProtection="1">
      <alignment vertical="center"/>
      <protection hidden="1"/>
    </xf>
    <xf numFmtId="0" fontId="47" fillId="14" borderId="52" xfId="0" applyFont="1" applyFill="1" applyBorder="1" applyAlignment="1" applyProtection="1">
      <alignment vertical="center"/>
      <protection hidden="1"/>
    </xf>
    <xf numFmtId="0" fontId="48" fillId="6" borderId="34" xfId="0" applyFont="1" applyFill="1" applyBorder="1" applyAlignment="1" applyProtection="1">
      <alignment wrapText="1"/>
      <protection hidden="1"/>
    </xf>
    <xf numFmtId="0" fontId="47" fillId="0" borderId="34" xfId="0" applyFont="1" applyBorder="1" applyAlignment="1" applyProtection="1">
      <alignment horizontal="center" wrapText="1"/>
      <protection hidden="1"/>
    </xf>
    <xf numFmtId="0" fontId="47" fillId="0" borderId="35" xfId="0" applyFont="1" applyBorder="1" applyAlignment="1" applyProtection="1">
      <alignment horizontal="center" wrapText="1"/>
      <protection hidden="1"/>
    </xf>
    <xf numFmtId="0" fontId="0" fillId="6" borderId="75" xfId="0" applyFill="1" applyBorder="1" applyProtection="1">
      <protection hidden="1"/>
    </xf>
    <xf numFmtId="4" fontId="47" fillId="24" borderId="73" xfId="0" applyNumberFormat="1" applyFont="1" applyFill="1" applyBorder="1" applyAlignment="1" applyProtection="1">
      <alignment horizontal="left"/>
      <protection hidden="1"/>
    </xf>
    <xf numFmtId="2" fontId="48" fillId="6" borderId="20" xfId="0" applyNumberFormat="1" applyFont="1" applyFill="1" applyBorder="1" applyProtection="1">
      <protection hidden="1"/>
    </xf>
    <xf numFmtId="4" fontId="64" fillId="18" borderId="15" xfId="0" applyNumberFormat="1" applyFont="1" applyFill="1" applyBorder="1" applyAlignment="1" applyProtection="1">
      <alignment horizontal="left" wrapText="1"/>
      <protection hidden="1"/>
    </xf>
    <xf numFmtId="44" fontId="64" fillId="18" borderId="22" xfId="2" applyFont="1" applyFill="1" applyBorder="1" applyAlignment="1" applyProtection="1">
      <alignment horizontal="center" vertical="center"/>
      <protection hidden="1"/>
    </xf>
    <xf numFmtId="44" fontId="64" fillId="18" borderId="74" xfId="2" applyFont="1" applyFill="1" applyBorder="1" applyAlignment="1" applyProtection="1">
      <alignment horizontal="center" vertical="center"/>
      <protection hidden="1"/>
    </xf>
    <xf numFmtId="44" fontId="64" fillId="18" borderId="23" xfId="2" applyFont="1" applyFill="1" applyBorder="1" applyAlignment="1" applyProtection="1">
      <alignment horizontal="center" vertical="center"/>
      <protection hidden="1"/>
    </xf>
    <xf numFmtId="4" fontId="64" fillId="24" borderId="9" xfId="0" applyNumberFormat="1" applyFont="1" applyFill="1" applyBorder="1" applyAlignment="1" applyProtection="1">
      <alignment horizontal="left" wrapText="1"/>
      <protection hidden="1"/>
    </xf>
    <xf numFmtId="10" fontId="64" fillId="0" borderId="22" xfId="3" applyNumberFormat="1" applyFont="1" applyBorder="1" applyAlignment="1" applyProtection="1">
      <alignment horizontal="right"/>
      <protection hidden="1"/>
    </xf>
    <xf numFmtId="10" fontId="64" fillId="0" borderId="74" xfId="0" applyNumberFormat="1" applyFont="1" applyBorder="1" applyAlignment="1" applyProtection="1">
      <alignment horizontal="right"/>
      <protection hidden="1"/>
    </xf>
    <xf numFmtId="10" fontId="64" fillId="0" borderId="23" xfId="0" applyNumberFormat="1" applyFont="1" applyBorder="1" applyAlignment="1" applyProtection="1">
      <alignment horizontal="right"/>
      <protection hidden="1"/>
    </xf>
    <xf numFmtId="0" fontId="64" fillId="25" borderId="15" xfId="0" applyFont="1" applyFill="1" applyBorder="1" applyAlignment="1" applyProtection="1">
      <alignment horizontal="left" wrapText="1"/>
      <protection hidden="1"/>
    </xf>
    <xf numFmtId="0" fontId="123" fillId="0" borderId="5" xfId="0" applyFont="1" applyBorder="1" applyAlignment="1" applyProtection="1">
      <alignment horizontal="right"/>
      <protection hidden="1"/>
    </xf>
    <xf numFmtId="165" fontId="50" fillId="15" borderId="63" xfId="0" applyNumberFormat="1" applyFont="1" applyFill="1" applyBorder="1" applyProtection="1">
      <protection locked="0"/>
    </xf>
    <xf numFmtId="165" fontId="50" fillId="15" borderId="64" xfId="0" applyNumberFormat="1" applyFont="1" applyFill="1" applyBorder="1" applyProtection="1">
      <protection locked="0"/>
    </xf>
    <xf numFmtId="44" fontId="36" fillId="17" borderId="63" xfId="2" applyFont="1" applyFill="1" applyBorder="1" applyProtection="1">
      <protection hidden="1"/>
    </xf>
    <xf numFmtId="44" fontId="36" fillId="19" borderId="64" xfId="2" applyFont="1" applyFill="1" applyBorder="1" applyProtection="1">
      <protection hidden="1"/>
    </xf>
    <xf numFmtId="44" fontId="36" fillId="7" borderId="6" xfId="2" applyFont="1" applyFill="1" applyBorder="1" applyProtection="1">
      <protection hidden="1"/>
    </xf>
    <xf numFmtId="0" fontId="36" fillId="14" borderId="18" xfId="0" applyFont="1" applyFill="1" applyBorder="1" applyProtection="1">
      <protection hidden="1"/>
    </xf>
    <xf numFmtId="189" fontId="69" fillId="14" borderId="21" xfId="2" applyNumberFormat="1" applyFont="1" applyFill="1" applyBorder="1" applyProtection="1"/>
    <xf numFmtId="181" fontId="0" fillId="0" borderId="0" xfId="0" applyNumberFormat="1"/>
    <xf numFmtId="44" fontId="59" fillId="6" borderId="6" xfId="2" applyFont="1" applyFill="1" applyBorder="1" applyProtection="1"/>
    <xf numFmtId="44" fontId="59" fillId="16" borderId="12" xfId="2" applyFont="1" applyFill="1" applyBorder="1" applyProtection="1"/>
    <xf numFmtId="0" fontId="59" fillId="0" borderId="12" xfId="0" applyFont="1" applyBorder="1"/>
    <xf numFmtId="44" fontId="59" fillId="6" borderId="12" xfId="2" applyFont="1" applyFill="1" applyBorder="1" applyProtection="1"/>
    <xf numFmtId="0" fontId="72" fillId="6" borderId="0" xfId="1" applyFill="1" applyAlignment="1" applyProtection="1"/>
    <xf numFmtId="0" fontId="125" fillId="6" borderId="1" xfId="0" applyFont="1" applyFill="1" applyBorder="1"/>
    <xf numFmtId="0" fontId="85" fillId="6" borderId="0" xfId="0" applyFont="1" applyFill="1"/>
    <xf numFmtId="0" fontId="85" fillId="6" borderId="5" xfId="0" applyFont="1" applyFill="1" applyBorder="1"/>
    <xf numFmtId="0" fontId="85" fillId="6" borderId="7" xfId="0" applyFont="1" applyFill="1" applyBorder="1"/>
    <xf numFmtId="0" fontId="85" fillId="6" borderId="8" xfId="0" applyFont="1" applyFill="1" applyBorder="1"/>
    <xf numFmtId="0" fontId="72" fillId="6" borderId="0" xfId="1" applyFill="1" applyBorder="1" applyAlignment="1" applyProtection="1"/>
    <xf numFmtId="0" fontId="37" fillId="6" borderId="10" xfId="0" applyFont="1" applyFill="1" applyBorder="1" applyProtection="1">
      <protection hidden="1"/>
    </xf>
    <xf numFmtId="0" fontId="0" fillId="29" borderId="14" xfId="0" applyFill="1" applyBorder="1"/>
    <xf numFmtId="44" fontId="0" fillId="29" borderId="14" xfId="0" applyNumberFormat="1" applyFill="1" applyBorder="1"/>
    <xf numFmtId="164" fontId="0" fillId="29" borderId="14" xfId="0" applyNumberFormat="1" applyFill="1" applyBorder="1"/>
    <xf numFmtId="165" fontId="0" fillId="29" borderId="14" xfId="0" applyNumberFormat="1" applyFill="1" applyBorder="1"/>
    <xf numFmtId="182" fontId="0" fillId="29" borderId="14" xfId="0" applyNumberFormat="1" applyFill="1" applyBorder="1"/>
    <xf numFmtId="14" fontId="69" fillId="0" borderId="0" xfId="0" applyNumberFormat="1" applyFont="1" applyAlignment="1">
      <alignment horizontal="right"/>
    </xf>
    <xf numFmtId="0" fontId="69" fillId="0" borderId="0" xfId="0" applyFont="1" applyAlignment="1">
      <alignment horizontal="center"/>
    </xf>
    <xf numFmtId="10" fontId="53" fillId="0" borderId="4" xfId="0" applyNumberFormat="1" applyFont="1" applyBorder="1" applyAlignment="1">
      <alignment horizontal="center" vertical="center" wrapText="1"/>
    </xf>
    <xf numFmtId="0" fontId="0" fillId="0" borderId="41" xfId="0" applyBorder="1"/>
    <xf numFmtId="0" fontId="0" fillId="0" borderId="30" xfId="0" applyBorder="1"/>
    <xf numFmtId="0" fontId="135" fillId="7" borderId="69" xfId="0" applyFont="1" applyFill="1" applyBorder="1" applyAlignment="1">
      <alignment wrapText="1"/>
    </xf>
    <xf numFmtId="190" fontId="135" fillId="7" borderId="31" xfId="0" applyNumberFormat="1" applyFont="1" applyFill="1" applyBorder="1"/>
    <xf numFmtId="16" fontId="35" fillId="7" borderId="18" xfId="0" quotePrefix="1" applyNumberFormat="1" applyFont="1" applyFill="1" applyBorder="1" applyAlignment="1" applyProtection="1">
      <alignment horizontal="left"/>
      <protection hidden="1"/>
    </xf>
    <xf numFmtId="16" fontId="65" fillId="7" borderId="18" xfId="0" applyNumberFormat="1" applyFont="1" applyFill="1" applyBorder="1" applyProtection="1">
      <protection hidden="1"/>
    </xf>
    <xf numFmtId="16" fontId="65" fillId="7" borderId="18" xfId="0" quotePrefix="1" applyNumberFormat="1" applyFont="1" applyFill="1" applyBorder="1" applyProtection="1">
      <protection hidden="1"/>
    </xf>
    <xf numFmtId="174" fontId="0" fillId="0" borderId="12" xfId="0" applyNumberFormat="1" applyBorder="1" applyAlignment="1">
      <alignment horizontal="right"/>
    </xf>
    <xf numFmtId="176" fontId="0" fillId="0" borderId="14" xfId="0" applyNumberFormat="1" applyBorder="1" applyAlignment="1">
      <alignment horizontal="right"/>
    </xf>
    <xf numFmtId="0" fontId="0" fillId="0" borderId="2" xfId="0" applyBorder="1" applyAlignment="1">
      <alignment horizontal="right"/>
    </xf>
    <xf numFmtId="0" fontId="0" fillId="0" borderId="13" xfId="0" applyBorder="1" applyAlignment="1">
      <alignment horizontal="right"/>
    </xf>
    <xf numFmtId="0" fontId="35" fillId="15" borderId="14" xfId="0" applyFont="1" applyFill="1" applyBorder="1" applyAlignment="1" applyProtection="1">
      <alignment horizontal="center" vertical="center"/>
      <protection locked="0"/>
    </xf>
    <xf numFmtId="0" fontId="61" fillId="0" borderId="0" xfId="0" applyFont="1" applyAlignment="1">
      <alignment wrapText="1"/>
    </xf>
    <xf numFmtId="0" fontId="125" fillId="0" borderId="0" xfId="0" applyFont="1" applyAlignment="1">
      <alignment wrapText="1"/>
    </xf>
    <xf numFmtId="0" fontId="63" fillId="6" borderId="14" xfId="0" applyFont="1" applyFill="1" applyBorder="1"/>
    <xf numFmtId="192" fontId="0" fillId="6" borderId="32" xfId="0" applyNumberFormat="1" applyFill="1" applyBorder="1" applyAlignment="1">
      <alignment horizontal="center"/>
    </xf>
    <xf numFmtId="192" fontId="0" fillId="6" borderId="12" xfId="0" applyNumberFormat="1" applyFill="1" applyBorder="1" applyAlignment="1">
      <alignment horizontal="center"/>
    </xf>
    <xf numFmtId="0" fontId="61" fillId="2" borderId="31" xfId="0" applyFont="1" applyFill="1" applyBorder="1" applyAlignment="1">
      <alignment vertical="center"/>
    </xf>
    <xf numFmtId="0" fontId="80" fillId="0" borderId="13" xfId="0" applyFont="1" applyBorder="1" applyAlignment="1" applyProtection="1">
      <alignment horizontal="right" vertical="center"/>
      <protection hidden="1"/>
    </xf>
    <xf numFmtId="174" fontId="0" fillId="6" borderId="13" xfId="0" applyNumberFormat="1" applyFill="1" applyBorder="1" applyAlignment="1">
      <alignment horizontal="right"/>
    </xf>
    <xf numFmtId="0" fontId="35" fillId="0" borderId="12" xfId="0" applyFont="1" applyBorder="1" applyAlignment="1" applyProtection="1">
      <alignment vertical="center"/>
      <protection hidden="1"/>
    </xf>
    <xf numFmtId="0" fontId="80" fillId="0" borderId="0" xfId="0" applyFont="1" applyAlignment="1" applyProtection="1">
      <alignment horizontal="right" vertical="center"/>
      <protection hidden="1"/>
    </xf>
    <xf numFmtId="166" fontId="58" fillId="8" borderId="14" xfId="0" applyNumberFormat="1" applyFont="1" applyFill="1" applyBorder="1" applyProtection="1">
      <protection hidden="1"/>
    </xf>
    <xf numFmtId="14" fontId="34" fillId="0" borderId="18" xfId="0" quotePrefix="1" applyNumberFormat="1" applyFont="1" applyBorder="1" applyProtection="1">
      <protection hidden="1"/>
    </xf>
    <xf numFmtId="0" fontId="64" fillId="6" borderId="42" xfId="0" applyFont="1" applyFill="1" applyBorder="1" applyAlignment="1">
      <alignment horizontal="center"/>
    </xf>
    <xf numFmtId="0" fontId="114" fillId="0" borderId="0" xfId="0" applyFont="1" applyProtection="1">
      <protection hidden="1"/>
    </xf>
    <xf numFmtId="164" fontId="33" fillId="3" borderId="14" xfId="0" applyNumberFormat="1" applyFont="1" applyFill="1" applyBorder="1" applyAlignment="1" applyProtection="1">
      <alignment horizontal="center"/>
      <protection locked="0"/>
    </xf>
    <xf numFmtId="14" fontId="33" fillId="0" borderId="0" xfId="0" applyNumberFormat="1" applyFont="1" applyAlignment="1">
      <alignment horizontal="center" vertical="top"/>
    </xf>
    <xf numFmtId="14" fontId="33" fillId="0" borderId="0" xfId="0" applyNumberFormat="1" applyFont="1" applyAlignment="1">
      <alignment horizontal="right" vertical="top"/>
    </xf>
    <xf numFmtId="0" fontId="33" fillId="0" borderId="0" xfId="0" applyFont="1"/>
    <xf numFmtId="14" fontId="33" fillId="3" borderId="21" xfId="0" applyNumberFormat="1" applyFont="1" applyFill="1" applyBorder="1" applyAlignment="1" applyProtection="1">
      <alignment horizontal="center"/>
      <protection locked="0"/>
    </xf>
    <xf numFmtId="14" fontId="33" fillId="6" borderId="0" xfId="0" applyNumberFormat="1" applyFont="1" applyFill="1" applyAlignment="1" applyProtection="1">
      <alignment horizontal="center"/>
      <protection hidden="1"/>
    </xf>
    <xf numFmtId="14" fontId="108" fillId="0" borderId="0" xfId="0" applyNumberFormat="1" applyFont="1"/>
    <xf numFmtId="0" fontId="108" fillId="0" borderId="0" xfId="0" applyFont="1"/>
    <xf numFmtId="0" fontId="33" fillId="0" borderId="2" xfId="0" applyFont="1" applyBorder="1"/>
    <xf numFmtId="0" fontId="33" fillId="0" borderId="3" xfId="0" applyFont="1" applyBorder="1"/>
    <xf numFmtId="0" fontId="33" fillId="0" borderId="4" xfId="0" applyFont="1" applyBorder="1"/>
    <xf numFmtId="0" fontId="33" fillId="0" borderId="5" xfId="0" applyFont="1" applyBorder="1"/>
    <xf numFmtId="0" fontId="33" fillId="0" borderId="18" xfId="0" applyFont="1" applyBorder="1"/>
    <xf numFmtId="177" fontId="33" fillId="14" borderId="15" xfId="0" applyNumberFormat="1" applyFont="1" applyFill="1" applyBorder="1"/>
    <xf numFmtId="0" fontId="33" fillId="0" borderId="6" xfId="0" applyFont="1" applyBorder="1"/>
    <xf numFmtId="0" fontId="33" fillId="0" borderId="7" xfId="0" applyFont="1" applyBorder="1"/>
    <xf numFmtId="0" fontId="33" fillId="0" borderId="8" xfId="0" applyFont="1" applyBorder="1"/>
    <xf numFmtId="0" fontId="33" fillId="0" borderId="42" xfId="0" applyFont="1" applyBorder="1"/>
    <xf numFmtId="0" fontId="96" fillId="14" borderId="77" xfId="0" applyFont="1" applyFill="1" applyBorder="1" applyAlignment="1">
      <alignment wrapText="1"/>
    </xf>
    <xf numFmtId="0" fontId="33" fillId="14" borderId="21" xfId="0" applyFont="1" applyFill="1" applyBorder="1" applyAlignment="1">
      <alignment wrapText="1"/>
    </xf>
    <xf numFmtId="0" fontId="33" fillId="14" borderId="6" xfId="0" applyFont="1" applyFill="1" applyBorder="1" applyAlignment="1">
      <alignment wrapText="1"/>
    </xf>
    <xf numFmtId="0" fontId="33" fillId="20" borderId="6" xfId="0" applyFont="1" applyFill="1" applyBorder="1" applyAlignment="1">
      <alignment wrapText="1"/>
    </xf>
    <xf numFmtId="0" fontId="33" fillId="0" borderId="30" xfId="0" applyFont="1" applyBorder="1"/>
    <xf numFmtId="177" fontId="33" fillId="0" borderId="18" xfId="0" applyNumberFormat="1" applyFont="1" applyBorder="1"/>
    <xf numFmtId="0" fontId="33" fillId="0" borderId="72" xfId="0" applyFont="1" applyBorder="1"/>
    <xf numFmtId="0" fontId="33" fillId="7" borderId="32" xfId="0" applyFont="1" applyFill="1" applyBorder="1" applyAlignment="1">
      <alignment wrapText="1"/>
    </xf>
    <xf numFmtId="0" fontId="33" fillId="7" borderId="5" xfId="0" applyFont="1" applyFill="1" applyBorder="1" applyAlignment="1">
      <alignment wrapText="1"/>
    </xf>
    <xf numFmtId="0" fontId="33" fillId="7" borderId="31" xfId="0" applyFont="1" applyFill="1" applyBorder="1"/>
    <xf numFmtId="1" fontId="33" fillId="0" borderId="14" xfId="0" applyNumberFormat="1" applyFont="1" applyBorder="1"/>
    <xf numFmtId="190" fontId="33" fillId="14" borderId="14" xfId="0" applyNumberFormat="1" applyFont="1" applyFill="1" applyBorder="1"/>
    <xf numFmtId="190" fontId="33" fillId="14" borderId="21" xfId="0" applyNumberFormat="1" applyFont="1" applyFill="1" applyBorder="1"/>
    <xf numFmtId="190" fontId="33" fillId="20" borderId="39" xfId="0" applyNumberFormat="1" applyFont="1" applyFill="1" applyBorder="1"/>
    <xf numFmtId="9" fontId="33" fillId="7" borderId="29" xfId="3" applyFont="1" applyFill="1" applyBorder="1"/>
    <xf numFmtId="190" fontId="33" fillId="7" borderId="13" xfId="0" applyNumberFormat="1" applyFont="1" applyFill="1" applyBorder="1"/>
    <xf numFmtId="190" fontId="33" fillId="20" borderId="30" xfId="0" applyNumberFormat="1" applyFont="1" applyFill="1" applyBorder="1"/>
    <xf numFmtId="0" fontId="33" fillId="7" borderId="54" xfId="0" applyFont="1" applyFill="1" applyBorder="1"/>
    <xf numFmtId="1" fontId="33" fillId="0" borderId="20" xfId="0" applyNumberFormat="1" applyFont="1" applyBorder="1"/>
    <xf numFmtId="190" fontId="33" fillId="14" borderId="20" xfId="0" applyNumberFormat="1" applyFont="1" applyFill="1" applyBorder="1"/>
    <xf numFmtId="191" fontId="33" fillId="14" borderId="5" xfId="0" applyNumberFormat="1" applyFont="1" applyFill="1" applyBorder="1"/>
    <xf numFmtId="10" fontId="69" fillId="15" borderId="14" xfId="3" applyNumberFormat="1" applyFont="1" applyFill="1" applyBorder="1"/>
    <xf numFmtId="0" fontId="33" fillId="15" borderId="14" xfId="0" applyFont="1" applyFill="1" applyBorder="1"/>
    <xf numFmtId="0" fontId="33" fillId="15" borderId="14" xfId="0" applyFont="1" applyFill="1" applyBorder="1" applyAlignment="1">
      <alignment wrapText="1"/>
    </xf>
    <xf numFmtId="0" fontId="33" fillId="6" borderId="12" xfId="0" applyFont="1" applyFill="1" applyBorder="1" applyAlignment="1">
      <alignment horizontal="left" vertical="top"/>
    </xf>
    <xf numFmtId="0" fontId="33" fillId="6" borderId="13" xfId="0" applyFont="1" applyFill="1" applyBorder="1" applyAlignment="1">
      <alignment horizontal="left" vertical="top"/>
    </xf>
    <xf numFmtId="10" fontId="69" fillId="15" borderId="14" xfId="3" applyNumberFormat="1" applyFont="1" applyFill="1" applyBorder="1" applyAlignment="1" applyProtection="1"/>
    <xf numFmtId="0" fontId="33" fillId="0" borderId="0" xfId="0" applyFont="1" applyAlignment="1">
      <alignment horizontal="center"/>
    </xf>
    <xf numFmtId="0" fontId="137" fillId="0" borderId="2" xfId="0" applyFont="1" applyBorder="1"/>
    <xf numFmtId="0" fontId="64" fillId="0" borderId="3" xfId="0" applyFont="1" applyBorder="1"/>
    <xf numFmtId="0" fontId="33" fillId="7" borderId="4" xfId="0" applyFont="1" applyFill="1" applyBorder="1"/>
    <xf numFmtId="190" fontId="33" fillId="20" borderId="0" xfId="0" applyNumberFormat="1" applyFont="1" applyFill="1"/>
    <xf numFmtId="0" fontId="33" fillId="7" borderId="33" xfId="0" applyFont="1" applyFill="1" applyBorder="1" applyAlignment="1">
      <alignment wrapText="1"/>
    </xf>
    <xf numFmtId="1" fontId="33" fillId="0" borderId="34" xfId="0" applyNumberFormat="1" applyFont="1" applyBorder="1"/>
    <xf numFmtId="0" fontId="33" fillId="0" borderId="78" xfId="0" applyFont="1" applyBorder="1"/>
    <xf numFmtId="190" fontId="33" fillId="0" borderId="78" xfId="0" applyNumberFormat="1" applyFont="1" applyBorder="1"/>
    <xf numFmtId="190" fontId="33" fillId="20" borderId="79" xfId="0" applyNumberFormat="1" applyFont="1" applyFill="1" applyBorder="1"/>
    <xf numFmtId="190" fontId="136" fillId="7" borderId="33" xfId="0" applyNumberFormat="1" applyFont="1" applyFill="1" applyBorder="1"/>
    <xf numFmtId="9" fontId="33" fillId="7" borderId="43" xfId="3" applyFont="1" applyFill="1" applyBorder="1"/>
    <xf numFmtId="0" fontId="33" fillId="32" borderId="12" xfId="0" applyFont="1" applyFill="1" applyBorder="1"/>
    <xf numFmtId="0" fontId="33" fillId="32" borderId="18" xfId="0" applyFont="1" applyFill="1" applyBorder="1"/>
    <xf numFmtId="0" fontId="33" fillId="32" borderId="13" xfId="0" applyFont="1" applyFill="1" applyBorder="1"/>
    <xf numFmtId="0" fontId="33" fillId="15" borderId="4" xfId="0" applyFont="1" applyFill="1" applyBorder="1"/>
    <xf numFmtId="0" fontId="33" fillId="15" borderId="20" xfId="0" applyFont="1" applyFill="1" applyBorder="1"/>
    <xf numFmtId="191" fontId="33" fillId="15" borderId="20" xfId="0" applyNumberFormat="1" applyFont="1" applyFill="1" applyBorder="1"/>
    <xf numFmtId="0" fontId="33" fillId="15" borderId="19" xfId="0" applyFont="1" applyFill="1" applyBorder="1"/>
    <xf numFmtId="191" fontId="33" fillId="15" borderId="19" xfId="0" applyNumberFormat="1" applyFont="1" applyFill="1" applyBorder="1"/>
    <xf numFmtId="0" fontId="33" fillId="15" borderId="6" xfId="0" applyFont="1" applyFill="1" applyBorder="1"/>
    <xf numFmtId="0" fontId="33" fillId="15" borderId="21" xfId="0" applyFont="1" applyFill="1" applyBorder="1"/>
    <xf numFmtId="191" fontId="33" fillId="15" borderId="21" xfId="0" applyNumberFormat="1" applyFont="1" applyFill="1" applyBorder="1"/>
    <xf numFmtId="0" fontId="33" fillId="32" borderId="14" xfId="0" applyFont="1" applyFill="1" applyBorder="1"/>
    <xf numFmtId="0" fontId="33" fillId="32" borderId="5" xfId="0" applyFont="1" applyFill="1" applyBorder="1"/>
    <xf numFmtId="177" fontId="33" fillId="15" borderId="12" xfId="0" applyNumberFormat="1" applyFont="1" applyFill="1" applyBorder="1"/>
    <xf numFmtId="177" fontId="33" fillId="15" borderId="14" xfId="0" applyNumberFormat="1" applyFont="1" applyFill="1" applyBorder="1"/>
    <xf numFmtId="0" fontId="33" fillId="32" borderId="34" xfId="0" applyFont="1" applyFill="1" applyBorder="1"/>
    <xf numFmtId="172" fontId="0" fillId="16" borderId="12" xfId="0" applyNumberFormat="1" applyFill="1" applyBorder="1" applyAlignment="1">
      <alignment horizontal="center"/>
    </xf>
    <xf numFmtId="1" fontId="33" fillId="15" borderId="13" xfId="0" applyNumberFormat="1" applyFont="1" applyFill="1" applyBorder="1" applyAlignment="1" applyProtection="1">
      <alignment horizontal="center"/>
      <protection locked="0"/>
    </xf>
    <xf numFmtId="0" fontId="0" fillId="6" borderId="13" xfId="0" applyFill="1" applyBorder="1" applyAlignment="1">
      <alignment wrapText="1"/>
    </xf>
    <xf numFmtId="0" fontId="0" fillId="6" borderId="13" xfId="0" applyFill="1" applyBorder="1"/>
    <xf numFmtId="0" fontId="0" fillId="2" borderId="1" xfId="0" applyFill="1" applyBorder="1" applyAlignment="1">
      <alignment horizontal="center" vertical="center"/>
    </xf>
    <xf numFmtId="192" fontId="0" fillId="7" borderId="32" xfId="0" applyNumberFormat="1" applyFill="1" applyBorder="1" applyAlignment="1">
      <alignment horizontal="center"/>
    </xf>
    <xf numFmtId="192" fontId="0" fillId="16" borderId="32" xfId="0" applyNumberFormat="1" applyFill="1" applyBorder="1" applyAlignment="1">
      <alignment horizontal="center"/>
    </xf>
    <xf numFmtId="168" fontId="60" fillId="29" borderId="0" xfId="0" applyNumberFormat="1" applyFont="1" applyFill="1"/>
    <xf numFmtId="16" fontId="32" fillId="7" borderId="18" xfId="0" quotePrefix="1" applyNumberFormat="1" applyFont="1" applyFill="1" applyBorder="1" applyAlignment="1" applyProtection="1">
      <alignment horizontal="left" wrapText="1"/>
      <protection hidden="1"/>
    </xf>
    <xf numFmtId="181" fontId="69" fillId="14" borderId="80" xfId="0" applyNumberFormat="1" applyFont="1" applyFill="1" applyBorder="1"/>
    <xf numFmtId="181" fontId="96" fillId="14" borderId="80" xfId="0" applyNumberFormat="1" applyFont="1" applyFill="1" applyBorder="1"/>
    <xf numFmtId="44" fontId="69" fillId="14" borderId="50" xfId="0" applyNumberFormat="1" applyFont="1" applyFill="1" applyBorder="1"/>
    <xf numFmtId="44" fontId="74" fillId="14" borderId="50" xfId="0" applyNumberFormat="1" applyFont="1" applyFill="1" applyBorder="1"/>
    <xf numFmtId="44" fontId="96" fillId="14" borderId="50" xfId="0" applyNumberFormat="1" applyFont="1" applyFill="1" applyBorder="1"/>
    <xf numFmtId="181" fontId="74" fillId="14" borderId="80" xfId="0" applyNumberFormat="1" applyFont="1" applyFill="1" applyBorder="1"/>
    <xf numFmtId="4" fontId="0" fillId="8" borderId="0" xfId="0" applyNumberFormat="1" applyFill="1" applyAlignment="1" applyProtection="1">
      <alignment horizontal="left"/>
      <protection hidden="1"/>
    </xf>
    <xf numFmtId="4" fontId="58" fillId="8" borderId="18" xfId="0" applyNumberFormat="1" applyFont="1" applyFill="1" applyBorder="1" applyProtection="1">
      <protection hidden="1"/>
    </xf>
    <xf numFmtId="4" fontId="0" fillId="8" borderId="0" xfId="0" applyNumberFormat="1" applyFill="1" applyProtection="1">
      <protection hidden="1"/>
    </xf>
    <xf numFmtId="4" fontId="69" fillId="0" borderId="0" xfId="0" applyNumberFormat="1" applyFont="1" applyAlignment="1" applyProtection="1">
      <alignment horizontal="right"/>
      <protection hidden="1"/>
    </xf>
    <xf numFmtId="0" fontId="32" fillId="2" borderId="18" xfId="0" applyFont="1" applyFill="1" applyBorder="1" applyAlignment="1" applyProtection="1">
      <alignment horizontal="right"/>
      <protection hidden="1"/>
    </xf>
    <xf numFmtId="0" fontId="113" fillId="0" borderId="0" xfId="0" applyFont="1" applyProtection="1">
      <protection hidden="1"/>
    </xf>
    <xf numFmtId="188" fontId="62" fillId="0" borderId="0" xfId="0" applyNumberFormat="1" applyFont="1"/>
    <xf numFmtId="0" fontId="65" fillId="0" borderId="0" xfId="0" applyFont="1" applyAlignment="1">
      <alignment horizontal="right"/>
    </xf>
    <xf numFmtId="0" fontId="58" fillId="0" borderId="18" xfId="0" applyFont="1" applyBorder="1" applyAlignment="1" applyProtection="1">
      <alignment vertical="top"/>
      <protection hidden="1"/>
    </xf>
    <xf numFmtId="44" fontId="0" fillId="29" borderId="0" xfId="0" applyNumberFormat="1" applyFill="1"/>
    <xf numFmtId="164" fontId="0" fillId="29" borderId="0" xfId="0" applyNumberFormat="1" applyFill="1"/>
    <xf numFmtId="165" fontId="0" fillId="29" borderId="0" xfId="0" applyNumberFormat="1" applyFill="1"/>
    <xf numFmtId="182" fontId="0" fillId="29" borderId="0" xfId="0" applyNumberFormat="1" applyFill="1"/>
    <xf numFmtId="0" fontId="63" fillId="2" borderId="0" xfId="0" applyFont="1" applyFill="1" applyProtection="1">
      <protection hidden="1"/>
    </xf>
    <xf numFmtId="0" fontId="0" fillId="6" borderId="0" xfId="0" applyFill="1" applyAlignment="1" applyProtection="1">
      <alignment horizontal="center" vertical="center"/>
      <protection hidden="1"/>
    </xf>
    <xf numFmtId="10" fontId="0" fillId="6" borderId="0" xfId="0" applyNumberFormat="1" applyFill="1" applyProtection="1">
      <protection hidden="1"/>
    </xf>
    <xf numFmtId="9" fontId="0" fillId="6" borderId="0" xfId="0" applyNumberFormat="1" applyFill="1" applyProtection="1">
      <protection hidden="1"/>
    </xf>
    <xf numFmtId="0" fontId="115" fillId="6" borderId="0" xfId="0" applyFont="1" applyFill="1" applyProtection="1">
      <protection hidden="1"/>
    </xf>
    <xf numFmtId="0" fontId="118" fillId="6" borderId="0" xfId="0" applyFont="1" applyFill="1" applyProtection="1">
      <protection hidden="1"/>
    </xf>
    <xf numFmtId="0" fontId="36" fillId="6" borderId="0" xfId="0" applyFont="1" applyFill="1" applyProtection="1">
      <protection hidden="1"/>
    </xf>
    <xf numFmtId="10" fontId="69" fillId="6" borderId="0" xfId="0" applyNumberFormat="1" applyFont="1" applyFill="1" applyProtection="1">
      <protection hidden="1"/>
    </xf>
    <xf numFmtId="4" fontId="64" fillId="0" borderId="0" xfId="0" applyNumberFormat="1" applyFont="1" applyAlignment="1" applyProtection="1">
      <alignment horizontal="left"/>
      <protection hidden="1"/>
    </xf>
    <xf numFmtId="4" fontId="64" fillId="6" borderId="0" xfId="0" applyNumberFormat="1" applyFont="1" applyFill="1" applyAlignment="1" applyProtection="1">
      <alignment horizontal="left"/>
      <protection hidden="1"/>
    </xf>
    <xf numFmtId="44" fontId="0" fillId="6" borderId="0" xfId="0" applyNumberFormat="1" applyFill="1" applyProtection="1">
      <protection hidden="1"/>
    </xf>
    <xf numFmtId="0" fontId="48" fillId="6" borderId="0" xfId="0" applyFont="1" applyFill="1" applyAlignment="1" applyProtection="1">
      <alignment horizontal="center"/>
      <protection hidden="1"/>
    </xf>
    <xf numFmtId="0" fontId="138" fillId="0" borderId="0" xfId="0" applyFont="1" applyProtection="1">
      <protection hidden="1"/>
    </xf>
    <xf numFmtId="0" fontId="0" fillId="19" borderId="0" xfId="0" applyFill="1" applyProtection="1">
      <protection hidden="1"/>
    </xf>
    <xf numFmtId="0" fontId="119" fillId="0" borderId="7" xfId="0" applyFont="1" applyBorder="1" applyAlignment="1" applyProtection="1">
      <alignment horizontal="left" wrapText="1"/>
      <protection hidden="1"/>
    </xf>
    <xf numFmtId="182" fontId="119" fillId="0" borderId="7" xfId="2" applyNumberFormat="1" applyFont="1" applyFill="1" applyBorder="1" applyAlignment="1" applyProtection="1">
      <alignment horizontal="center" vertical="center"/>
      <protection hidden="1"/>
    </xf>
    <xf numFmtId="0" fontId="119" fillId="23" borderId="22" xfId="0" applyFont="1" applyFill="1" applyBorder="1" applyAlignment="1" applyProtection="1">
      <alignment horizontal="left" wrapText="1"/>
      <protection hidden="1"/>
    </xf>
    <xf numFmtId="182" fontId="119" fillId="23" borderId="74" xfId="2" applyNumberFormat="1" applyFont="1" applyFill="1" applyBorder="1" applyAlignment="1" applyProtection="1">
      <alignment horizontal="center" vertical="center"/>
      <protection hidden="1"/>
    </xf>
    <xf numFmtId="182" fontId="119" fillId="23" borderId="23" xfId="2" applyNumberFormat="1" applyFont="1" applyFill="1" applyBorder="1" applyAlignment="1" applyProtection="1">
      <alignment horizontal="center" vertical="center"/>
      <protection hidden="1"/>
    </xf>
    <xf numFmtId="4" fontId="47" fillId="24" borderId="49" xfId="0" applyNumberFormat="1" applyFont="1" applyFill="1" applyBorder="1" applyAlignment="1" applyProtection="1">
      <alignment horizontal="left"/>
      <protection hidden="1"/>
    </xf>
    <xf numFmtId="44" fontId="38" fillId="6" borderId="36" xfId="2" applyFont="1" applyFill="1" applyBorder="1" applyProtection="1">
      <protection hidden="1"/>
    </xf>
    <xf numFmtId="44" fontId="38" fillId="6" borderId="52" xfId="2" applyFont="1" applyFill="1" applyBorder="1" applyProtection="1">
      <protection hidden="1"/>
    </xf>
    <xf numFmtId="2" fontId="48" fillId="6" borderId="84" xfId="0" applyNumberFormat="1" applyFont="1" applyFill="1" applyBorder="1" applyProtection="1">
      <protection hidden="1"/>
    </xf>
    <xf numFmtId="4" fontId="70" fillId="24" borderId="49" xfId="0" applyNumberFormat="1" applyFont="1" applyFill="1" applyBorder="1" applyAlignment="1" applyProtection="1">
      <alignment horizontal="left" wrapText="1"/>
      <protection hidden="1"/>
    </xf>
    <xf numFmtId="165" fontId="47" fillId="0" borderId="36" xfId="0" applyNumberFormat="1" applyFont="1" applyBorder="1" applyAlignment="1" applyProtection="1">
      <alignment horizontal="center" vertical="center"/>
      <protection hidden="1"/>
    </xf>
    <xf numFmtId="165" fontId="47" fillId="0" borderId="52" xfId="0" applyNumberFormat="1" applyFont="1" applyBorder="1" applyAlignment="1" applyProtection="1">
      <alignment horizontal="center" vertical="center"/>
      <protection hidden="1"/>
    </xf>
    <xf numFmtId="0" fontId="32" fillId="7" borderId="4" xfId="0" applyFont="1" applyFill="1" applyBorder="1"/>
    <xf numFmtId="0" fontId="33" fillId="7" borderId="6" xfId="0" applyFont="1" applyFill="1" applyBorder="1"/>
    <xf numFmtId="0" fontId="32" fillId="0" borderId="4" xfId="0" applyFont="1" applyBorder="1"/>
    <xf numFmtId="0" fontId="32" fillId="0" borderId="0" xfId="0" applyFont="1"/>
    <xf numFmtId="0" fontId="32" fillId="0" borderId="5" xfId="0" applyFont="1" applyBorder="1"/>
    <xf numFmtId="1" fontId="32" fillId="0" borderId="0" xfId="0" applyNumberFormat="1" applyFont="1"/>
    <xf numFmtId="184" fontId="32" fillId="14" borderId="0" xfId="3" applyNumberFormat="1" applyFont="1" applyFill="1" applyBorder="1"/>
    <xf numFmtId="0" fontId="32" fillId="0" borderId="6" xfId="0" applyFont="1" applyBorder="1"/>
    <xf numFmtId="0" fontId="32" fillId="0" borderId="7" xfId="0" applyFont="1" applyBorder="1"/>
    <xf numFmtId="9" fontId="33" fillId="6" borderId="4" xfId="0" applyNumberFormat="1" applyFont="1" applyFill="1" applyBorder="1"/>
    <xf numFmtId="0" fontId="33" fillId="15" borderId="4" xfId="0" applyFont="1" applyFill="1" applyBorder="1" applyAlignment="1">
      <alignment horizontal="center"/>
    </xf>
    <xf numFmtId="0" fontId="134" fillId="29" borderId="5" xfId="0" applyFont="1" applyFill="1" applyBorder="1" applyAlignment="1" applyProtection="1">
      <alignment horizontal="center"/>
      <protection hidden="1"/>
    </xf>
    <xf numFmtId="2" fontId="69" fillId="19" borderId="0" xfId="0" applyNumberFormat="1" applyFont="1" applyFill="1" applyAlignment="1" applyProtection="1">
      <alignment horizontal="right"/>
      <protection hidden="1"/>
    </xf>
    <xf numFmtId="0" fontId="80" fillId="0" borderId="0" xfId="0" applyFont="1" applyAlignment="1" applyProtection="1">
      <alignment vertical="top"/>
      <protection hidden="1"/>
    </xf>
    <xf numFmtId="16" fontId="31" fillId="7" borderId="18" xfId="0" quotePrefix="1" applyNumberFormat="1" applyFont="1" applyFill="1" applyBorder="1" applyAlignment="1" applyProtection="1">
      <alignment horizontal="left" wrapText="1"/>
      <protection hidden="1"/>
    </xf>
    <xf numFmtId="16" fontId="54" fillId="7" borderId="18" xfId="0" quotePrefix="1" applyNumberFormat="1" applyFont="1" applyFill="1" applyBorder="1" applyAlignment="1" applyProtection="1">
      <alignment horizontal="left" wrapText="1"/>
      <protection hidden="1"/>
    </xf>
    <xf numFmtId="0" fontId="60" fillId="19" borderId="0" xfId="0" applyFont="1" applyFill="1"/>
    <xf numFmtId="192" fontId="0" fillId="15" borderId="32" xfId="0" applyNumberFormat="1" applyFill="1" applyBorder="1" applyAlignment="1" applyProtection="1">
      <alignment horizontal="center"/>
      <protection locked="0"/>
    </xf>
    <xf numFmtId="192" fontId="63" fillId="15" borderId="32" xfId="0" applyNumberFormat="1" applyFont="1" applyFill="1" applyBorder="1" applyAlignment="1" applyProtection="1">
      <alignment horizontal="center"/>
      <protection locked="0"/>
    </xf>
    <xf numFmtId="0" fontId="0" fillId="14" borderId="12" xfId="0" applyFill="1" applyBorder="1" applyAlignment="1">
      <alignment horizontal="center" vertical="center"/>
    </xf>
    <xf numFmtId="0" fontId="0" fillId="14" borderId="14" xfId="0" applyFill="1" applyBorder="1" applyAlignment="1">
      <alignment horizontal="center" vertical="center"/>
    </xf>
    <xf numFmtId="0" fontId="0" fillId="8" borderId="14" xfId="0" applyFill="1" applyBorder="1" applyAlignment="1">
      <alignment horizontal="center" vertical="center" wrapText="1"/>
    </xf>
    <xf numFmtId="0" fontId="0" fillId="8" borderId="14" xfId="0" applyFill="1" applyBorder="1" applyAlignment="1">
      <alignment horizontal="center" vertical="center"/>
    </xf>
    <xf numFmtId="0" fontId="0" fillId="8" borderId="14" xfId="0" applyFill="1" applyBorder="1"/>
    <xf numFmtId="0" fontId="63" fillId="8" borderId="14" xfId="0" applyFont="1" applyFill="1" applyBorder="1" applyAlignment="1">
      <alignment horizontal="center" vertical="center"/>
    </xf>
    <xf numFmtId="0" fontId="62" fillId="8" borderId="0" xfId="0" applyFont="1" applyFill="1"/>
    <xf numFmtId="0" fontId="139" fillId="6" borderId="0" xfId="0" applyFont="1" applyFill="1"/>
    <xf numFmtId="0" fontId="72" fillId="0" borderId="0" xfId="1" applyBorder="1" applyAlignment="1" applyProtection="1">
      <alignment horizontal="left"/>
    </xf>
    <xf numFmtId="0" fontId="105" fillId="6" borderId="0" xfId="1" applyFont="1" applyFill="1" applyBorder="1" applyAlignment="1" applyProtection="1"/>
    <xf numFmtId="0" fontId="85" fillId="6" borderId="2" xfId="0" applyFont="1" applyFill="1" applyBorder="1"/>
    <xf numFmtId="0" fontId="85" fillId="6" borderId="3" xfId="0" applyFont="1" applyFill="1" applyBorder="1"/>
    <xf numFmtId="0" fontId="85" fillId="6" borderId="4" xfId="0" applyFont="1" applyFill="1" applyBorder="1"/>
    <xf numFmtId="0" fontId="85" fillId="6" borderId="6" xfId="0" applyFont="1" applyFill="1" applyBorder="1"/>
    <xf numFmtId="0" fontId="65" fillId="7" borderId="14" xfId="0" applyFont="1" applyFill="1" applyBorder="1" applyAlignment="1">
      <alignment horizontal="center" vertical="center"/>
    </xf>
    <xf numFmtId="0" fontId="59" fillId="7" borderId="14" xfId="0" applyFont="1" applyFill="1" applyBorder="1" applyAlignment="1">
      <alignment horizontal="center" vertical="center"/>
    </xf>
    <xf numFmtId="14" fontId="69" fillId="29" borderId="0" xfId="0" applyNumberFormat="1" applyFont="1" applyFill="1" applyAlignment="1" applyProtection="1">
      <alignment horizontal="left"/>
      <protection hidden="1"/>
    </xf>
    <xf numFmtId="0" fontId="33" fillId="6" borderId="12" xfId="0" applyFont="1" applyFill="1" applyBorder="1" applyAlignment="1">
      <alignment horizontal="left" vertical="top" wrapText="1"/>
    </xf>
    <xf numFmtId="0" fontId="33" fillId="6" borderId="13" xfId="0" applyFont="1" applyFill="1" applyBorder="1" applyAlignment="1">
      <alignment horizontal="left" vertical="top" wrapText="1"/>
    </xf>
    <xf numFmtId="0" fontId="29" fillId="0" borderId="12" xfId="0" applyFont="1" applyBorder="1"/>
    <xf numFmtId="0" fontId="33" fillId="0" borderId="13" xfId="0" applyFont="1" applyBorder="1"/>
    <xf numFmtId="0" fontId="64" fillId="2" borderId="14" xfId="0" applyFont="1" applyFill="1" applyBorder="1" applyAlignment="1">
      <alignment horizontal="center" vertical="center" wrapText="1"/>
    </xf>
    <xf numFmtId="0" fontId="0" fillId="2" borderId="14" xfId="0" applyFill="1" applyBorder="1" applyAlignment="1">
      <alignment horizontal="center" vertical="center" wrapText="1"/>
    </xf>
    <xf numFmtId="166" fontId="65" fillId="7" borderId="18" xfId="0" applyNumberFormat="1" applyFont="1" applyFill="1" applyBorder="1" applyAlignment="1" applyProtection="1">
      <alignment horizontal="right"/>
      <protection hidden="1"/>
    </xf>
    <xf numFmtId="166" fontId="70" fillId="7" borderId="18" xfId="0" applyNumberFormat="1" applyFont="1" applyFill="1" applyBorder="1" applyAlignment="1" applyProtection="1">
      <alignment horizontal="right"/>
      <protection hidden="1"/>
    </xf>
    <xf numFmtId="0" fontId="29" fillId="2" borderId="18" xfId="0" applyFont="1" applyFill="1" applyBorder="1" applyAlignment="1" applyProtection="1">
      <alignment horizontal="right"/>
      <protection hidden="1"/>
    </xf>
    <xf numFmtId="0" fontId="64" fillId="0" borderId="12" xfId="0" applyFont="1" applyBorder="1"/>
    <xf numFmtId="0" fontId="29" fillId="2" borderId="14" xfId="0" applyFont="1" applyFill="1" applyBorder="1" applyAlignment="1" applyProtection="1">
      <alignment horizontal="right"/>
      <protection hidden="1"/>
    </xf>
    <xf numFmtId="166" fontId="65" fillId="7" borderId="14" xfId="0" applyNumberFormat="1" applyFont="1" applyFill="1" applyBorder="1" applyAlignment="1" applyProtection="1">
      <alignment horizontal="right"/>
      <protection hidden="1"/>
    </xf>
    <xf numFmtId="166" fontId="70" fillId="7" borderId="14" xfId="0" applyNumberFormat="1" applyFont="1" applyFill="1" applyBorder="1" applyAlignment="1" applyProtection="1">
      <alignment horizontal="right"/>
      <protection hidden="1"/>
    </xf>
    <xf numFmtId="9" fontId="33" fillId="14" borderId="15" xfId="0" applyNumberFormat="1" applyFont="1" applyFill="1" applyBorder="1"/>
    <xf numFmtId="9" fontId="33" fillId="14" borderId="70" xfId="0" applyNumberFormat="1" applyFont="1" applyFill="1" applyBorder="1"/>
    <xf numFmtId="0" fontId="28" fillId="0" borderId="12" xfId="0" applyFont="1" applyBorder="1"/>
    <xf numFmtId="0" fontId="28" fillId="0" borderId="6" xfId="0" applyFont="1" applyBorder="1"/>
    <xf numFmtId="10" fontId="33" fillId="14" borderId="15" xfId="3" applyNumberFormat="1" applyFont="1" applyFill="1" applyBorder="1"/>
    <xf numFmtId="0" fontId="28" fillId="0" borderId="34" xfId="0" applyFont="1" applyBorder="1" applyAlignment="1">
      <alignment horizontal="center"/>
    </xf>
    <xf numFmtId="0" fontId="69" fillId="0" borderId="4" xfId="0" applyFont="1" applyBorder="1"/>
    <xf numFmtId="1" fontId="27" fillId="15" borderId="13" xfId="0" applyNumberFormat="1" applyFont="1" applyFill="1" applyBorder="1" applyAlignment="1" applyProtection="1">
      <alignment horizontal="center"/>
      <protection locked="0"/>
    </xf>
    <xf numFmtId="0" fontId="60" fillId="19" borderId="1" xfId="0" applyFont="1" applyFill="1" applyBorder="1"/>
    <xf numFmtId="10" fontId="0" fillId="15" borderId="12" xfId="0" applyNumberFormat="1" applyFill="1" applyBorder="1" applyAlignment="1" applyProtection="1">
      <alignment horizontal="center"/>
      <protection locked="0"/>
    </xf>
    <xf numFmtId="0" fontId="0" fillId="15" borderId="21" xfId="0" applyFill="1" applyBorder="1" applyProtection="1">
      <protection locked="0"/>
    </xf>
    <xf numFmtId="0" fontId="60" fillId="14" borderId="13" xfId="0" applyFont="1" applyFill="1" applyBorder="1"/>
    <xf numFmtId="0" fontId="0" fillId="0" borderId="21" xfId="0" applyBorder="1"/>
    <xf numFmtId="192" fontId="0" fillId="0" borderId="14" xfId="0" applyNumberFormat="1" applyBorder="1"/>
    <xf numFmtId="0" fontId="69" fillId="29" borderId="0" xfId="0" applyFont="1" applyFill="1" applyAlignment="1" applyProtection="1">
      <alignment horizontal="right" vertical="center"/>
      <protection hidden="1"/>
    </xf>
    <xf numFmtId="49" fontId="0" fillId="0" borderId="0" xfId="0" applyNumberFormat="1"/>
    <xf numFmtId="14" fontId="58" fillId="0" borderId="0" xfId="0" applyNumberFormat="1" applyFont="1" applyAlignment="1">
      <alignment horizontal="center"/>
    </xf>
    <xf numFmtId="14" fontId="26" fillId="3" borderId="14" xfId="0" applyNumberFormat="1" applyFont="1" applyFill="1" applyBorder="1" applyAlignment="1" applyProtection="1">
      <alignment horizontal="center"/>
      <protection locked="0"/>
    </xf>
    <xf numFmtId="14" fontId="69" fillId="19" borderId="0" xfId="0" applyNumberFormat="1" applyFont="1" applyFill="1" applyAlignment="1">
      <alignment horizontal="center" vertical="top"/>
    </xf>
    <xf numFmtId="0" fontId="134" fillId="33" borderId="0" xfId="0" applyFont="1" applyFill="1"/>
    <xf numFmtId="0" fontId="0" fillId="2" borderId="13" xfId="0" applyFill="1" applyBorder="1" applyAlignment="1">
      <alignment horizontal="center"/>
    </xf>
    <xf numFmtId="10" fontId="33" fillId="0" borderId="14" xfId="3" applyNumberFormat="1" applyFont="1" applyFill="1" applyBorder="1"/>
    <xf numFmtId="190" fontId="70" fillId="14" borderId="14" xfId="0" applyNumberFormat="1" applyFont="1" applyFill="1" applyBorder="1"/>
    <xf numFmtId="10" fontId="69" fillId="15" borderId="14" xfId="3" applyNumberFormat="1" applyFont="1" applyFill="1" applyBorder="1" applyAlignment="1" applyProtection="1">
      <alignment wrapText="1"/>
    </xf>
    <xf numFmtId="0" fontId="25" fillId="0" borderId="14" xfId="0" applyFont="1" applyBorder="1" applyAlignment="1">
      <alignment horizontal="center"/>
    </xf>
    <xf numFmtId="0" fontId="33" fillId="6" borderId="14" xfId="0" applyFont="1" applyFill="1" applyBorder="1" applyAlignment="1">
      <alignment vertical="top"/>
    </xf>
    <xf numFmtId="10" fontId="25" fillId="6" borderId="14" xfId="3" applyNumberFormat="1" applyFont="1" applyFill="1" applyBorder="1" applyAlignment="1">
      <alignment horizontal="center" vertical="center" wrapText="1"/>
    </xf>
    <xf numFmtId="10" fontId="24" fillId="15" borderId="14" xfId="3" applyNumberFormat="1" applyFont="1" applyFill="1" applyBorder="1" applyAlignment="1" applyProtection="1"/>
    <xf numFmtId="0" fontId="0" fillId="17" borderId="20" xfId="0" applyFill="1" applyBorder="1" applyProtection="1">
      <protection hidden="1"/>
    </xf>
    <xf numFmtId="165" fontId="70" fillId="0" borderId="1" xfId="0" applyNumberFormat="1" applyFont="1" applyBorder="1" applyProtection="1">
      <protection hidden="1"/>
    </xf>
    <xf numFmtId="44" fontId="36" fillId="17" borderId="1" xfId="2" applyFont="1" applyFill="1" applyBorder="1" applyProtection="1">
      <protection hidden="1"/>
    </xf>
    <xf numFmtId="44" fontId="50" fillId="14" borderId="20" xfId="2" applyFont="1" applyFill="1" applyBorder="1" applyProtection="1">
      <protection hidden="1"/>
    </xf>
    <xf numFmtId="44" fontId="36" fillId="14" borderId="20" xfId="2" applyFont="1" applyFill="1" applyBorder="1" applyProtection="1">
      <protection hidden="1"/>
    </xf>
    <xf numFmtId="44" fontId="50" fillId="14" borderId="86" xfId="2" applyFont="1" applyFill="1" applyBorder="1" applyProtection="1">
      <protection hidden="1"/>
    </xf>
    <xf numFmtId="44" fontId="116" fillId="16" borderId="37" xfId="2" applyFont="1" applyFill="1" applyBorder="1" applyProtection="1">
      <protection hidden="1"/>
    </xf>
    <xf numFmtId="0" fontId="0" fillId="7" borderId="65" xfId="0" applyFill="1" applyBorder="1" applyAlignment="1" applyProtection="1">
      <alignment wrapText="1"/>
      <protection hidden="1"/>
    </xf>
    <xf numFmtId="44" fontId="36" fillId="7" borderId="67" xfId="2" applyFont="1" applyFill="1" applyBorder="1" applyProtection="1">
      <protection hidden="1"/>
    </xf>
    <xf numFmtId="0" fontId="0" fillId="19" borderId="12" xfId="0" applyFill="1" applyBorder="1" applyProtection="1">
      <protection hidden="1"/>
    </xf>
    <xf numFmtId="44" fontId="36" fillId="19" borderId="18" xfId="2" applyFont="1" applyFill="1" applyBorder="1" applyProtection="1">
      <protection hidden="1"/>
    </xf>
    <xf numFmtId="44" fontId="50" fillId="14" borderId="14" xfId="2" applyFont="1" applyFill="1" applyBorder="1" applyProtection="1">
      <protection hidden="1"/>
    </xf>
    <xf numFmtId="44" fontId="36" fillId="14" borderId="14" xfId="2" applyFont="1" applyFill="1" applyBorder="1" applyProtection="1">
      <protection hidden="1"/>
    </xf>
    <xf numFmtId="44" fontId="50" fillId="14" borderId="72" xfId="2" applyFont="1" applyFill="1" applyBorder="1" applyProtection="1">
      <protection hidden="1"/>
    </xf>
    <xf numFmtId="44" fontId="116" fillId="16" borderId="53" xfId="2" applyFont="1" applyFill="1" applyBorder="1" applyProtection="1">
      <protection hidden="1"/>
    </xf>
    <xf numFmtId="44" fontId="50" fillId="16" borderId="20" xfId="2" applyFont="1" applyFill="1" applyBorder="1" applyProtection="1">
      <protection hidden="1"/>
    </xf>
    <xf numFmtId="44" fontId="50" fillId="16" borderId="14" xfId="2" applyFont="1" applyFill="1" applyBorder="1" applyProtection="1">
      <protection hidden="1"/>
    </xf>
    <xf numFmtId="44" fontId="50" fillId="16" borderId="62" xfId="2" applyFont="1" applyFill="1" applyBorder="1" applyProtection="1">
      <protection hidden="1"/>
    </xf>
    <xf numFmtId="44" fontId="50" fillId="16" borderId="87" xfId="2" applyFont="1" applyFill="1" applyBorder="1" applyProtection="1">
      <protection hidden="1"/>
    </xf>
    <xf numFmtId="44" fontId="50" fillId="16" borderId="21" xfId="2" applyFont="1" applyFill="1" applyBorder="1" applyProtection="1">
      <protection hidden="1"/>
    </xf>
    <xf numFmtId="44" fontId="64" fillId="16" borderId="50" xfId="2" applyFont="1" applyFill="1" applyBorder="1" applyProtection="1">
      <protection hidden="1"/>
    </xf>
    <xf numFmtId="10" fontId="69" fillId="6" borderId="7" xfId="0" applyNumberFormat="1" applyFont="1" applyFill="1" applyBorder="1" applyProtection="1">
      <protection hidden="1"/>
    </xf>
    <xf numFmtId="44" fontId="116" fillId="16" borderId="57" xfId="2" applyFont="1" applyFill="1" applyBorder="1" applyProtection="1">
      <protection hidden="1"/>
    </xf>
    <xf numFmtId="164" fontId="0" fillId="0" borderId="14" xfId="0" applyNumberFormat="1" applyBorder="1"/>
    <xf numFmtId="0" fontId="0" fillId="6" borderId="13" xfId="0" applyFill="1" applyBorder="1" applyProtection="1">
      <protection hidden="1"/>
    </xf>
    <xf numFmtId="0" fontId="0" fillId="0" borderId="19" xfId="0" applyBorder="1" applyProtection="1">
      <protection hidden="1"/>
    </xf>
    <xf numFmtId="0" fontId="0" fillId="0" borderId="20" xfId="0" applyBorder="1" applyAlignment="1" applyProtection="1">
      <alignment horizontal="center" vertical="center"/>
      <protection hidden="1"/>
    </xf>
    <xf numFmtId="0" fontId="0" fillId="0" borderId="19" xfId="0" applyBorder="1" applyAlignment="1" applyProtection="1">
      <alignment horizontal="center" vertical="center"/>
      <protection hidden="1"/>
    </xf>
    <xf numFmtId="0" fontId="0" fillId="0" borderId="21" xfId="0" applyBorder="1" applyAlignment="1" applyProtection="1">
      <alignment horizontal="center" vertical="center"/>
      <protection hidden="1"/>
    </xf>
    <xf numFmtId="0" fontId="0" fillId="0" borderId="20" xfId="0" applyBorder="1" applyAlignment="1" applyProtection="1">
      <alignment horizontal="center" vertical="center" wrapText="1"/>
      <protection hidden="1"/>
    </xf>
    <xf numFmtId="0" fontId="0" fillId="0" borderId="21" xfId="0" applyBorder="1" applyAlignment="1" applyProtection="1">
      <alignment horizontal="center" vertical="center" wrapText="1"/>
      <protection hidden="1"/>
    </xf>
    <xf numFmtId="0" fontId="0" fillId="6" borderId="1" xfId="0" applyFill="1" applyBorder="1" applyAlignment="1" applyProtection="1">
      <alignment horizontal="center" vertical="center" wrapText="1"/>
      <protection hidden="1"/>
    </xf>
    <xf numFmtId="0" fontId="0" fillId="6" borderId="19" xfId="0" applyFill="1" applyBorder="1" applyProtection="1">
      <protection hidden="1"/>
    </xf>
    <xf numFmtId="44" fontId="70" fillId="6" borderId="14" xfId="0" applyNumberFormat="1" applyFont="1" applyFill="1" applyBorder="1" applyAlignment="1" applyProtection="1">
      <alignment horizontal="right"/>
      <protection hidden="1"/>
    </xf>
    <xf numFmtId="0" fontId="60" fillId="2" borderId="5" xfId="0" applyFont="1" applyFill="1" applyBorder="1" applyAlignment="1" applyProtection="1">
      <alignment wrapText="1"/>
      <protection hidden="1"/>
    </xf>
    <xf numFmtId="0" fontId="0" fillId="6" borderId="4" xfId="0" applyFill="1" applyBorder="1" applyAlignment="1" applyProtection="1">
      <alignment horizontal="left" vertical="top"/>
      <protection hidden="1"/>
    </xf>
    <xf numFmtId="0" fontId="0" fillId="0" borderId="5" xfId="0" applyBorder="1" applyAlignment="1" applyProtection="1">
      <alignment horizontal="left" vertical="top"/>
      <protection hidden="1"/>
    </xf>
    <xf numFmtId="0" fontId="0" fillId="0" borderId="0" xfId="0" applyAlignment="1" applyProtection="1">
      <alignment horizontal="left" vertical="top"/>
      <protection hidden="1"/>
    </xf>
    <xf numFmtId="0" fontId="22" fillId="0" borderId="12" xfId="0" applyFont="1" applyBorder="1" applyProtection="1">
      <protection hidden="1"/>
    </xf>
    <xf numFmtId="0" fontId="0" fillId="0" borderId="13" xfId="0" applyBorder="1" applyProtection="1">
      <protection hidden="1"/>
    </xf>
    <xf numFmtId="0" fontId="0" fillId="0" borderId="19" xfId="0" applyBorder="1" applyAlignment="1" applyProtection="1">
      <alignment wrapText="1"/>
      <protection hidden="1"/>
    </xf>
    <xf numFmtId="1" fontId="22" fillId="6" borderId="14" xfId="0" applyNumberFormat="1" applyFont="1" applyFill="1" applyBorder="1" applyAlignment="1" applyProtection="1">
      <alignment horizontal="center" vertical="center"/>
      <protection hidden="1"/>
    </xf>
    <xf numFmtId="10" fontId="22" fillId="6" borderId="14" xfId="3" applyNumberFormat="1" applyFont="1" applyFill="1" applyBorder="1" applyAlignment="1" applyProtection="1">
      <alignment horizontal="center" vertical="center"/>
      <protection hidden="1"/>
    </xf>
    <xf numFmtId="191" fontId="70" fillId="6" borderId="14" xfId="0" applyNumberFormat="1" applyFont="1" applyFill="1" applyBorder="1" applyAlignment="1" applyProtection="1">
      <alignment horizontal="center" vertical="center"/>
      <protection hidden="1"/>
    </xf>
    <xf numFmtId="191" fontId="50" fillId="6" borderId="14" xfId="0" applyNumberFormat="1" applyFont="1" applyFill="1" applyBorder="1" applyAlignment="1" applyProtection="1">
      <alignment horizontal="center" vertical="center"/>
      <protection hidden="1"/>
    </xf>
    <xf numFmtId="0" fontId="70" fillId="6" borderId="14" xfId="0" applyFont="1" applyFill="1" applyBorder="1" applyAlignment="1" applyProtection="1">
      <alignment horizontal="center" vertical="center"/>
      <protection hidden="1"/>
    </xf>
    <xf numFmtId="0" fontId="50" fillId="6" borderId="14" xfId="0" applyFont="1" applyFill="1" applyBorder="1" applyAlignment="1" applyProtection="1">
      <alignment horizontal="center" vertical="center"/>
      <protection hidden="1"/>
    </xf>
    <xf numFmtId="2" fontId="70" fillId="7" borderId="7" xfId="0" applyNumberFormat="1" applyFont="1" applyFill="1" applyBorder="1" applyAlignment="1" applyProtection="1">
      <alignment horizontal="right"/>
      <protection hidden="1"/>
    </xf>
    <xf numFmtId="0" fontId="70" fillId="2" borderId="6" xfId="0" applyFont="1" applyFill="1" applyBorder="1" applyAlignment="1" applyProtection="1">
      <alignment horizontal="left"/>
      <protection hidden="1"/>
    </xf>
    <xf numFmtId="14" fontId="141" fillId="0" borderId="0" xfId="0" applyNumberFormat="1" applyFont="1" applyAlignment="1" applyProtection="1">
      <alignment horizontal="left"/>
      <protection hidden="1"/>
    </xf>
    <xf numFmtId="0" fontId="110" fillId="0" borderId="0" xfId="0" applyFont="1" applyProtection="1">
      <protection hidden="1"/>
    </xf>
    <xf numFmtId="0" fontId="22" fillId="6" borderId="2" xfId="0" applyFont="1" applyFill="1" applyBorder="1" applyProtection="1">
      <protection hidden="1"/>
    </xf>
    <xf numFmtId="0" fontId="64" fillId="0" borderId="20" xfId="0" applyFont="1" applyBorder="1"/>
    <xf numFmtId="0" fontId="33" fillId="0" borderId="21" xfId="0" applyFont="1" applyBorder="1"/>
    <xf numFmtId="44" fontId="70" fillId="6" borderId="12" xfId="0" applyNumberFormat="1" applyFont="1" applyFill="1" applyBorder="1" applyAlignment="1" applyProtection="1">
      <alignment horizontal="right"/>
      <protection hidden="1"/>
    </xf>
    <xf numFmtId="0" fontId="50" fillId="6" borderId="18" xfId="0" applyFont="1" applyFill="1" applyBorder="1" applyAlignment="1" applyProtection="1">
      <alignment horizontal="left"/>
      <protection hidden="1"/>
    </xf>
    <xf numFmtId="0" fontId="50" fillId="6" borderId="13" xfId="0" applyFont="1" applyFill="1" applyBorder="1" applyProtection="1">
      <protection hidden="1"/>
    </xf>
    <xf numFmtId="44" fontId="21" fillId="6" borderId="14" xfId="0" applyNumberFormat="1" applyFont="1" applyFill="1" applyBorder="1" applyProtection="1">
      <protection hidden="1"/>
    </xf>
    <xf numFmtId="9" fontId="50" fillId="6" borderId="18" xfId="0" applyNumberFormat="1" applyFont="1" applyFill="1" applyBorder="1" applyAlignment="1" applyProtection="1">
      <alignment horizontal="left"/>
      <protection hidden="1"/>
    </xf>
    <xf numFmtId="164" fontId="22" fillId="6" borderId="12" xfId="0" applyNumberFormat="1" applyFont="1" applyFill="1" applyBorder="1" applyProtection="1">
      <protection hidden="1"/>
    </xf>
    <xf numFmtId="44" fontId="21" fillId="6" borderId="14" xfId="0" applyNumberFormat="1" applyFont="1" applyFill="1" applyBorder="1" applyAlignment="1" applyProtection="1">
      <alignment horizontal="center" vertical="center"/>
      <protection hidden="1"/>
    </xf>
    <xf numFmtId="0" fontId="21" fillId="6" borderId="12" xfId="0" applyFont="1" applyFill="1" applyBorder="1" applyAlignment="1" applyProtection="1">
      <alignment vertical="center"/>
      <protection hidden="1"/>
    </xf>
    <xf numFmtId="193" fontId="70" fillId="6" borderId="14" xfId="0" applyNumberFormat="1" applyFont="1" applyFill="1" applyBorder="1" applyAlignment="1" applyProtection="1">
      <alignment horizontal="left" vertical="center"/>
      <protection hidden="1"/>
    </xf>
    <xf numFmtId="44" fontId="22" fillId="6" borderId="14" xfId="2" applyFont="1" applyFill="1" applyBorder="1" applyAlignment="1" applyProtection="1">
      <alignment horizontal="center" vertical="center"/>
      <protection hidden="1"/>
    </xf>
    <xf numFmtId="0" fontId="140" fillId="0" borderId="0" xfId="0" applyFont="1"/>
    <xf numFmtId="0" fontId="33" fillId="0" borderId="51" xfId="0" applyFont="1" applyBorder="1" applyAlignment="1">
      <alignment horizontal="center"/>
    </xf>
    <xf numFmtId="14" fontId="20" fillId="0" borderId="51" xfId="0" applyNumberFormat="1" applyFont="1" applyBorder="1"/>
    <xf numFmtId="0" fontId="0" fillId="6" borderId="6" xfId="0" applyFill="1" applyBorder="1" applyAlignment="1" applyProtection="1">
      <alignment horizontal="center" vertical="top" wrapText="1"/>
      <protection hidden="1"/>
    </xf>
    <xf numFmtId="14" fontId="0" fillId="6" borderId="21" xfId="0" applyNumberFormat="1" applyFill="1" applyBorder="1" applyAlignment="1" applyProtection="1">
      <alignment horizontal="center" vertical="center" wrapText="1"/>
      <protection hidden="1"/>
    </xf>
    <xf numFmtId="0" fontId="69" fillId="29" borderId="0" xfId="0" applyFont="1" applyFill="1" applyAlignment="1">
      <alignment horizontal="center"/>
    </xf>
    <xf numFmtId="0" fontId="0" fillId="16" borderId="14" xfId="0" applyFill="1" applyBorder="1"/>
    <xf numFmtId="172" fontId="0" fillId="0" borderId="21" xfId="0" applyNumberFormat="1" applyBorder="1" applyAlignment="1">
      <alignment horizontal="center"/>
    </xf>
    <xf numFmtId="172" fontId="0" fillId="0" borderId="14" xfId="0" applyNumberFormat="1" applyBorder="1" applyAlignment="1">
      <alignment horizontal="center"/>
    </xf>
    <xf numFmtId="172" fontId="60" fillId="29" borderId="12" xfId="0" applyNumberFormat="1" applyFont="1" applyFill="1" applyBorder="1" applyAlignment="1">
      <alignment horizontal="center"/>
    </xf>
    <xf numFmtId="172" fontId="0" fillId="6" borderId="12" xfId="0" applyNumberFormat="1" applyFill="1" applyBorder="1" applyAlignment="1">
      <alignment horizontal="center"/>
    </xf>
    <xf numFmtId="0" fontId="72" fillId="0" borderId="0" xfId="1" quotePrefix="1" applyAlignment="1" applyProtection="1"/>
    <xf numFmtId="0" fontId="72" fillId="0" borderId="0" xfId="1" applyFill="1" applyBorder="1" applyAlignment="1" applyProtection="1">
      <alignment horizontal="center" wrapText="1"/>
    </xf>
    <xf numFmtId="0" fontId="72" fillId="0" borderId="0" xfId="1" applyFill="1" applyBorder="1" applyAlignment="1" applyProtection="1"/>
    <xf numFmtId="165" fontId="70" fillId="0" borderId="14" xfId="0" applyNumberFormat="1" applyFont="1" applyBorder="1"/>
    <xf numFmtId="165" fontId="70" fillId="0" borderId="66" xfId="0" applyNumberFormat="1" applyFont="1" applyBorder="1"/>
    <xf numFmtId="0" fontId="61" fillId="2" borderId="4" xfId="0" applyFont="1" applyFill="1" applyBorder="1" applyAlignment="1">
      <alignment horizontal="center"/>
    </xf>
    <xf numFmtId="0" fontId="61" fillId="2" borderId="0" xfId="0" applyFont="1" applyFill="1" applyAlignment="1">
      <alignment horizontal="center"/>
    </xf>
    <xf numFmtId="194" fontId="70" fillId="2" borderId="3" xfId="0" applyNumberFormat="1" applyFont="1" applyFill="1" applyBorder="1" applyAlignment="1" applyProtection="1">
      <alignment horizontal="left"/>
      <protection hidden="1"/>
    </xf>
    <xf numFmtId="194" fontId="63" fillId="2" borderId="7" xfId="0" applyNumberFormat="1" applyFont="1" applyFill="1" applyBorder="1" applyProtection="1">
      <protection hidden="1"/>
    </xf>
    <xf numFmtId="14" fontId="64" fillId="7" borderId="14" xfId="0" applyNumberFormat="1" applyFont="1" applyFill="1" applyBorder="1" applyAlignment="1" applyProtection="1">
      <alignment horizontal="center" vertical="center"/>
      <protection hidden="1"/>
    </xf>
    <xf numFmtId="0" fontId="63" fillId="0" borderId="1" xfId="0" applyFont="1" applyBorder="1" applyAlignment="1" applyProtection="1">
      <alignment horizontal="center" vertical="center" wrapText="1"/>
      <protection hidden="1"/>
    </xf>
    <xf numFmtId="0" fontId="63" fillId="6" borderId="6" xfId="0" applyFont="1" applyFill="1" applyBorder="1" applyAlignment="1" applyProtection="1">
      <alignment horizontal="center" vertical="center" wrapText="1"/>
      <protection hidden="1"/>
    </xf>
    <xf numFmtId="0" fontId="107" fillId="0" borderId="0" xfId="0" applyFont="1"/>
    <xf numFmtId="0" fontId="50" fillId="2" borderId="0" xfId="0" applyFont="1" applyFill="1"/>
    <xf numFmtId="194" fontId="17" fillId="2" borderId="5" xfId="0" applyNumberFormat="1" applyFont="1" applyFill="1" applyBorder="1" applyAlignment="1">
      <alignment horizontal="left"/>
    </xf>
    <xf numFmtId="194" fontId="17" fillId="2" borderId="5" xfId="0" applyNumberFormat="1" applyFont="1" applyFill="1" applyBorder="1"/>
    <xf numFmtId="179" fontId="70" fillId="2" borderId="2" xfId="0" applyNumberFormat="1" applyFont="1" applyFill="1" applyBorder="1" applyAlignment="1" applyProtection="1">
      <alignment horizontal="left"/>
      <protection hidden="1"/>
    </xf>
    <xf numFmtId="0" fontId="70" fillId="2" borderId="7" xfId="0" applyFont="1" applyFill="1" applyBorder="1" applyAlignment="1" applyProtection="1">
      <alignment horizontal="left"/>
      <protection hidden="1"/>
    </xf>
    <xf numFmtId="10" fontId="70" fillId="15" borderId="12" xfId="17" applyNumberFormat="1" applyFont="1" applyFill="1" applyBorder="1" applyAlignment="1" applyProtection="1">
      <alignment horizontal="center" vertical="center"/>
      <protection locked="0"/>
    </xf>
    <xf numFmtId="10" fontId="70" fillId="15" borderId="14" xfId="17" applyNumberFormat="1" applyFont="1" applyFill="1" applyBorder="1" applyAlignment="1" applyProtection="1">
      <alignment horizontal="center" vertical="center"/>
      <protection locked="0"/>
    </xf>
    <xf numFmtId="0" fontId="70" fillId="0" borderId="0" xfId="0" applyFont="1" applyProtection="1">
      <protection hidden="1"/>
    </xf>
    <xf numFmtId="0" fontId="60" fillId="29" borderId="0" xfId="0" applyFont="1" applyFill="1"/>
    <xf numFmtId="14" fontId="63" fillId="6" borderId="21" xfId="0" applyNumberFormat="1" applyFont="1" applyFill="1" applyBorder="1" applyAlignment="1" applyProtection="1">
      <alignment horizontal="center" vertical="top" wrapText="1"/>
      <protection hidden="1"/>
    </xf>
    <xf numFmtId="0" fontId="108" fillId="0" borderId="0" xfId="0" quotePrefix="1" applyFont="1"/>
    <xf numFmtId="0" fontId="16" fillId="15" borderId="14" xfId="0" applyFont="1" applyFill="1" applyBorder="1" applyAlignment="1" applyProtection="1">
      <alignment horizontal="center"/>
      <protection locked="0"/>
    </xf>
    <xf numFmtId="4" fontId="65" fillId="0" borderId="0" xfId="0" applyNumberFormat="1" applyFont="1" applyAlignment="1" applyProtection="1">
      <alignment horizontal="center"/>
      <protection hidden="1"/>
    </xf>
    <xf numFmtId="0" fontId="65" fillId="8" borderId="0" xfId="0" applyFont="1" applyFill="1" applyAlignment="1" applyProtection="1">
      <alignment horizontal="center"/>
      <protection hidden="1"/>
    </xf>
    <xf numFmtId="0" fontId="15" fillId="0" borderId="0" xfId="0" applyFont="1" applyProtection="1">
      <protection hidden="1"/>
    </xf>
    <xf numFmtId="0" fontId="15" fillId="0" borderId="0" xfId="0" applyFont="1" applyAlignment="1" applyProtection="1">
      <alignment horizontal="right"/>
      <protection hidden="1"/>
    </xf>
    <xf numFmtId="2" fontId="0" fillId="34" borderId="14" xfId="0" applyNumberFormat="1" applyFill="1" applyBorder="1" applyAlignment="1">
      <alignment horizontal="left" vertical="top" wrapText="1"/>
    </xf>
    <xf numFmtId="2" fontId="60" fillId="35" borderId="14" xfId="0" applyNumberFormat="1" applyFont="1" applyFill="1" applyBorder="1" applyAlignment="1">
      <alignment horizontal="left" vertical="top" wrapText="1"/>
    </xf>
    <xf numFmtId="2" fontId="0" fillId="35" borderId="14" xfId="0" applyNumberFormat="1" applyFill="1" applyBorder="1" applyAlignment="1">
      <alignment horizontal="left" vertical="top" wrapText="1"/>
    </xf>
    <xf numFmtId="2" fontId="0" fillId="36" borderId="14" xfId="0" applyNumberFormat="1" applyFill="1" applyBorder="1" applyAlignment="1">
      <alignment horizontal="left" vertical="top" wrapText="1"/>
    </xf>
    <xf numFmtId="2" fontId="0" fillId="10" borderId="14" xfId="0" applyNumberFormat="1" applyFill="1" applyBorder="1" applyAlignment="1">
      <alignment horizontal="left" vertical="top" wrapText="1"/>
    </xf>
    <xf numFmtId="2" fontId="0" fillId="37" borderId="14" xfId="0" applyNumberFormat="1" applyFill="1" applyBorder="1" applyAlignment="1">
      <alignment horizontal="left" vertical="top" wrapText="1"/>
    </xf>
    <xf numFmtId="2" fontId="0" fillId="14" borderId="14" xfId="0" applyNumberFormat="1" applyFill="1" applyBorder="1" applyAlignment="1">
      <alignment horizontal="left" vertical="top" wrapText="1"/>
    </xf>
    <xf numFmtId="2" fontId="0" fillId="34" borderId="0" xfId="0" applyNumberFormat="1" applyFill="1" applyAlignment="1">
      <alignment horizontal="left" vertical="top" wrapText="1"/>
    </xf>
    <xf numFmtId="2" fontId="0" fillId="38" borderId="14" xfId="0" applyNumberFormat="1" applyFill="1" applyBorder="1" applyAlignment="1">
      <alignment horizontal="left" vertical="top" wrapText="1"/>
    </xf>
    <xf numFmtId="2" fontId="0" fillId="0" borderId="0" xfId="0" applyNumberFormat="1" applyAlignment="1">
      <alignment horizontal="left" vertical="top" wrapText="1"/>
    </xf>
    <xf numFmtId="2" fontId="60" fillId="0" borderId="14" xfId="0" applyNumberFormat="1" applyFont="1" applyBorder="1" applyAlignment="1">
      <alignment wrapText="1"/>
    </xf>
    <xf numFmtId="0" fontId="0" fillId="0" borderId="14" xfId="0" applyBorder="1" applyAlignment="1">
      <alignment wrapText="1"/>
    </xf>
    <xf numFmtId="14" fontId="0" fillId="0" borderId="14" xfId="0" applyNumberFormat="1" applyBorder="1" applyAlignment="1">
      <alignment wrapText="1"/>
    </xf>
    <xf numFmtId="2" fontId="0" fillId="0" borderId="14" xfId="0" applyNumberFormat="1" applyBorder="1" applyAlignment="1">
      <alignment wrapText="1"/>
    </xf>
    <xf numFmtId="195" fontId="0" fillId="0" borderId="14" xfId="0" applyNumberFormat="1" applyBorder="1" applyAlignment="1">
      <alignment wrapText="1"/>
    </xf>
    <xf numFmtId="2" fontId="0" fillId="7" borderId="14" xfId="0" applyNumberFormat="1" applyFill="1" applyBorder="1" applyAlignment="1">
      <alignment wrapText="1"/>
    </xf>
    <xf numFmtId="9" fontId="0" fillId="0" borderId="14" xfId="3" applyFont="1" applyFill="1" applyBorder="1" applyAlignment="1">
      <alignment wrapText="1"/>
    </xf>
    <xf numFmtId="196" fontId="0" fillId="0" borderId="14" xfId="0" applyNumberFormat="1" applyBorder="1" applyAlignment="1">
      <alignment wrapText="1"/>
    </xf>
    <xf numFmtId="4" fontId="0" fillId="0" borderId="14" xfId="0" applyNumberFormat="1" applyBorder="1" applyAlignment="1">
      <alignment wrapText="1"/>
    </xf>
    <xf numFmtId="191" fontId="0" fillId="0" borderId="14" xfId="0" applyNumberFormat="1" applyBorder="1" applyAlignment="1">
      <alignment wrapText="1"/>
    </xf>
    <xf numFmtId="191" fontId="0" fillId="14" borderId="14" xfId="0" applyNumberFormat="1" applyFill="1" applyBorder="1" applyAlignment="1">
      <alignment wrapText="1"/>
    </xf>
    <xf numFmtId="10" fontId="0" fillId="6" borderId="14" xfId="3" applyNumberFormat="1" applyFont="1" applyFill="1" applyBorder="1" applyAlignment="1">
      <alignment wrapText="1"/>
    </xf>
    <xf numFmtId="10" fontId="0" fillId="0" borderId="14" xfId="3" applyNumberFormat="1" applyFont="1" applyFill="1" applyBorder="1" applyAlignment="1">
      <alignment wrapText="1"/>
    </xf>
    <xf numFmtId="4" fontId="0" fillId="0" borderId="13" xfId="0" applyNumberFormat="1" applyBorder="1" applyAlignment="1">
      <alignment wrapText="1"/>
    </xf>
    <xf numFmtId="4" fontId="0" fillId="14" borderId="14" xfId="0" applyNumberFormat="1" applyFill="1" applyBorder="1" applyAlignment="1">
      <alignment wrapText="1"/>
    </xf>
    <xf numFmtId="2" fontId="0" fillId="14" borderId="14" xfId="0" applyNumberFormat="1" applyFill="1" applyBorder="1" applyAlignment="1">
      <alignment wrapText="1"/>
    </xf>
    <xf numFmtId="14" fontId="0" fillId="14" borderId="14" xfId="0" applyNumberFormat="1" applyFill="1" applyBorder="1" applyAlignment="1">
      <alignment wrapText="1"/>
    </xf>
    <xf numFmtId="2" fontId="0" fillId="0" borderId="0" xfId="0" applyNumberFormat="1" applyAlignment="1">
      <alignment wrapText="1"/>
    </xf>
    <xf numFmtId="2" fontId="0" fillId="39" borderId="14" xfId="0" applyNumberFormat="1" applyFill="1" applyBorder="1" applyAlignment="1">
      <alignment horizontal="left" vertical="top" wrapText="1"/>
    </xf>
    <xf numFmtId="2" fontId="0" fillId="15" borderId="14" xfId="0" applyNumberFormat="1" applyFill="1" applyBorder="1" applyAlignment="1">
      <alignment horizontal="left" vertical="top" wrapText="1"/>
    </xf>
    <xf numFmtId="2" fontId="0" fillId="7" borderId="14" xfId="0" applyNumberFormat="1" applyFill="1" applyBorder="1" applyAlignment="1">
      <alignment horizontal="left" vertical="top" wrapText="1"/>
    </xf>
    <xf numFmtId="2" fontId="0" fillId="23" borderId="14" xfId="0" applyNumberFormat="1" applyFill="1" applyBorder="1" applyAlignment="1">
      <alignment horizontal="left" vertical="top" wrapText="1"/>
    </xf>
    <xf numFmtId="2" fontId="63" fillId="23" borderId="14" xfId="0" applyNumberFormat="1" applyFont="1" applyFill="1" applyBorder="1" applyAlignment="1">
      <alignment horizontal="left" vertical="top" wrapText="1"/>
    </xf>
    <xf numFmtId="2" fontId="0" fillId="23" borderId="14" xfId="0" applyNumberFormat="1" applyFill="1" applyBorder="1" applyAlignment="1">
      <alignment wrapText="1"/>
    </xf>
    <xf numFmtId="196" fontId="0" fillId="23" borderId="14" xfId="0" applyNumberFormat="1" applyFill="1" applyBorder="1" applyAlignment="1">
      <alignment wrapText="1"/>
    </xf>
    <xf numFmtId="191" fontId="63" fillId="23" borderId="14" xfId="0" applyNumberFormat="1" applyFont="1" applyFill="1" applyBorder="1" applyAlignment="1">
      <alignment wrapText="1"/>
    </xf>
    <xf numFmtId="191" fontId="0" fillId="23" borderId="14" xfId="0" applyNumberFormat="1" applyFill="1" applyBorder="1" applyAlignment="1">
      <alignment wrapText="1"/>
    </xf>
    <xf numFmtId="196" fontId="0" fillId="14" borderId="14" xfId="0" applyNumberFormat="1" applyFill="1" applyBorder="1" applyAlignment="1">
      <alignment wrapText="1"/>
    </xf>
    <xf numFmtId="10" fontId="0" fillId="14" borderId="14" xfId="3" applyNumberFormat="1" applyFont="1" applyFill="1" applyBorder="1" applyAlignment="1">
      <alignment wrapText="1"/>
    </xf>
    <xf numFmtId="1" fontId="0" fillId="14" borderId="14" xfId="0" applyNumberFormat="1" applyFill="1" applyBorder="1" applyAlignment="1">
      <alignment wrapText="1"/>
    </xf>
    <xf numFmtId="9" fontId="0" fillId="14" borderId="14" xfId="3" applyFont="1" applyFill="1" applyBorder="1" applyAlignment="1">
      <alignment wrapText="1"/>
    </xf>
    <xf numFmtId="2" fontId="63" fillId="14" borderId="14" xfId="0" applyNumberFormat="1" applyFont="1" applyFill="1" applyBorder="1" applyAlignment="1">
      <alignment horizontal="left" vertical="top" wrapText="1"/>
    </xf>
    <xf numFmtId="191" fontId="63" fillId="14" borderId="14" xfId="0" applyNumberFormat="1" applyFont="1" applyFill="1" applyBorder="1" applyAlignment="1">
      <alignment wrapText="1"/>
    </xf>
    <xf numFmtId="2" fontId="0" fillId="14" borderId="12" xfId="0" applyNumberFormat="1" applyFill="1" applyBorder="1" applyAlignment="1">
      <alignment horizontal="left" vertical="top" wrapText="1"/>
    </xf>
    <xf numFmtId="1" fontId="0" fillId="6" borderId="14" xfId="0" applyNumberFormat="1" applyFill="1" applyBorder="1" applyAlignment="1">
      <alignment wrapText="1"/>
    </xf>
    <xf numFmtId="1" fontId="0" fillId="7" borderId="14" xfId="0" applyNumberFormat="1" applyFill="1" applyBorder="1" applyAlignment="1">
      <alignment wrapText="1"/>
    </xf>
    <xf numFmtId="4" fontId="0" fillId="7" borderId="14" xfId="0" applyNumberFormat="1" applyFill="1" applyBorder="1" applyAlignment="1">
      <alignment wrapText="1"/>
    </xf>
    <xf numFmtId="0" fontId="0" fillId="0" borderId="0" xfId="0" applyAlignment="1">
      <alignment wrapText="1"/>
    </xf>
    <xf numFmtId="14" fontId="0" fillId="0" borderId="0" xfId="0" applyNumberFormat="1" applyAlignment="1">
      <alignment wrapText="1"/>
    </xf>
    <xf numFmtId="195" fontId="0" fillId="0" borderId="0" xfId="0" applyNumberFormat="1" applyAlignment="1">
      <alignment wrapText="1"/>
    </xf>
    <xf numFmtId="2" fontId="0" fillId="7" borderId="0" xfId="0" applyNumberFormat="1" applyFill="1" applyAlignment="1">
      <alignment wrapText="1"/>
    </xf>
    <xf numFmtId="9" fontId="0" fillId="0" borderId="0" xfId="3" applyFont="1" applyFill="1" applyBorder="1" applyAlignment="1">
      <alignment wrapText="1"/>
    </xf>
    <xf numFmtId="196" fontId="0" fillId="14" borderId="0" xfId="0" applyNumberFormat="1" applyFill="1" applyAlignment="1">
      <alignment wrapText="1"/>
    </xf>
    <xf numFmtId="196" fontId="0" fillId="0" borderId="0" xfId="0" applyNumberFormat="1" applyAlignment="1">
      <alignment wrapText="1"/>
    </xf>
    <xf numFmtId="4" fontId="0" fillId="14" borderId="0" xfId="0" applyNumberFormat="1" applyFill="1" applyAlignment="1">
      <alignment wrapText="1"/>
    </xf>
    <xf numFmtId="14" fontId="0" fillId="14" borderId="0" xfId="0" applyNumberFormat="1" applyFill="1" applyAlignment="1">
      <alignment wrapText="1"/>
    </xf>
    <xf numFmtId="191" fontId="0" fillId="14" borderId="0" xfId="0" applyNumberFormat="1" applyFill="1" applyAlignment="1">
      <alignment wrapText="1"/>
    </xf>
    <xf numFmtId="10" fontId="0" fillId="14" borderId="0" xfId="3" applyNumberFormat="1" applyFont="1" applyFill="1" applyBorder="1" applyAlignment="1">
      <alignment wrapText="1"/>
    </xf>
    <xf numFmtId="2" fontId="0" fillId="14" borderId="0" xfId="0" applyNumberFormat="1" applyFill="1" applyAlignment="1">
      <alignment wrapText="1"/>
    </xf>
    <xf numFmtId="1" fontId="0" fillId="14" borderId="0" xfId="0" applyNumberFormat="1" applyFill="1" applyAlignment="1">
      <alignment wrapText="1"/>
    </xf>
    <xf numFmtId="9" fontId="0" fillId="14" borderId="0" xfId="3" applyFont="1" applyFill="1" applyBorder="1" applyAlignment="1">
      <alignment wrapText="1"/>
    </xf>
    <xf numFmtId="191" fontId="63" fillId="14" borderId="0" xfId="0" applyNumberFormat="1" applyFont="1" applyFill="1" applyAlignment="1">
      <alignment wrapText="1"/>
    </xf>
    <xf numFmtId="191" fontId="0" fillId="0" borderId="0" xfId="0" applyNumberFormat="1" applyAlignment="1">
      <alignment wrapText="1"/>
    </xf>
    <xf numFmtId="10" fontId="0" fillId="6" borderId="0" xfId="3" applyNumberFormat="1" applyFont="1" applyFill="1" applyBorder="1" applyAlignment="1">
      <alignment wrapText="1"/>
    </xf>
    <xf numFmtId="1" fontId="0" fillId="6" borderId="0" xfId="0" applyNumberFormat="1" applyFill="1" applyAlignment="1">
      <alignment wrapText="1"/>
    </xf>
    <xf numFmtId="1" fontId="0" fillId="7" borderId="0" xfId="0" applyNumberFormat="1" applyFill="1" applyAlignment="1">
      <alignment wrapText="1"/>
    </xf>
    <xf numFmtId="4" fontId="0" fillId="0" borderId="0" xfId="0" applyNumberFormat="1" applyAlignment="1">
      <alignment wrapText="1"/>
    </xf>
    <xf numFmtId="4" fontId="0" fillId="7" borderId="0" xfId="0" applyNumberFormat="1" applyFill="1" applyAlignment="1">
      <alignment wrapText="1"/>
    </xf>
    <xf numFmtId="10" fontId="0" fillId="0" borderId="0" xfId="3" applyNumberFormat="1" applyFont="1" applyFill="1" applyBorder="1" applyAlignment="1">
      <alignment wrapText="1"/>
    </xf>
    <xf numFmtId="2" fontId="0" fillId="23" borderId="0" xfId="0" applyNumberFormat="1" applyFill="1" applyAlignment="1">
      <alignment wrapText="1"/>
    </xf>
    <xf numFmtId="196" fontId="0" fillId="23" borderId="0" xfId="0" applyNumberFormat="1" applyFill="1" applyAlignment="1">
      <alignment wrapText="1"/>
    </xf>
    <xf numFmtId="191" fontId="63" fillId="23" borderId="0" xfId="0" applyNumberFormat="1" applyFont="1" applyFill="1" applyAlignment="1">
      <alignment wrapText="1"/>
    </xf>
    <xf numFmtId="191" fontId="0" fillId="23" borderId="0" xfId="0" applyNumberFormat="1" applyFill="1" applyAlignment="1">
      <alignment wrapText="1"/>
    </xf>
    <xf numFmtId="1" fontId="0" fillId="0" borderId="14" xfId="0" applyNumberFormat="1" applyBorder="1"/>
    <xf numFmtId="169" fontId="0" fillId="0" borderId="14" xfId="0" applyNumberFormat="1" applyBorder="1"/>
    <xf numFmtId="10" fontId="0" fillId="0" borderId="14" xfId="0" applyNumberFormat="1" applyBorder="1" applyAlignment="1">
      <alignment wrapText="1"/>
    </xf>
    <xf numFmtId="197" fontId="0" fillId="0" borderId="14" xfId="0" applyNumberFormat="1" applyBorder="1"/>
    <xf numFmtId="0" fontId="39" fillId="0" borderId="21" xfId="0" applyFont="1" applyBorder="1" applyAlignment="1">
      <alignment vertical="top" wrapText="1"/>
    </xf>
    <xf numFmtId="2" fontId="0" fillId="0" borderId="14" xfId="0" applyNumberFormat="1" applyBorder="1"/>
    <xf numFmtId="1" fontId="63" fillId="0" borderId="14" xfId="0" applyNumberFormat="1" applyFont="1" applyBorder="1"/>
    <xf numFmtId="0" fontId="14" fillId="0" borderId="76" xfId="0" applyFont="1" applyBorder="1" applyAlignment="1">
      <alignment vertical="top" wrapText="1"/>
    </xf>
    <xf numFmtId="0" fontId="14" fillId="0" borderId="20" xfId="0" applyFont="1" applyBorder="1" applyAlignment="1">
      <alignment vertical="top" wrapText="1"/>
    </xf>
    <xf numFmtId="0" fontId="14" fillId="0" borderId="88" xfId="0" applyFont="1" applyBorder="1" applyAlignment="1">
      <alignment vertical="top" wrapText="1"/>
    </xf>
    <xf numFmtId="0" fontId="113" fillId="6" borderId="0" xfId="0" applyFont="1" applyFill="1" applyAlignment="1">
      <alignment wrapText="1"/>
    </xf>
    <xf numFmtId="0" fontId="13" fillId="0" borderId="21" xfId="0" applyFont="1" applyBorder="1" applyAlignment="1">
      <alignment vertical="top" wrapText="1"/>
    </xf>
    <xf numFmtId="0" fontId="14" fillId="0" borderId="89" xfId="0" applyFont="1" applyBorder="1" applyAlignment="1">
      <alignment vertical="top" wrapText="1"/>
    </xf>
    <xf numFmtId="0" fontId="14" fillId="0" borderId="90" xfId="0" applyFont="1" applyBorder="1" applyAlignment="1">
      <alignment vertical="top" wrapText="1"/>
    </xf>
    <xf numFmtId="0" fontId="43" fillId="0" borderId="8" xfId="0" applyFont="1" applyBorder="1" applyAlignment="1">
      <alignment vertical="top" wrapText="1"/>
    </xf>
    <xf numFmtId="10" fontId="13" fillId="0" borderId="21" xfId="0" applyNumberFormat="1" applyFont="1" applyBorder="1" applyAlignment="1">
      <alignment horizontal="left" vertical="top" wrapText="1"/>
    </xf>
    <xf numFmtId="10" fontId="14" fillId="0" borderId="88" xfId="3" applyNumberFormat="1" applyFont="1" applyBorder="1" applyAlignment="1">
      <alignment horizontal="left" vertical="top" wrapText="1"/>
    </xf>
    <xf numFmtId="0" fontId="0" fillId="6" borderId="4" xfId="0" applyFill="1" applyBorder="1" applyProtection="1">
      <protection locked="0"/>
    </xf>
    <xf numFmtId="0" fontId="0" fillId="0" borderId="0" xfId="0" applyProtection="1">
      <protection locked="0"/>
    </xf>
    <xf numFmtId="0" fontId="59" fillId="0" borderId="0" xfId="0" applyFont="1" applyProtection="1">
      <protection locked="0"/>
    </xf>
    <xf numFmtId="0" fontId="0" fillId="0" borderId="4" xfId="0" applyBorder="1" applyProtection="1">
      <protection locked="0"/>
    </xf>
    <xf numFmtId="0" fontId="59" fillId="6" borderId="5" xfId="0" applyFont="1" applyFill="1" applyBorder="1" applyProtection="1">
      <protection locked="0"/>
    </xf>
    <xf numFmtId="0" fontId="61" fillId="2" borderId="0" xfId="0" applyFont="1" applyFill="1" applyAlignment="1" applyProtection="1">
      <alignment horizontal="center" vertical="center" wrapText="1"/>
      <protection hidden="1"/>
    </xf>
    <xf numFmtId="0" fontId="117" fillId="2" borderId="0" xfId="0" applyFont="1" applyFill="1" applyAlignment="1" applyProtection="1">
      <alignment vertical="center" wrapText="1"/>
      <protection hidden="1"/>
    </xf>
    <xf numFmtId="0" fontId="63" fillId="2" borderId="0" xfId="0" applyFont="1" applyFill="1" applyAlignment="1" applyProtection="1">
      <alignment horizontal="left"/>
      <protection hidden="1"/>
    </xf>
    <xf numFmtId="14" fontId="63" fillId="2" borderId="0" xfId="0" applyNumberFormat="1" applyFont="1" applyFill="1" applyAlignment="1" applyProtection="1">
      <alignment vertical="center" wrapText="1"/>
      <protection hidden="1"/>
    </xf>
    <xf numFmtId="0" fontId="64" fillId="2" borderId="0" xfId="0" applyFont="1" applyFill="1" applyProtection="1">
      <protection hidden="1"/>
    </xf>
    <xf numFmtId="0" fontId="50" fillId="7" borderId="0" xfId="0" applyFont="1" applyFill="1" applyProtection="1">
      <protection hidden="1"/>
    </xf>
    <xf numFmtId="0" fontId="16" fillId="6" borderId="0" xfId="0" applyFont="1" applyFill="1" applyAlignment="1" applyProtection="1">
      <alignment horizontal="left"/>
      <protection hidden="1"/>
    </xf>
    <xf numFmtId="0" fontId="64" fillId="6" borderId="0" xfId="0" applyFont="1" applyFill="1" applyProtection="1">
      <protection hidden="1"/>
    </xf>
    <xf numFmtId="194" fontId="22" fillId="7" borderId="0" xfId="0" applyNumberFormat="1" applyFont="1" applyFill="1" applyAlignment="1" applyProtection="1">
      <alignment horizontal="left"/>
      <protection hidden="1"/>
    </xf>
    <xf numFmtId="0" fontId="65" fillId="0" borderId="0" xfId="0" applyFont="1" applyAlignment="1" applyProtection="1">
      <alignment horizontal="center" vertical="center"/>
      <protection hidden="1"/>
    </xf>
    <xf numFmtId="0" fontId="64" fillId="0" borderId="0" xfId="0" applyFont="1" applyAlignment="1" applyProtection="1">
      <alignment horizontal="center" vertical="center"/>
      <protection hidden="1"/>
    </xf>
    <xf numFmtId="0" fontId="0" fillId="0" borderId="0" xfId="0" applyAlignment="1" applyProtection="1">
      <alignment horizontal="center" vertical="center" wrapText="1"/>
      <protection hidden="1"/>
    </xf>
    <xf numFmtId="0" fontId="64" fillId="0" borderId="0" xfId="0" applyFont="1" applyAlignment="1" applyProtection="1">
      <alignment horizontal="left" vertical="top"/>
      <protection hidden="1"/>
    </xf>
    <xf numFmtId="0" fontId="0" fillId="6" borderId="0" xfId="0" applyFill="1" applyAlignment="1" applyProtection="1">
      <alignment vertical="center"/>
      <protection hidden="1"/>
    </xf>
    <xf numFmtId="14" fontId="64" fillId="6" borderId="0" xfId="0" applyNumberFormat="1" applyFont="1" applyFill="1" applyAlignment="1" applyProtection="1">
      <alignment vertical="center"/>
      <protection hidden="1"/>
    </xf>
    <xf numFmtId="0" fontId="65" fillId="6" borderId="0" xfId="0" applyFont="1" applyFill="1" applyAlignment="1" applyProtection="1">
      <alignment horizontal="center" vertical="center"/>
      <protection hidden="1"/>
    </xf>
    <xf numFmtId="0" fontId="22" fillId="0" borderId="0" xfId="0" applyFont="1" applyProtection="1">
      <protection hidden="1"/>
    </xf>
    <xf numFmtId="0" fontId="70" fillId="6" borderId="0" xfId="0" applyFont="1" applyFill="1" applyAlignment="1" applyProtection="1">
      <alignment horizontal="center" vertical="center"/>
      <protection hidden="1"/>
    </xf>
    <xf numFmtId="0" fontId="70" fillId="6" borderId="0" xfId="0" applyFont="1" applyFill="1" applyAlignment="1" applyProtection="1">
      <alignment horizontal="right"/>
      <protection hidden="1"/>
    </xf>
    <xf numFmtId="0" fontId="50" fillId="6" borderId="0" xfId="0" applyFont="1" applyFill="1" applyAlignment="1" applyProtection="1">
      <alignment horizontal="left"/>
      <protection hidden="1"/>
    </xf>
    <xf numFmtId="0" fontId="22" fillId="6" borderId="0" xfId="0" applyFont="1" applyFill="1" applyProtection="1">
      <protection hidden="1"/>
    </xf>
    <xf numFmtId="0" fontId="140" fillId="0" borderId="0" xfId="0" applyFont="1" applyProtection="1">
      <protection hidden="1"/>
    </xf>
    <xf numFmtId="0" fontId="50" fillId="6" borderId="0" xfId="0" applyFont="1" applyFill="1" applyAlignment="1" applyProtection="1">
      <alignment horizontal="center" vertical="center"/>
      <protection hidden="1"/>
    </xf>
    <xf numFmtId="0" fontId="60" fillId="29" borderId="0" xfId="0" applyFont="1" applyFill="1" applyProtection="1">
      <protection hidden="1"/>
    </xf>
    <xf numFmtId="0" fontId="50" fillId="6" borderId="0" xfId="0" applyFont="1" applyFill="1" applyAlignment="1" applyProtection="1">
      <alignment horizontal="left" vertical="top"/>
      <protection hidden="1"/>
    </xf>
    <xf numFmtId="0" fontId="69" fillId="29" borderId="0" xfId="0" applyFont="1" applyFill="1" applyAlignment="1" applyProtection="1">
      <alignment horizontal="left" vertical="top"/>
      <protection hidden="1"/>
    </xf>
    <xf numFmtId="0" fontId="0" fillId="6" borderId="0" xfId="0" applyFill="1" applyAlignment="1" applyProtection="1">
      <alignment horizontal="left" vertical="top"/>
      <protection hidden="1"/>
    </xf>
    <xf numFmtId="0" fontId="21" fillId="0" borderId="0" xfId="0" applyFont="1" applyProtection="1">
      <protection hidden="1"/>
    </xf>
    <xf numFmtId="0" fontId="80" fillId="0" borderId="0" xfId="0" applyFont="1" applyProtection="1">
      <protection hidden="1"/>
    </xf>
    <xf numFmtId="0" fontId="70" fillId="6" borderId="0" xfId="0" applyFont="1" applyFill="1" applyAlignment="1" applyProtection="1">
      <alignment horizontal="left"/>
      <protection hidden="1"/>
    </xf>
    <xf numFmtId="0" fontId="22" fillId="6" borderId="0" xfId="0" applyFont="1" applyFill="1" applyAlignment="1" applyProtection="1">
      <alignment horizontal="left"/>
      <protection hidden="1"/>
    </xf>
    <xf numFmtId="0" fontId="22" fillId="6" borderId="5" xfId="0" applyFont="1" applyFill="1" applyBorder="1" applyProtection="1">
      <protection hidden="1"/>
    </xf>
    <xf numFmtId="0" fontId="50" fillId="0" borderId="0" xfId="0" applyFont="1" applyProtection="1">
      <protection hidden="1"/>
    </xf>
    <xf numFmtId="0" fontId="75" fillId="6" borderId="0" xfId="0" applyFont="1" applyFill="1" applyProtection="1">
      <protection hidden="1"/>
    </xf>
    <xf numFmtId="0" fontId="108" fillId="0" borderId="0" xfId="0" applyFont="1" applyProtection="1">
      <protection hidden="1"/>
    </xf>
    <xf numFmtId="0" fontId="22" fillId="0" borderId="0" xfId="0" applyFont="1" applyAlignment="1" applyProtection="1">
      <alignment horizontal="center"/>
      <protection hidden="1"/>
    </xf>
    <xf numFmtId="0" fontId="62" fillId="6" borderId="0" xfId="0" applyFont="1" applyFill="1" applyAlignment="1" applyProtection="1">
      <alignment vertical="top"/>
      <protection hidden="1"/>
    </xf>
    <xf numFmtId="0" fontId="69" fillId="6" borderId="0" xfId="0" applyFont="1" applyFill="1" applyAlignment="1" applyProtection="1">
      <alignment horizontal="left" vertical="top"/>
      <protection hidden="1"/>
    </xf>
    <xf numFmtId="0" fontId="70" fillId="0" borderId="0" xfId="0" applyFont="1" applyAlignment="1" applyProtection="1">
      <alignment horizontal="left" vertical="top"/>
      <protection hidden="1"/>
    </xf>
    <xf numFmtId="0" fontId="69" fillId="0" borderId="0" xfId="0" applyFont="1" applyAlignment="1" applyProtection="1">
      <alignment horizontal="left" vertical="top"/>
      <protection hidden="1"/>
    </xf>
    <xf numFmtId="0" fontId="49" fillId="0" borderId="0" xfId="0" applyFont="1" applyAlignment="1" applyProtection="1">
      <alignment horizontal="left" vertical="top"/>
      <protection hidden="1"/>
    </xf>
    <xf numFmtId="0" fontId="49" fillId="6" borderId="0" xfId="0" applyFont="1" applyFill="1" applyAlignment="1" applyProtection="1">
      <alignment horizontal="left" vertical="top"/>
      <protection hidden="1"/>
    </xf>
    <xf numFmtId="0" fontId="0" fillId="15" borderId="0" xfId="0" applyFill="1" applyProtection="1">
      <protection locked="0"/>
    </xf>
    <xf numFmtId="0" fontId="19" fillId="0" borderId="0" xfId="0" applyFont="1" applyProtection="1">
      <protection hidden="1"/>
    </xf>
    <xf numFmtId="0" fontId="0" fillId="0" borderId="4" xfId="0" applyBorder="1" applyAlignment="1" applyProtection="1">
      <alignment horizontal="left" vertical="top"/>
      <protection hidden="1"/>
    </xf>
    <xf numFmtId="0" fontId="12" fillId="0" borderId="0" xfId="0" applyFont="1"/>
    <xf numFmtId="0" fontId="12" fillId="6" borderId="14" xfId="0" applyFont="1" applyFill="1" applyBorder="1" applyAlignment="1" applyProtection="1">
      <alignment horizontal="center" vertical="center"/>
      <protection hidden="1"/>
    </xf>
    <xf numFmtId="0" fontId="70" fillId="6" borderId="0" xfId="0" applyFont="1" applyFill="1" applyAlignment="1" applyProtection="1">
      <alignment vertical="top"/>
      <protection hidden="1"/>
    </xf>
    <xf numFmtId="0" fontId="56" fillId="0" borderId="5" xfId="0" applyFont="1" applyBorder="1" applyAlignment="1" applyProtection="1">
      <alignment vertical="top"/>
      <protection hidden="1"/>
    </xf>
    <xf numFmtId="0" fontId="11" fillId="0" borderId="88" xfId="0" applyFont="1" applyBorder="1" applyAlignment="1">
      <alignment vertical="top" wrapText="1"/>
    </xf>
    <xf numFmtId="10" fontId="11" fillId="0" borderId="88" xfId="3" applyNumberFormat="1" applyFont="1" applyBorder="1" applyAlignment="1">
      <alignment horizontal="left" vertical="top" wrapText="1"/>
    </xf>
    <xf numFmtId="0" fontId="41" fillId="0" borderId="19" xfId="0" applyFont="1" applyBorder="1"/>
    <xf numFmtId="14" fontId="70" fillId="0" borderId="14" xfId="18" applyNumberFormat="1" applyBorder="1" applyAlignment="1">
      <alignment horizontal="center" vertical="top" wrapText="1"/>
    </xf>
    <xf numFmtId="0" fontId="14" fillId="0" borderId="13" xfId="0" applyFont="1" applyBorder="1" applyAlignment="1">
      <alignment vertical="top" wrapText="1"/>
    </xf>
    <xf numFmtId="0" fontId="14" fillId="0" borderId="14" xfId="0" applyFont="1" applyBorder="1" applyAlignment="1">
      <alignment vertical="top" wrapText="1"/>
    </xf>
    <xf numFmtId="10" fontId="33" fillId="7" borderId="12" xfId="3" applyNumberFormat="1" applyFont="1" applyFill="1" applyBorder="1"/>
    <xf numFmtId="0" fontId="33" fillId="7" borderId="4" xfId="0" applyFont="1" applyFill="1" applyBorder="1" applyAlignment="1">
      <alignment wrapText="1"/>
    </xf>
    <xf numFmtId="0" fontId="145" fillId="7" borderId="31" xfId="0" applyFont="1" applyFill="1" applyBorder="1" applyAlignment="1">
      <alignment horizontal="center" vertical="center" wrapText="1"/>
    </xf>
    <xf numFmtId="0" fontId="145" fillId="7" borderId="14" xfId="0" applyFont="1" applyFill="1" applyBorder="1" applyAlignment="1">
      <alignment horizontal="center" vertical="center" wrapText="1"/>
    </xf>
    <xf numFmtId="0" fontId="145" fillId="7" borderId="32" xfId="0" applyFont="1" applyFill="1" applyBorder="1" applyAlignment="1">
      <alignment horizontal="center" vertical="center"/>
    </xf>
    <xf numFmtId="191" fontId="145" fillId="7" borderId="31" xfId="0" applyNumberFormat="1" applyFont="1" applyFill="1" applyBorder="1"/>
    <xf numFmtId="191" fontId="145" fillId="7" borderId="14" xfId="0" applyNumberFormat="1" applyFont="1" applyFill="1" applyBorder="1"/>
    <xf numFmtId="10" fontId="145" fillId="7" borderId="32" xfId="0" applyNumberFormat="1" applyFont="1" applyFill="1" applyBorder="1"/>
    <xf numFmtId="190" fontId="145" fillId="7" borderId="31" xfId="0" applyNumberFormat="1" applyFont="1" applyFill="1" applyBorder="1"/>
    <xf numFmtId="190" fontId="145" fillId="7" borderId="14" xfId="0" applyNumberFormat="1" applyFont="1" applyFill="1" applyBorder="1"/>
    <xf numFmtId="10" fontId="145" fillId="7" borderId="33" xfId="0" applyNumberFormat="1" applyFont="1" applyFill="1" applyBorder="1"/>
    <xf numFmtId="10" fontId="145" fillId="7" borderId="34" xfId="0" applyNumberFormat="1" applyFont="1" applyFill="1" applyBorder="1"/>
    <xf numFmtId="0" fontId="145" fillId="7" borderId="42" xfId="0" applyFont="1" applyFill="1" applyBorder="1"/>
    <xf numFmtId="0" fontId="145" fillId="7" borderId="43" xfId="0" applyFont="1" applyFill="1" applyBorder="1"/>
    <xf numFmtId="0" fontId="39" fillId="0" borderId="19" xfId="0" applyFont="1" applyBorder="1" applyAlignment="1">
      <alignment vertical="top" wrapText="1"/>
    </xf>
    <xf numFmtId="0" fontId="39" fillId="0" borderId="92" xfId="0" applyFont="1" applyBorder="1" applyAlignment="1">
      <alignment vertical="top" wrapText="1"/>
    </xf>
    <xf numFmtId="14" fontId="41" fillId="0" borderId="19" xfId="0" applyNumberFormat="1" applyFont="1" applyBorder="1" applyAlignment="1">
      <alignment horizontal="center"/>
    </xf>
    <xf numFmtId="0" fontId="33" fillId="7" borderId="0" xfId="0" applyFont="1" applyFill="1"/>
    <xf numFmtId="0" fontId="33" fillId="7" borderId="0" xfId="0" applyFont="1" applyFill="1" applyAlignment="1">
      <alignment horizontal="center"/>
    </xf>
    <xf numFmtId="9" fontId="78" fillId="7" borderId="0" xfId="0" applyNumberFormat="1" applyFont="1" applyFill="1"/>
    <xf numFmtId="0" fontId="10" fillId="7" borderId="5" xfId="0" applyFont="1" applyFill="1" applyBorder="1"/>
    <xf numFmtId="0" fontId="39" fillId="0" borderId="3" xfId="0" applyFont="1" applyBorder="1"/>
    <xf numFmtId="0" fontId="39" fillId="0" borderId="5" xfId="0" applyFont="1" applyBorder="1"/>
    <xf numFmtId="0" fontId="39" fillId="0" borderId="8" xfId="0" applyFont="1" applyBorder="1"/>
    <xf numFmtId="0" fontId="39" fillId="0" borderId="13" xfId="0" applyFont="1" applyBorder="1"/>
    <xf numFmtId="0" fontId="146" fillId="0" borderId="0" xfId="0" applyFont="1"/>
    <xf numFmtId="0" fontId="12" fillId="0" borderId="0" xfId="0" applyFont="1" applyAlignment="1">
      <alignment wrapText="1"/>
    </xf>
    <xf numFmtId="198" fontId="101" fillId="51" borderId="4" xfId="19" applyNumberFormat="1" applyFont="1" applyFill="1" applyBorder="1" applyAlignment="1">
      <alignment horizontal="center" vertical="top" textRotation="90" wrapText="1"/>
    </xf>
    <xf numFmtId="9" fontId="0" fillId="0" borderId="0" xfId="3" applyFont="1"/>
    <xf numFmtId="44" fontId="0" fillId="0" borderId="0" xfId="2" applyFont="1"/>
    <xf numFmtId="4" fontId="80" fillId="0" borderId="0" xfId="0" applyNumberFormat="1" applyFont="1" applyProtection="1">
      <protection hidden="1"/>
    </xf>
    <xf numFmtId="1" fontId="65" fillId="8" borderId="93" xfId="19" applyNumberFormat="1" applyFont="1" applyFill="1" applyBorder="1" applyAlignment="1">
      <alignment horizontal="center" vertical="top" textRotation="90" wrapText="1"/>
    </xf>
    <xf numFmtId="0" fontId="65" fillId="41" borderId="93" xfId="19" applyFont="1" applyFill="1" applyBorder="1" applyAlignment="1">
      <alignment horizontal="center" vertical="top" textRotation="90" wrapText="1"/>
    </xf>
    <xf numFmtId="0" fontId="65" fillId="8" borderId="93" xfId="19" applyFont="1" applyFill="1" applyBorder="1" applyAlignment="1">
      <alignment horizontal="center" vertical="top" textRotation="90" wrapText="1"/>
    </xf>
    <xf numFmtId="1" fontId="65" fillId="42" borderId="93" xfId="19" applyNumberFormat="1" applyFont="1" applyFill="1" applyBorder="1" applyAlignment="1">
      <alignment horizontal="center" vertical="top" textRotation="90" wrapText="1"/>
    </xf>
    <xf numFmtId="164" fontId="65" fillId="43" borderId="93" xfId="19" applyNumberFormat="1" applyFont="1" applyFill="1" applyBorder="1" applyAlignment="1">
      <alignment horizontal="center" vertical="top" textRotation="90" wrapText="1"/>
    </xf>
    <xf numFmtId="164" fontId="65" fillId="44" borderId="93" xfId="19" applyNumberFormat="1" applyFont="1" applyFill="1" applyBorder="1" applyAlignment="1">
      <alignment horizontal="center" vertical="top" textRotation="90" wrapText="1"/>
    </xf>
    <xf numFmtId="164" fontId="65" fillId="45" borderId="95" xfId="19" applyNumberFormat="1" applyFont="1" applyFill="1" applyBorder="1" applyAlignment="1">
      <alignment horizontal="center" vertical="top" textRotation="90" wrapText="1"/>
    </xf>
    <xf numFmtId="164" fontId="65" fillId="46" borderId="93" xfId="19" applyNumberFormat="1" applyFont="1" applyFill="1" applyBorder="1" applyAlignment="1">
      <alignment horizontal="center" vertical="top" textRotation="90" wrapText="1"/>
    </xf>
    <xf numFmtId="164" fontId="65" fillId="42" borderId="95" xfId="19" applyNumberFormat="1" applyFont="1" applyFill="1" applyBorder="1" applyAlignment="1">
      <alignment horizontal="center" vertical="top" textRotation="90" wrapText="1"/>
    </xf>
    <xf numFmtId="164" fontId="65" fillId="42" borderId="93" xfId="19" applyNumberFormat="1" applyFont="1" applyFill="1" applyBorder="1" applyAlignment="1">
      <alignment horizontal="center" vertical="top" textRotation="90" wrapText="1"/>
    </xf>
    <xf numFmtId="164" fontId="75" fillId="42" borderId="93" xfId="19" applyNumberFormat="1" applyFont="1" applyFill="1" applyBorder="1" applyAlignment="1">
      <alignment horizontal="center" vertical="top" textRotation="90" wrapText="1"/>
    </xf>
    <xf numFmtId="14" fontId="65" fillId="42" borderId="93" xfId="19" applyNumberFormat="1" applyFont="1" applyFill="1" applyBorder="1" applyAlignment="1">
      <alignment horizontal="center" vertical="top" textRotation="90" wrapText="1"/>
    </xf>
    <xf numFmtId="184" fontId="65" fillId="2" borderId="96" xfId="0" applyNumberFormat="1" applyFont="1" applyFill="1" applyBorder="1" applyAlignment="1">
      <alignment horizontal="center" vertical="top" textRotation="90" wrapText="1"/>
    </xf>
    <xf numFmtId="1" fontId="65" fillId="47" borderId="97" xfId="19" applyNumberFormat="1" applyFont="1" applyFill="1" applyBorder="1" applyAlignment="1">
      <alignment horizontal="center" vertical="top" textRotation="90" wrapText="1"/>
    </xf>
    <xf numFmtId="1" fontId="65" fillId="47" borderId="93" xfId="19" applyNumberFormat="1" applyFont="1" applyFill="1" applyBorder="1" applyAlignment="1">
      <alignment horizontal="center" vertical="top" textRotation="90" wrapText="1"/>
    </xf>
    <xf numFmtId="1" fontId="65" fillId="47" borderId="1" xfId="19" applyNumberFormat="1" applyFont="1" applyFill="1" applyBorder="1" applyAlignment="1">
      <alignment horizontal="center" vertical="top" textRotation="90" wrapText="1"/>
    </xf>
    <xf numFmtId="164" fontId="65" fillId="40" borderId="93" xfId="19" applyNumberFormat="1" applyFont="1" applyFill="1" applyBorder="1" applyAlignment="1">
      <alignment horizontal="center" vertical="top" textRotation="90" wrapText="1"/>
    </xf>
    <xf numFmtId="198" fontId="65" fillId="40" borderId="98" xfId="19" applyNumberFormat="1" applyFont="1" applyFill="1" applyBorder="1" applyAlignment="1">
      <alignment horizontal="center" vertical="top" textRotation="90" wrapText="1"/>
    </xf>
    <xf numFmtId="198" fontId="65" fillId="40" borderId="4" xfId="19" applyNumberFormat="1" applyFont="1" applyFill="1" applyBorder="1" applyAlignment="1">
      <alignment horizontal="center" vertical="top" textRotation="90" wrapText="1"/>
    </xf>
    <xf numFmtId="2" fontId="65" fillId="28" borderId="99" xfId="19" applyNumberFormat="1" applyFont="1" applyFill="1" applyBorder="1" applyAlignment="1">
      <alignment horizontal="center" vertical="top" textRotation="90" wrapText="1"/>
    </xf>
    <xf numFmtId="1" fontId="65" fillId="28" borderId="99" xfId="19" applyNumberFormat="1" applyFont="1" applyFill="1" applyBorder="1" applyAlignment="1">
      <alignment horizontal="center" vertical="top" textRotation="90" wrapText="1"/>
    </xf>
    <xf numFmtId="0" fontId="65" fillId="48" borderId="100" xfId="0" applyFont="1" applyFill="1" applyBorder="1" applyAlignment="1">
      <alignment horizontal="center" wrapText="1"/>
    </xf>
    <xf numFmtId="2" fontId="0" fillId="34" borderId="20" xfId="0" applyNumberFormat="1" applyFill="1" applyBorder="1" applyAlignment="1">
      <alignment horizontal="left" vertical="top" wrapText="1"/>
    </xf>
    <xf numFmtId="10" fontId="65" fillId="8" borderId="0" xfId="19" applyNumberFormat="1" applyFont="1" applyFill="1" applyAlignment="1">
      <alignment horizontal="center" wrapText="1"/>
    </xf>
    <xf numFmtId="198" fontId="101" fillId="49" borderId="4" xfId="19" applyNumberFormat="1" applyFont="1" applyFill="1" applyBorder="1" applyAlignment="1">
      <alignment horizontal="center" vertical="top" textRotation="90" wrapText="1"/>
    </xf>
    <xf numFmtId="14" fontId="12" fillId="0" borderId="14" xfId="0" applyNumberFormat="1" applyFont="1" applyBorder="1"/>
    <xf numFmtId="0" fontId="12" fillId="0" borderId="14" xfId="0" applyFont="1" applyBorder="1"/>
    <xf numFmtId="1" fontId="12" fillId="0" borderId="14" xfId="0" applyNumberFormat="1" applyFont="1" applyBorder="1"/>
    <xf numFmtId="9" fontId="12" fillId="0" borderId="14" xfId="0" applyNumberFormat="1" applyFont="1" applyBorder="1"/>
    <xf numFmtId="9" fontId="12" fillId="6" borderId="14" xfId="0" applyNumberFormat="1" applyFont="1" applyFill="1" applyBorder="1"/>
    <xf numFmtId="168" fontId="12" fillId="0" borderId="14" xfId="0" applyNumberFormat="1" applyFont="1" applyBorder="1" applyAlignment="1">
      <alignment wrapText="1"/>
    </xf>
    <xf numFmtId="2" fontId="0" fillId="50" borderId="14" xfId="0" applyNumberFormat="1" applyFill="1" applyBorder="1" applyAlignment="1">
      <alignment wrapText="1"/>
    </xf>
    <xf numFmtId="168" fontId="12" fillId="0" borderId="14" xfId="0" applyNumberFormat="1" applyFont="1" applyBorder="1"/>
    <xf numFmtId="0" fontId="9" fillId="6" borderId="14" xfId="0" applyFont="1" applyFill="1" applyBorder="1"/>
    <xf numFmtId="2" fontId="12" fillId="0" borderId="14" xfId="0" applyNumberFormat="1" applyFont="1" applyBorder="1"/>
    <xf numFmtId="178" fontId="12" fillId="50" borderId="14" xfId="0" applyNumberFormat="1" applyFont="1" applyFill="1" applyBorder="1"/>
    <xf numFmtId="199" fontId="12" fillId="0" borderId="14" xfId="0" applyNumberFormat="1" applyFont="1" applyBorder="1"/>
    <xf numFmtId="165" fontId="12" fillId="0" borderId="14" xfId="0" applyNumberFormat="1" applyFont="1" applyBorder="1"/>
    <xf numFmtId="49" fontId="12" fillId="0" borderId="14" xfId="0" applyNumberFormat="1" applyFont="1" applyBorder="1"/>
    <xf numFmtId="10" fontId="12" fillId="0" borderId="14" xfId="0" applyNumberFormat="1" applyFont="1" applyBorder="1"/>
    <xf numFmtId="4" fontId="12" fillId="0" borderId="14" xfId="0" applyNumberFormat="1" applyFont="1" applyBorder="1"/>
    <xf numFmtId="4" fontId="12" fillId="6" borderId="14" xfId="0" applyNumberFormat="1" applyFont="1" applyFill="1" applyBorder="1"/>
    <xf numFmtId="0" fontId="12" fillId="6" borderId="14" xfId="0" applyFont="1" applyFill="1" applyBorder="1"/>
    <xf numFmtId="0" fontId="147" fillId="0" borderId="1" xfId="0" applyFont="1" applyBorder="1"/>
    <xf numFmtId="0" fontId="147" fillId="0" borderId="2" xfId="0" applyFont="1" applyBorder="1"/>
    <xf numFmtId="0" fontId="147" fillId="0" borderId="3" xfId="0" applyFont="1" applyBorder="1"/>
    <xf numFmtId="0" fontId="147" fillId="0" borderId="4" xfId="0" applyFont="1" applyBorder="1"/>
    <xf numFmtId="0" fontId="147" fillId="0" borderId="0" xfId="0" applyFont="1"/>
    <xf numFmtId="0" fontId="147" fillId="0" borderId="5" xfId="0" applyFont="1" applyBorder="1"/>
    <xf numFmtId="0" fontId="147" fillId="0" borderId="6" xfId="0" applyFont="1" applyBorder="1"/>
    <xf numFmtId="0" fontId="147" fillId="0" borderId="7" xfId="0" applyFont="1" applyBorder="1"/>
    <xf numFmtId="0" fontId="147" fillId="0" borderId="8" xfId="0" applyFont="1" applyBorder="1"/>
    <xf numFmtId="0" fontId="39" fillId="0" borderId="14" xfId="0" applyFont="1" applyBorder="1"/>
    <xf numFmtId="10" fontId="70" fillId="15" borderId="14" xfId="3" applyNumberFormat="1" applyFont="1" applyFill="1" applyBorder="1" applyAlignment="1" applyProtection="1"/>
    <xf numFmtId="164" fontId="70" fillId="14" borderId="7" xfId="0" applyNumberFormat="1" applyFont="1" applyFill="1" applyBorder="1"/>
    <xf numFmtId="44" fontId="64" fillId="15" borderId="33" xfId="2" applyFont="1" applyFill="1" applyBorder="1" applyAlignment="1" applyProtection="1">
      <alignment horizontal="center"/>
      <protection locked="0"/>
    </xf>
    <xf numFmtId="44" fontId="64" fillId="15" borderId="34" xfId="2" applyFont="1" applyFill="1" applyBorder="1" applyAlignment="1" applyProtection="1">
      <alignment horizontal="center"/>
      <protection locked="0"/>
    </xf>
    <xf numFmtId="44" fontId="64" fillId="15" borderId="35" xfId="2" applyFont="1" applyFill="1" applyBorder="1" applyAlignment="1" applyProtection="1">
      <alignment horizontal="center"/>
      <protection locked="0"/>
    </xf>
    <xf numFmtId="173" fontId="0" fillId="15" borderId="32" xfId="0" applyNumberFormat="1" applyFill="1" applyBorder="1" applyAlignment="1" applyProtection="1">
      <alignment horizontal="center"/>
      <protection locked="0"/>
    </xf>
    <xf numFmtId="173" fontId="0" fillId="15" borderId="12" xfId="0" applyNumberFormat="1" applyFill="1" applyBorder="1" applyAlignment="1" applyProtection="1">
      <alignment horizontal="center"/>
      <protection locked="0"/>
    </xf>
    <xf numFmtId="0" fontId="8" fillId="0" borderId="4" xfId="0" applyFont="1" applyBorder="1" applyAlignment="1">
      <alignment vertical="top"/>
    </xf>
    <xf numFmtId="0" fontId="8" fillId="0" borderId="19" xfId="0" applyFont="1" applyBorder="1"/>
    <xf numFmtId="0" fontId="8" fillId="0" borderId="19" xfId="0" applyFont="1" applyBorder="1" applyAlignment="1">
      <alignment vertical="top" wrapText="1"/>
    </xf>
    <xf numFmtId="10" fontId="8" fillId="0" borderId="19" xfId="0" applyNumberFormat="1" applyFont="1" applyBorder="1" applyAlignment="1">
      <alignment horizontal="left" vertical="top" wrapText="1"/>
    </xf>
    <xf numFmtId="0" fontId="8" fillId="0" borderId="21" xfId="0" applyFont="1" applyBorder="1"/>
    <xf numFmtId="0" fontId="8" fillId="0" borderId="92" xfId="0" applyFont="1" applyBorder="1" applyAlignment="1">
      <alignment vertical="top" wrapText="1"/>
    </xf>
    <xf numFmtId="10" fontId="8" fillId="0" borderId="92" xfId="0" applyNumberFormat="1" applyFont="1" applyBorder="1" applyAlignment="1">
      <alignment horizontal="left" vertical="top" wrapText="1"/>
    </xf>
    <xf numFmtId="14" fontId="8" fillId="0" borderId="1" xfId="0" applyNumberFormat="1" applyFont="1" applyBorder="1" applyAlignment="1">
      <alignment vertical="top"/>
    </xf>
    <xf numFmtId="0" fontId="8" fillId="0" borderId="1" xfId="0" applyFont="1" applyBorder="1" applyAlignment="1">
      <alignment vertical="top"/>
    </xf>
    <xf numFmtId="0" fontId="8" fillId="0" borderId="20" xfId="0" applyFont="1" applyBorder="1" applyAlignment="1">
      <alignment vertical="top" wrapText="1"/>
    </xf>
    <xf numFmtId="10" fontId="8" fillId="0" borderId="20" xfId="0" applyNumberFormat="1" applyFont="1" applyBorder="1" applyAlignment="1">
      <alignment horizontal="left" vertical="top" wrapText="1"/>
    </xf>
    <xf numFmtId="0" fontId="8" fillId="0" borderId="4" xfId="0" applyFont="1" applyBorder="1"/>
    <xf numFmtId="0" fontId="8" fillId="0" borderId="12" xfId="0" applyFont="1" applyBorder="1" applyAlignment="1">
      <alignment vertical="top"/>
    </xf>
    <xf numFmtId="0" fontId="8" fillId="0" borderId="14" xfId="0" applyFont="1" applyBorder="1" applyAlignment="1">
      <alignment vertical="top" wrapText="1"/>
    </xf>
    <xf numFmtId="10" fontId="8" fillId="0" borderId="14" xfId="0" applyNumberFormat="1" applyFont="1" applyBorder="1" applyAlignment="1">
      <alignment horizontal="left" vertical="top" wrapText="1"/>
    </xf>
    <xf numFmtId="0" fontId="8" fillId="0" borderId="6" xfId="0" applyFont="1" applyBorder="1"/>
    <xf numFmtId="0" fontId="8" fillId="0" borderId="21" xfId="0" applyFont="1" applyBorder="1" applyAlignment="1">
      <alignment vertical="top" wrapText="1"/>
    </xf>
    <xf numFmtId="10" fontId="8" fillId="0" borderId="21" xfId="0" applyNumberFormat="1" applyFont="1" applyBorder="1" applyAlignment="1">
      <alignment horizontal="left" vertical="top" wrapText="1"/>
    </xf>
    <xf numFmtId="0" fontId="8" fillId="0" borderId="0" xfId="0" applyFont="1"/>
    <xf numFmtId="14" fontId="8" fillId="0" borderId="20" xfId="0" applyNumberFormat="1" applyFont="1" applyBorder="1"/>
    <xf numFmtId="0" fontId="8" fillId="0" borderId="20" xfId="0" applyFont="1" applyBorder="1"/>
    <xf numFmtId="0" fontId="39" fillId="0" borderId="20" xfId="0" applyFont="1" applyBorder="1"/>
    <xf numFmtId="0" fontId="8" fillId="0" borderId="20" xfId="0" applyFont="1" applyBorder="1" applyAlignment="1">
      <alignment vertical="top"/>
    </xf>
    <xf numFmtId="0" fontId="8" fillId="0" borderId="14" xfId="0" applyFont="1" applyBorder="1" applyAlignment="1">
      <alignment wrapText="1"/>
    </xf>
    <xf numFmtId="0" fontId="8" fillId="0" borderId="14" xfId="0" applyFont="1" applyBorder="1" applyAlignment="1">
      <alignment vertical="top"/>
    </xf>
    <xf numFmtId="164" fontId="0" fillId="15" borderId="14" xfId="0" applyNumberFormat="1" applyFill="1" applyBorder="1" applyProtection="1">
      <protection locked="0"/>
    </xf>
    <xf numFmtId="0" fontId="80" fillId="0" borderId="18" xfId="0" applyFont="1" applyBorder="1" applyAlignment="1">
      <alignment horizontal="right"/>
    </xf>
    <xf numFmtId="14" fontId="7" fillId="0" borderId="14" xfId="0" applyNumberFormat="1" applyFont="1" applyBorder="1" applyAlignment="1">
      <alignment vertical="top" wrapText="1"/>
    </xf>
    <xf numFmtId="0" fontId="7" fillId="0" borderId="14" xfId="0" applyFont="1" applyBorder="1" applyAlignment="1">
      <alignment vertical="top"/>
    </xf>
    <xf numFmtId="0" fontId="6" fillId="0" borderId="14" xfId="0" applyFont="1" applyBorder="1" applyAlignment="1">
      <alignment horizontal="center" vertical="center"/>
    </xf>
    <xf numFmtId="0" fontId="6" fillId="0" borderId="14" xfId="0" applyFont="1" applyBorder="1" applyAlignment="1">
      <alignment horizontal="center" vertical="center" wrapText="1"/>
    </xf>
    <xf numFmtId="0" fontId="136" fillId="17" borderId="9" xfId="0" applyFont="1" applyFill="1" applyBorder="1" applyAlignment="1">
      <alignment vertical="center"/>
    </xf>
    <xf numFmtId="0" fontId="135" fillId="0" borderId="9" xfId="0" applyFont="1" applyBorder="1"/>
    <xf numFmtId="0" fontId="135" fillId="0" borderId="9" xfId="0" applyFont="1" applyBorder="1" applyAlignment="1">
      <alignment horizontal="center"/>
    </xf>
    <xf numFmtId="0" fontId="136" fillId="21" borderId="15" xfId="0" applyFont="1" applyFill="1" applyBorder="1" applyAlignment="1">
      <alignment horizontal="center"/>
    </xf>
    <xf numFmtId="0" fontId="135" fillId="0" borderId="11" xfId="0" applyFont="1" applyBorder="1" applyAlignment="1">
      <alignment horizontal="center"/>
    </xf>
    <xf numFmtId="0" fontId="135" fillId="0" borderId="68" xfId="0" applyFont="1" applyBorder="1"/>
    <xf numFmtId="178" fontId="135" fillId="0" borderId="68" xfId="3" applyNumberFormat="1" applyFont="1" applyBorder="1" applyAlignment="1">
      <alignment horizontal="center"/>
    </xf>
    <xf numFmtId="178" fontId="135" fillId="15" borderId="53" xfId="3" applyNumberFormat="1" applyFont="1" applyFill="1" applyBorder="1" applyAlignment="1">
      <alignment horizontal="center"/>
    </xf>
    <xf numFmtId="178" fontId="135" fillId="0" borderId="71" xfId="3" applyNumberFormat="1" applyFont="1" applyBorder="1" applyAlignment="1">
      <alignment horizontal="center"/>
    </xf>
    <xf numFmtId="0" fontId="135" fillId="0" borderId="69" xfId="0" applyFont="1" applyBorder="1"/>
    <xf numFmtId="178" fontId="135" fillId="0" borderId="69" xfId="3" applyNumberFormat="1" applyFont="1" applyBorder="1" applyAlignment="1">
      <alignment horizontal="center"/>
    </xf>
    <xf numFmtId="178" fontId="135" fillId="0" borderId="69" xfId="3" applyNumberFormat="1" applyFont="1" applyBorder="1" applyAlignment="1">
      <alignment horizontal="center" wrapText="1"/>
    </xf>
    <xf numFmtId="178" fontId="135" fillId="0" borderId="72" xfId="3" applyNumberFormat="1" applyFont="1" applyBorder="1" applyAlignment="1">
      <alignment horizontal="center" wrapText="1"/>
    </xf>
    <xf numFmtId="0" fontId="136" fillId="22" borderId="9" xfId="0" applyFont="1" applyFill="1" applyBorder="1"/>
    <xf numFmtId="2" fontId="135" fillId="22" borderId="9" xfId="0" applyNumberFormat="1" applyFont="1" applyFill="1" applyBorder="1" applyAlignment="1">
      <alignment horizontal="center"/>
    </xf>
    <xf numFmtId="178" fontId="136" fillId="16" borderId="15" xfId="3" applyNumberFormat="1" applyFont="1" applyFill="1" applyBorder="1" applyAlignment="1">
      <alignment horizontal="center"/>
    </xf>
    <xf numFmtId="0" fontId="135" fillId="22" borderId="40" xfId="0" applyFont="1" applyFill="1" applyBorder="1" applyAlignment="1">
      <alignment horizontal="center"/>
    </xf>
    <xf numFmtId="0" fontId="136" fillId="0" borderId="30" xfId="0" applyFont="1" applyBorder="1"/>
    <xf numFmtId="0" fontId="135" fillId="0" borderId="30" xfId="0" applyFont="1" applyBorder="1" applyAlignment="1">
      <alignment horizontal="center"/>
    </xf>
    <xf numFmtId="10" fontId="135" fillId="15" borderId="57" xfId="0" applyNumberFormat="1" applyFont="1" applyFill="1" applyBorder="1" applyAlignment="1">
      <alignment horizontal="center"/>
    </xf>
    <xf numFmtId="0" fontId="135" fillId="6" borderId="37" xfId="0" applyFont="1" applyFill="1" applyBorder="1" applyAlignment="1">
      <alignment horizontal="center"/>
    </xf>
    <xf numFmtId="0" fontId="135" fillId="6" borderId="55" xfId="0" applyFont="1" applyFill="1" applyBorder="1" applyAlignment="1">
      <alignment horizontal="center"/>
    </xf>
    <xf numFmtId="0" fontId="136" fillId="0" borderId="9" xfId="0" applyFont="1" applyBorder="1"/>
    <xf numFmtId="10" fontId="135" fillId="15" borderId="15" xfId="0" applyNumberFormat="1" applyFont="1" applyFill="1" applyBorder="1" applyAlignment="1">
      <alignment horizontal="center"/>
    </xf>
    <xf numFmtId="178" fontId="135" fillId="16" borderId="15" xfId="0" applyNumberFormat="1" applyFont="1" applyFill="1" applyBorder="1" applyAlignment="1">
      <alignment horizontal="center"/>
    </xf>
    <xf numFmtId="0" fontId="135" fillId="6" borderId="70" xfId="0" applyFont="1" applyFill="1" applyBorder="1"/>
    <xf numFmtId="0" fontId="136" fillId="0" borderId="1" xfId="0" applyFont="1" applyBorder="1"/>
    <xf numFmtId="0" fontId="135" fillId="0" borderId="2" xfId="0" applyFont="1" applyBorder="1"/>
    <xf numFmtId="0" fontId="135" fillId="0" borderId="3" xfId="0" applyFont="1" applyBorder="1"/>
    <xf numFmtId="0" fontId="135" fillId="0" borderId="4" xfId="0" applyFont="1" applyBorder="1"/>
    <xf numFmtId="0" fontId="135" fillId="0" borderId="0" xfId="0" applyFont="1"/>
    <xf numFmtId="0" fontId="135" fillId="14" borderId="14" xfId="0" applyFont="1" applyFill="1" applyBorder="1" applyAlignment="1">
      <alignment horizontal="center"/>
    </xf>
    <xf numFmtId="0" fontId="135" fillId="0" borderId="5" xfId="0" applyFont="1" applyBorder="1"/>
    <xf numFmtId="0" fontId="135" fillId="32" borderId="12" xfId="0" applyFont="1" applyFill="1" applyBorder="1"/>
    <xf numFmtId="0" fontId="135" fillId="32" borderId="18" xfId="0" applyFont="1" applyFill="1" applyBorder="1"/>
    <xf numFmtId="0" fontId="135" fillId="32" borderId="13" xfId="0" applyFont="1" applyFill="1" applyBorder="1"/>
    <xf numFmtId="164" fontId="135" fillId="14" borderId="14" xfId="0" applyNumberFormat="1" applyFont="1" applyFill="1" applyBorder="1"/>
    <xf numFmtId="0" fontId="135" fillId="0" borderId="6" xfId="0" applyFont="1" applyBorder="1"/>
    <xf numFmtId="0" fontId="135" fillId="0" borderId="7" xfId="0" applyFont="1" applyBorder="1"/>
    <xf numFmtId="0" fontId="135" fillId="0" borderId="8" xfId="0" applyFont="1" applyBorder="1"/>
    <xf numFmtId="0" fontId="136" fillId="0" borderId="0" xfId="0" applyFont="1"/>
    <xf numFmtId="0" fontId="135" fillId="0" borderId="0" xfId="0" applyFont="1" applyAlignment="1">
      <alignment horizontal="center"/>
    </xf>
    <xf numFmtId="0" fontId="135" fillId="0" borderId="30" xfId="0" applyFont="1" applyBorder="1"/>
    <xf numFmtId="164" fontId="136" fillId="8" borderId="0" xfId="0" applyNumberFormat="1" applyFont="1" applyFill="1"/>
    <xf numFmtId="0" fontId="135" fillId="0" borderId="29" xfId="0" applyFont="1" applyBorder="1"/>
    <xf numFmtId="3" fontId="135" fillId="0" borderId="0" xfId="0" applyNumberFormat="1" applyFont="1"/>
    <xf numFmtId="164" fontId="135" fillId="0" borderId="0" xfId="0" applyNumberFormat="1" applyFont="1"/>
    <xf numFmtId="183" fontId="135" fillId="16" borderId="29" xfId="0" applyNumberFormat="1" applyFont="1" applyFill="1" applyBorder="1" applyAlignment="1">
      <alignment horizontal="left"/>
    </xf>
    <xf numFmtId="164" fontId="136" fillId="28" borderId="0" xfId="0" applyNumberFormat="1" applyFont="1" applyFill="1"/>
    <xf numFmtId="184" fontId="135" fillId="0" borderId="29" xfId="0" applyNumberFormat="1" applyFont="1" applyBorder="1" applyAlignment="1">
      <alignment horizontal="left"/>
    </xf>
    <xf numFmtId="10" fontId="135" fillId="14" borderId="29" xfId="0" applyNumberFormat="1" applyFont="1" applyFill="1" applyBorder="1" applyAlignment="1">
      <alignment horizontal="left"/>
    </xf>
    <xf numFmtId="0" fontId="136" fillId="0" borderId="30" xfId="0" applyFont="1" applyBorder="1" applyAlignment="1">
      <alignment vertical="center"/>
    </xf>
    <xf numFmtId="164" fontId="136" fillId="28" borderId="0" xfId="0" applyNumberFormat="1" applyFont="1" applyFill="1" applyAlignment="1">
      <alignment vertical="center"/>
    </xf>
    <xf numFmtId="184" fontId="135" fillId="0" borderId="29" xfId="0" applyNumberFormat="1" applyFont="1" applyBorder="1" applyAlignment="1">
      <alignment horizontal="left" vertical="center" wrapText="1"/>
    </xf>
    <xf numFmtId="164" fontId="136" fillId="0" borderId="29" xfId="0" applyNumberFormat="1" applyFont="1" applyBorder="1"/>
    <xf numFmtId="0" fontId="136" fillId="0" borderId="41" xfId="0" applyFont="1" applyBorder="1"/>
    <xf numFmtId="164" fontId="136" fillId="22" borderId="42" xfId="0" applyNumberFormat="1" applyFont="1" applyFill="1" applyBorder="1"/>
    <xf numFmtId="185" fontId="136" fillId="6" borderId="43" xfId="0" applyNumberFormat="1" applyFont="1" applyFill="1" applyBorder="1" applyAlignment="1">
      <alignment horizontal="center" vertical="center"/>
    </xf>
    <xf numFmtId="0" fontId="135" fillId="0" borderId="9" xfId="0" applyFont="1" applyBorder="1" applyAlignment="1">
      <alignment wrapText="1"/>
    </xf>
    <xf numFmtId="164" fontId="148" fillId="0" borderId="10" xfId="0" applyNumberFormat="1" applyFont="1" applyBorder="1" applyAlignment="1">
      <alignment vertical="center"/>
    </xf>
    <xf numFmtId="185" fontId="149" fillId="8" borderId="11" xfId="0" applyNumberFormat="1" applyFont="1" applyFill="1" applyBorder="1" applyAlignment="1">
      <alignment horizontal="center" vertical="center"/>
    </xf>
    <xf numFmtId="0" fontId="135" fillId="14" borderId="0" xfId="0" applyFont="1" applyFill="1" applyAlignment="1">
      <alignment horizontal="center" vertical="center"/>
    </xf>
    <xf numFmtId="164" fontId="135" fillId="14" borderId="0" xfId="0" applyNumberFormat="1" applyFont="1" applyFill="1" applyAlignment="1">
      <alignment vertical="center"/>
    </xf>
    <xf numFmtId="0" fontId="135" fillId="0" borderId="0" xfId="0" applyFont="1" applyAlignment="1">
      <alignment horizontal="center" vertical="center"/>
    </xf>
    <xf numFmtId="10" fontId="6" fillId="15" borderId="14" xfId="3" applyNumberFormat="1" applyFont="1" applyFill="1" applyBorder="1"/>
    <xf numFmtId="10" fontId="6" fillId="15" borderId="14" xfId="3" applyNumberFormat="1" applyFont="1" applyFill="1" applyBorder="1" applyAlignment="1" applyProtection="1"/>
    <xf numFmtId="10" fontId="6" fillId="15" borderId="14" xfId="3" applyNumberFormat="1" applyFont="1" applyFill="1" applyBorder="1" applyAlignment="1" applyProtection="1">
      <alignment wrapText="1"/>
    </xf>
    <xf numFmtId="0" fontId="8" fillId="0" borderId="0" xfId="0" applyFont="1" applyAlignment="1">
      <alignment horizontal="left" vertical="top"/>
    </xf>
    <xf numFmtId="9" fontId="135" fillId="6" borderId="1" xfId="0" applyNumberFormat="1" applyFont="1" applyFill="1" applyBorder="1" applyAlignment="1">
      <alignment horizontal="center"/>
    </xf>
    <xf numFmtId="9" fontId="135" fillId="6" borderId="2" xfId="0" applyNumberFormat="1" applyFont="1" applyFill="1" applyBorder="1" applyAlignment="1">
      <alignment horizontal="center"/>
    </xf>
    <xf numFmtId="9" fontId="135" fillId="14" borderId="14" xfId="0" applyNumberFormat="1" applyFont="1" applyFill="1" applyBorder="1" applyAlignment="1">
      <alignment horizontal="center"/>
    </xf>
    <xf numFmtId="9" fontId="135" fillId="14" borderId="14" xfId="0" applyNumberFormat="1" applyFont="1" applyFill="1" applyBorder="1" applyAlignment="1">
      <alignment horizontal="center" wrapText="1"/>
    </xf>
    <xf numFmtId="0" fontId="135" fillId="7" borderId="14" xfId="0" applyFont="1" applyFill="1" applyBorder="1"/>
    <xf numFmtId="9" fontId="135" fillId="7" borderId="14" xfId="0" applyNumberFormat="1" applyFont="1" applyFill="1" applyBorder="1"/>
    <xf numFmtId="10" fontId="135" fillId="15" borderId="14" xfId="0" applyNumberFormat="1" applyFont="1" applyFill="1" applyBorder="1"/>
    <xf numFmtId="0" fontId="135" fillId="0" borderId="14" xfId="0" applyFont="1" applyBorder="1"/>
    <xf numFmtId="10" fontId="135" fillId="15" borderId="14" xfId="3" applyNumberFormat="1" applyFont="1" applyFill="1" applyBorder="1"/>
    <xf numFmtId="9" fontId="135" fillId="15" borderId="14" xfId="3" applyFont="1" applyFill="1" applyBorder="1"/>
    <xf numFmtId="9" fontId="135" fillId="7" borderId="14" xfId="0" applyNumberFormat="1" applyFont="1" applyFill="1" applyBorder="1" applyAlignment="1">
      <alignment wrapText="1"/>
    </xf>
    <xf numFmtId="0" fontId="6" fillId="0" borderId="8" xfId="0" applyFont="1" applyBorder="1"/>
    <xf numFmtId="14" fontId="8" fillId="0" borderId="1" xfId="0" applyNumberFormat="1" applyFont="1" applyBorder="1" applyAlignment="1">
      <alignment horizontal="left" vertical="top"/>
    </xf>
    <xf numFmtId="0" fontId="8" fillId="0" borderId="4" xfId="0" applyFont="1" applyBorder="1" applyAlignment="1">
      <alignment horizontal="left" vertical="top"/>
    </xf>
    <xf numFmtId="0" fontId="8" fillId="0" borderId="6" xfId="0" applyFont="1" applyBorder="1" applyAlignment="1">
      <alignment horizontal="left" vertical="top"/>
    </xf>
    <xf numFmtId="0" fontId="6" fillId="0" borderId="20" xfId="0" applyFont="1" applyBorder="1" applyAlignment="1">
      <alignment horizontal="left" vertical="top"/>
    </xf>
    <xf numFmtId="0" fontId="6" fillId="0" borderId="19" xfId="0" applyFont="1" applyBorder="1" applyAlignment="1">
      <alignment horizontal="left" vertical="top"/>
    </xf>
    <xf numFmtId="0" fontId="8" fillId="0" borderId="19" xfId="0" applyFont="1" applyBorder="1" applyAlignment="1">
      <alignment horizontal="left" vertical="top"/>
    </xf>
    <xf numFmtId="0" fontId="6" fillId="0" borderId="20" xfId="0" applyFont="1" applyBorder="1" applyAlignment="1">
      <alignment horizontal="left" vertical="top" wrapText="1"/>
    </xf>
    <xf numFmtId="0" fontId="6" fillId="0" borderId="19" xfId="0" applyFont="1" applyBorder="1" applyAlignment="1">
      <alignment wrapText="1"/>
    </xf>
    <xf numFmtId="0" fontId="6" fillId="0" borderId="19" xfId="0" applyFont="1" applyBorder="1" applyAlignment="1">
      <alignment horizontal="left" vertical="top" wrapText="1"/>
    </xf>
    <xf numFmtId="0" fontId="6" fillId="6" borderId="14" xfId="0" applyFont="1" applyFill="1" applyBorder="1" applyAlignment="1">
      <alignment vertical="top"/>
    </xf>
    <xf numFmtId="0" fontId="7" fillId="0" borderId="20" xfId="0" applyFont="1" applyBorder="1" applyAlignment="1">
      <alignment vertical="top" wrapText="1"/>
    </xf>
    <xf numFmtId="0" fontId="6" fillId="0" borderId="21" xfId="0" applyFont="1" applyBorder="1" applyAlignment="1">
      <alignment horizontal="left" vertical="top"/>
    </xf>
    <xf numFmtId="0" fontId="6" fillId="0" borderId="19" xfId="0" applyFont="1" applyBorder="1" applyAlignment="1">
      <alignment vertical="top"/>
    </xf>
    <xf numFmtId="0" fontId="135" fillId="0" borderId="14" xfId="0" applyFont="1" applyBorder="1" applyAlignment="1">
      <alignment horizontal="center" vertical="center" wrapText="1"/>
    </xf>
    <xf numFmtId="0" fontId="5" fillId="0" borderId="2" xfId="0" applyFont="1" applyBorder="1" applyAlignment="1">
      <alignment horizontal="left" vertical="top"/>
    </xf>
    <xf numFmtId="0" fontId="4" fillId="0" borderId="21" xfId="0" applyFont="1" applyBorder="1" applyAlignment="1">
      <alignment horizontal="left" vertical="top"/>
    </xf>
    <xf numFmtId="0" fontId="5" fillId="0" borderId="20" xfId="0" applyFont="1" applyBorder="1" applyAlignment="1">
      <alignment horizontal="left" vertical="top" wrapText="1"/>
    </xf>
    <xf numFmtId="0" fontId="4" fillId="0" borderId="21" xfId="0" applyFont="1" applyBorder="1" applyAlignment="1">
      <alignment horizontal="left" vertical="top" wrapText="1"/>
    </xf>
    <xf numFmtId="0" fontId="63" fillId="6" borderId="4" xfId="0" applyFont="1" applyFill="1" applyBorder="1"/>
    <xf numFmtId="0" fontId="59" fillId="0" borderId="14" xfId="0" applyFont="1" applyBorder="1" applyAlignment="1">
      <alignment horizontal="center" vertical="center" wrapText="1"/>
    </xf>
    <xf numFmtId="0" fontId="59" fillId="0" borderId="14" xfId="0" applyFont="1" applyBorder="1" applyAlignment="1">
      <alignment vertical="center" wrapText="1"/>
    </xf>
    <xf numFmtId="0" fontId="59" fillId="0" borderId="14" xfId="0" applyFont="1" applyBorder="1" applyAlignment="1">
      <alignment horizontal="left" vertical="center" wrapText="1"/>
    </xf>
    <xf numFmtId="9" fontId="59" fillId="0" borderId="14" xfId="0" applyNumberFormat="1" applyFont="1" applyBorder="1" applyAlignment="1">
      <alignment horizontal="center" vertical="center" wrapText="1"/>
    </xf>
    <xf numFmtId="0" fontId="154" fillId="8" borderId="0" xfId="1" applyFont="1" applyFill="1" applyAlignment="1" applyProtection="1">
      <alignment textRotation="255" wrapText="1" shrinkToFit="1"/>
    </xf>
    <xf numFmtId="0" fontId="154" fillId="8" borderId="0" xfId="1" applyFont="1" applyFill="1" applyAlignment="1" applyProtection="1">
      <alignment horizontal="center" vertical="center" textRotation="255"/>
    </xf>
    <xf numFmtId="0" fontId="70" fillId="6" borderId="0" xfId="0" applyFont="1" applyFill="1" applyAlignment="1">
      <alignment wrapText="1"/>
    </xf>
    <xf numFmtId="0" fontId="70" fillId="6" borderId="0" xfId="0" applyFont="1" applyFill="1" applyAlignment="1">
      <alignment wrapText="1" shrinkToFit="1"/>
    </xf>
    <xf numFmtId="0" fontId="63" fillId="6" borderId="0" xfId="0" applyFont="1" applyFill="1" applyAlignment="1">
      <alignment horizontal="left" vertical="top" wrapText="1"/>
    </xf>
    <xf numFmtId="0" fontId="0" fillId="0" borderId="0" xfId="0" applyAlignment="1">
      <alignment horizontal="left"/>
    </xf>
    <xf numFmtId="0" fontId="83" fillId="0" borderId="0" xfId="0" applyFont="1" applyAlignment="1">
      <alignment horizontal="left" vertical="top" wrapText="1"/>
    </xf>
    <xf numFmtId="0" fontId="152" fillId="0" borderId="0" xfId="0" applyFont="1" applyAlignment="1">
      <alignment vertical="center"/>
    </xf>
    <xf numFmtId="0" fontId="83" fillId="0" borderId="0" xfId="0" applyFont="1" applyAlignment="1">
      <alignment vertical="top" wrapText="1"/>
    </xf>
    <xf numFmtId="0" fontId="61" fillId="0" borderId="0" xfId="0" applyFont="1" applyAlignment="1">
      <alignment vertical="top" wrapText="1"/>
    </xf>
    <xf numFmtId="0" fontId="0" fillId="0" borderId="0" xfId="0" applyAlignment="1">
      <alignment vertical="top"/>
    </xf>
    <xf numFmtId="0" fontId="59" fillId="0" borderId="0" xfId="0" applyFont="1" applyAlignment="1">
      <alignment vertical="center" wrapText="1"/>
    </xf>
    <xf numFmtId="0" fontId="70" fillId="15" borderId="7" xfId="0" applyFont="1" applyFill="1" applyBorder="1" applyProtection="1">
      <protection locked="0"/>
    </xf>
    <xf numFmtId="191" fontId="0" fillId="14" borderId="14" xfId="3" applyNumberFormat="1" applyFont="1" applyFill="1" applyBorder="1" applyAlignment="1">
      <alignment wrapText="1"/>
    </xf>
    <xf numFmtId="2" fontId="0" fillId="14" borderId="14" xfId="3" applyNumberFormat="1" applyFont="1" applyFill="1" applyBorder="1" applyAlignment="1">
      <alignment wrapText="1"/>
    </xf>
    <xf numFmtId="4" fontId="0" fillId="14" borderId="14" xfId="3" applyNumberFormat="1" applyFont="1" applyFill="1" applyBorder="1" applyAlignment="1">
      <alignment wrapText="1"/>
    </xf>
    <xf numFmtId="2" fontId="0" fillId="53" borderId="0" xfId="0" applyNumberFormat="1" applyFill="1" applyAlignment="1">
      <alignment wrapText="1"/>
    </xf>
    <xf numFmtId="0" fontId="71" fillId="53" borderId="0" xfId="0" applyFont="1" applyFill="1" applyAlignment="1">
      <alignment wrapText="1"/>
    </xf>
    <xf numFmtId="10" fontId="65" fillId="14" borderId="97" xfId="19" applyNumberFormat="1" applyFont="1" applyFill="1" applyBorder="1" applyAlignment="1">
      <alignment horizontal="center" wrapText="1"/>
    </xf>
    <xf numFmtId="10" fontId="65" fillId="14" borderId="94" xfId="19" applyNumberFormat="1" applyFont="1" applyFill="1" applyBorder="1" applyAlignment="1">
      <alignment horizontal="center" wrapText="1"/>
    </xf>
    <xf numFmtId="10" fontId="65" fillId="14" borderId="101" xfId="19" applyNumberFormat="1" applyFont="1" applyFill="1" applyBorder="1" applyAlignment="1">
      <alignment horizontal="center" wrapText="1"/>
    </xf>
    <xf numFmtId="10" fontId="65" fillId="14" borderId="102" xfId="19" applyNumberFormat="1" applyFont="1" applyFill="1" applyBorder="1" applyAlignment="1">
      <alignment horizontal="center" wrapText="1"/>
    </xf>
    <xf numFmtId="168" fontId="12" fillId="14" borderId="14" xfId="0" applyNumberFormat="1" applyFont="1" applyFill="1" applyBorder="1"/>
    <xf numFmtId="168" fontId="9" fillId="14" borderId="14" xfId="0" applyNumberFormat="1" applyFont="1" applyFill="1" applyBorder="1"/>
    <xf numFmtId="199" fontId="12" fillId="14" borderId="14" xfId="0" applyNumberFormat="1" applyFont="1" applyFill="1" applyBorder="1"/>
    <xf numFmtId="178" fontId="9" fillId="14" borderId="14" xfId="0" applyNumberFormat="1" applyFont="1" applyFill="1" applyBorder="1"/>
    <xf numFmtId="10" fontId="144" fillId="14" borderId="94" xfId="19" applyNumberFormat="1" applyFont="1" applyFill="1" applyBorder="1" applyAlignment="1">
      <alignment horizontal="center" vertical="top" textRotation="90" wrapText="1"/>
    </xf>
    <xf numFmtId="10" fontId="144" fillId="14" borderId="93" xfId="19" applyNumberFormat="1" applyFont="1" applyFill="1" applyBorder="1" applyAlignment="1">
      <alignment horizontal="center" vertical="top" textRotation="90" wrapText="1"/>
    </xf>
    <xf numFmtId="164" fontId="144" fillId="14" borderId="93" xfId="19" applyNumberFormat="1" applyFont="1" applyFill="1" applyBorder="1" applyAlignment="1">
      <alignment horizontal="center" vertical="top" textRotation="90" wrapText="1"/>
    </xf>
    <xf numFmtId="178" fontId="12" fillId="0" borderId="14" xfId="0" applyNumberFormat="1" applyFont="1" applyBorder="1"/>
    <xf numFmtId="0" fontId="71" fillId="0" borderId="0" xfId="0" applyFont="1" applyAlignment="1">
      <alignment wrapText="1"/>
    </xf>
    <xf numFmtId="199" fontId="70" fillId="0" borderId="14" xfId="0" applyNumberFormat="1" applyFont="1" applyBorder="1"/>
    <xf numFmtId="10" fontId="3" fillId="0" borderId="14" xfId="3" applyNumberFormat="1" applyFont="1" applyBorder="1"/>
    <xf numFmtId="10" fontId="3" fillId="0" borderId="14" xfId="0" applyNumberFormat="1" applyFont="1" applyBorder="1"/>
    <xf numFmtId="0" fontId="3" fillId="0" borderId="14" xfId="0" applyFont="1" applyBorder="1"/>
    <xf numFmtId="0" fontId="70" fillId="0" borderId="0" xfId="0" applyFont="1" applyAlignment="1">
      <alignment wrapText="1"/>
    </xf>
    <xf numFmtId="2" fontId="70" fillId="53" borderId="0" xfId="0" applyNumberFormat="1" applyFont="1" applyFill="1" applyAlignment="1">
      <alignment wrapText="1"/>
    </xf>
    <xf numFmtId="0" fontId="8" fillId="0" borderId="7" xfId="0" applyFont="1" applyBorder="1" applyAlignment="1">
      <alignment horizontal="left" vertical="top"/>
    </xf>
    <xf numFmtId="0" fontId="14" fillId="0" borderId="21" xfId="0" applyFont="1" applyBorder="1" applyAlignment="1">
      <alignment vertical="top" wrapText="1"/>
    </xf>
    <xf numFmtId="0" fontId="3" fillId="0" borderId="21" xfId="0" applyFont="1" applyBorder="1" applyAlignment="1">
      <alignment vertical="top" wrapText="1"/>
    </xf>
    <xf numFmtId="0" fontId="2" fillId="0" borderId="88" xfId="0" applyFont="1" applyBorder="1" applyAlignment="1">
      <alignment vertical="top" wrapText="1"/>
    </xf>
    <xf numFmtId="0" fontId="0" fillId="0" borderId="0" xfId="0" applyAlignment="1">
      <alignment wrapText="1"/>
    </xf>
    <xf numFmtId="0" fontId="0" fillId="0" borderId="0" xfId="0"/>
    <xf numFmtId="0" fontId="63" fillId="6" borderId="0" xfId="1" applyFont="1" applyFill="1" applyBorder="1" applyAlignment="1" applyProtection="1">
      <alignment horizontal="left" vertical="top" wrapText="1"/>
    </xf>
    <xf numFmtId="0" fontId="63" fillId="0" borderId="0" xfId="1" applyFont="1" applyBorder="1" applyAlignment="1" applyProtection="1">
      <alignment horizontal="left"/>
    </xf>
    <xf numFmtId="0" fontId="0" fillId="0" borderId="14" xfId="0" applyBorder="1" applyAlignment="1">
      <alignment vertical="center" wrapText="1"/>
    </xf>
    <xf numFmtId="0" fontId="0" fillId="0" borderId="14" xfId="0" applyBorder="1"/>
    <xf numFmtId="0" fontId="0" fillId="0" borderId="0" xfId="0" applyAlignment="1">
      <alignment vertical="top" wrapText="1"/>
    </xf>
    <xf numFmtId="0" fontId="0" fillId="0" borderId="0" xfId="0" applyAlignment="1">
      <alignment vertical="top"/>
    </xf>
    <xf numFmtId="0" fontId="59" fillId="0" borderId="14" xfId="0" applyFont="1" applyBorder="1" applyAlignment="1">
      <alignment vertical="center" wrapText="1"/>
    </xf>
    <xf numFmtId="0" fontId="59" fillId="52" borderId="14" xfId="0" applyFont="1" applyFill="1" applyBorder="1" applyAlignment="1">
      <alignment vertical="center" wrapText="1"/>
    </xf>
    <xf numFmtId="0" fontId="0" fillId="0" borderId="0" xfId="0" applyAlignment="1">
      <alignment horizontal="left" vertical="top" wrapText="1"/>
    </xf>
    <xf numFmtId="0" fontId="0" fillId="0" borderId="0" xfId="0" applyAlignment="1">
      <alignment horizontal="left" vertical="top"/>
    </xf>
    <xf numFmtId="0" fontId="152" fillId="0" borderId="0" xfId="0" applyFont="1" applyAlignment="1">
      <alignment horizontal="left" vertical="top" wrapText="1"/>
    </xf>
    <xf numFmtId="0" fontId="154" fillId="8" borderId="0" xfId="1" applyFont="1" applyFill="1" applyBorder="1" applyAlignment="1" applyProtection="1">
      <alignment horizontal="center" vertical="center" textRotation="255" wrapText="1" shrinkToFit="1"/>
    </xf>
    <xf numFmtId="0" fontId="154" fillId="8" borderId="0" xfId="1" applyFont="1" applyFill="1" applyBorder="1" applyAlignment="1" applyProtection="1">
      <alignment horizontal="center" vertical="center" textRotation="255"/>
    </xf>
    <xf numFmtId="0" fontId="154" fillId="0" borderId="0" xfId="1" applyFont="1" applyBorder="1" applyAlignment="1" applyProtection="1">
      <alignment horizontal="center" vertical="center" textRotation="255"/>
    </xf>
    <xf numFmtId="0" fontId="61" fillId="0" borderId="0" xfId="0" applyFont="1" applyAlignment="1">
      <alignment horizontal="left" vertical="top" wrapText="1"/>
    </xf>
    <xf numFmtId="0" fontId="152" fillId="0" borderId="0" xfId="0" applyFont="1" applyAlignment="1">
      <alignment vertical="center" wrapText="1"/>
    </xf>
    <xf numFmtId="0" fontId="152" fillId="0" borderId="0" xfId="0" applyFont="1" applyAlignment="1">
      <alignment vertical="top" wrapText="1"/>
    </xf>
    <xf numFmtId="0" fontId="61" fillId="0" borderId="0" xfId="0" applyFont="1" applyAlignment="1">
      <alignment vertical="top" wrapText="1"/>
    </xf>
    <xf numFmtId="0" fontId="63" fillId="0" borderId="0" xfId="0" applyFont="1" applyAlignment="1">
      <alignment horizontal="left" vertical="top" wrapText="1"/>
    </xf>
    <xf numFmtId="0" fontId="154" fillId="8" borderId="0" xfId="1" applyFont="1" applyFill="1" applyBorder="1" applyAlignment="1" applyProtection="1">
      <alignment vertical="center" textRotation="255" wrapText="1"/>
    </xf>
    <xf numFmtId="0" fontId="151" fillId="15" borderId="14" xfId="0" applyFont="1" applyFill="1" applyBorder="1" applyAlignment="1">
      <alignment vertical="center" wrapText="1"/>
    </xf>
    <xf numFmtId="0" fontId="0" fillId="15" borderId="14" xfId="0" applyFill="1" applyBorder="1"/>
    <xf numFmtId="0" fontId="63" fillId="6" borderId="0" xfId="0" applyFont="1" applyFill="1" applyAlignment="1">
      <alignment horizontal="left" vertical="top" wrapText="1"/>
    </xf>
    <xf numFmtId="0" fontId="63" fillId="0" borderId="0" xfId="0" applyFont="1" applyAlignment="1">
      <alignment horizontal="left"/>
    </xf>
    <xf numFmtId="0" fontId="0" fillId="0" borderId="0" xfId="0" applyAlignment="1">
      <alignment horizontal="left"/>
    </xf>
    <xf numFmtId="0" fontId="62" fillId="6" borderId="0" xfId="0" applyFont="1" applyFill="1" applyAlignment="1">
      <alignment horizontal="left" vertical="top" wrapText="1"/>
    </xf>
    <xf numFmtId="0" fontId="132" fillId="31" borderId="0" xfId="18" applyFont="1" applyFill="1" applyAlignment="1">
      <alignment horizontal="center" vertical="center" wrapText="1"/>
    </xf>
    <xf numFmtId="0" fontId="0" fillId="0" borderId="0" xfId="0" applyAlignment="1">
      <alignment vertical="center" wrapText="1"/>
    </xf>
    <xf numFmtId="14" fontId="41" fillId="0" borderId="20" xfId="0" applyNumberFormat="1" applyFont="1" applyBorder="1" applyAlignment="1">
      <alignment horizontal="center" vertical="top" wrapText="1"/>
    </xf>
    <xf numFmtId="14" fontId="41" fillId="0" borderId="19" xfId="0" applyNumberFormat="1" applyFont="1" applyBorder="1" applyAlignment="1">
      <alignment horizontal="center" vertical="top" wrapText="1"/>
    </xf>
    <xf numFmtId="14" fontId="41" fillId="0" borderId="21" xfId="0" applyNumberFormat="1" applyFont="1" applyBorder="1" applyAlignment="1">
      <alignment horizontal="center" vertical="top" wrapText="1"/>
    </xf>
    <xf numFmtId="0" fontId="12" fillId="0" borderId="2" xfId="0" applyFont="1" applyBorder="1" applyAlignment="1">
      <alignment horizontal="center" wrapText="1"/>
    </xf>
    <xf numFmtId="0" fontId="136" fillId="28" borderId="39" xfId="0" applyFont="1" applyFill="1" applyBorder="1" applyAlignment="1">
      <alignment wrapText="1"/>
    </xf>
    <xf numFmtId="0" fontId="136" fillId="28" borderId="38" xfId="0" applyFont="1" applyFill="1" applyBorder="1" applyAlignment="1">
      <alignment wrapText="1"/>
    </xf>
    <xf numFmtId="0" fontId="136" fillId="28" borderId="40" xfId="0" applyFont="1" applyFill="1" applyBorder="1" applyAlignment="1">
      <alignment wrapText="1"/>
    </xf>
    <xf numFmtId="0" fontId="65" fillId="14" borderId="49" xfId="0" applyFont="1" applyFill="1" applyBorder="1" applyAlignment="1">
      <alignment horizontal="center" wrapText="1"/>
    </xf>
    <xf numFmtId="0" fontId="65" fillId="14" borderId="44" xfId="0" applyFont="1" applyFill="1" applyBorder="1" applyAlignment="1">
      <alignment horizontal="center" wrapText="1"/>
    </xf>
    <xf numFmtId="0" fontId="65" fillId="14" borderId="45" xfId="0" applyFont="1" applyFill="1" applyBorder="1" applyAlignment="1">
      <alignment horizontal="center" wrapText="1"/>
    </xf>
    <xf numFmtId="0" fontId="135" fillId="6" borderId="9" xfId="0" applyFont="1" applyFill="1" applyBorder="1" applyAlignment="1">
      <alignment horizontal="left"/>
    </xf>
    <xf numFmtId="0" fontId="135" fillId="6" borderId="11" xfId="0" applyFont="1" applyFill="1" applyBorder="1" applyAlignment="1">
      <alignment horizontal="left"/>
    </xf>
    <xf numFmtId="0" fontId="136" fillId="8" borderId="9" xfId="0" applyFont="1" applyFill="1" applyBorder="1" applyAlignment="1">
      <alignment horizontal="center" vertical="center" wrapText="1"/>
    </xf>
    <xf numFmtId="0" fontId="136" fillId="8" borderId="10" xfId="0" applyFont="1" applyFill="1" applyBorder="1" applyAlignment="1">
      <alignment horizontal="center" vertical="center" wrapText="1"/>
    </xf>
    <xf numFmtId="0" fontId="136" fillId="8" borderId="11" xfId="0" applyFont="1" applyFill="1" applyBorder="1" applyAlignment="1">
      <alignment horizontal="center" vertical="center" wrapText="1"/>
    </xf>
    <xf numFmtId="0" fontId="33" fillId="0" borderId="12" xfId="0" applyFont="1" applyBorder="1" applyAlignment="1">
      <alignment horizontal="center" vertical="center"/>
    </xf>
    <xf numFmtId="0" fontId="33" fillId="0" borderId="18" xfId="0" applyFont="1" applyBorder="1" applyAlignment="1">
      <alignment horizontal="center" vertical="center"/>
    </xf>
    <xf numFmtId="0" fontId="33" fillId="0" borderId="13" xfId="0" applyFont="1" applyBorder="1" applyAlignment="1">
      <alignment horizontal="center" vertical="center"/>
    </xf>
    <xf numFmtId="0" fontId="135" fillId="14" borderId="12" xfId="0" applyFont="1" applyFill="1" applyBorder="1" applyAlignment="1">
      <alignment horizontal="center" wrapText="1"/>
    </xf>
    <xf numFmtId="0" fontId="135" fillId="14" borderId="13" xfId="0" applyFont="1" applyFill="1" applyBorder="1" applyAlignment="1">
      <alignment horizontal="center" wrapText="1"/>
    </xf>
    <xf numFmtId="0" fontId="135" fillId="14" borderId="12" xfId="0" applyFont="1" applyFill="1" applyBorder="1" applyAlignment="1">
      <alignment horizontal="center"/>
    </xf>
    <xf numFmtId="0" fontId="135" fillId="14" borderId="13" xfId="0" applyFont="1" applyFill="1" applyBorder="1" applyAlignment="1">
      <alignment horizontal="center"/>
    </xf>
    <xf numFmtId="0" fontId="145" fillId="7" borderId="91" xfId="0" applyFont="1" applyFill="1" applyBorder="1" applyAlignment="1">
      <alignment horizontal="center" vertical="center" wrapText="1"/>
    </xf>
    <xf numFmtId="0" fontId="145" fillId="7" borderId="36" xfId="0" applyFont="1" applyFill="1" applyBorder="1" applyAlignment="1">
      <alignment horizontal="center" vertical="center" wrapText="1"/>
    </xf>
    <xf numFmtId="0" fontId="145" fillId="7" borderId="31" xfId="0" applyFont="1" applyFill="1" applyBorder="1" applyAlignment="1">
      <alignment horizontal="center" vertical="center" wrapText="1"/>
    </xf>
    <xf numFmtId="0" fontId="145" fillId="7" borderId="14" xfId="0" applyFont="1" applyFill="1" applyBorder="1" applyAlignment="1">
      <alignment horizontal="center" vertical="center" wrapText="1"/>
    </xf>
    <xf numFmtId="0" fontId="145" fillId="7" borderId="52" xfId="0" applyFont="1" applyFill="1" applyBorder="1" applyAlignment="1">
      <alignment horizontal="center" vertical="center" wrapText="1"/>
    </xf>
    <xf numFmtId="0" fontId="145" fillId="7" borderId="32" xfId="0" applyFont="1" applyFill="1" applyBorder="1" applyAlignment="1">
      <alignment horizontal="center" vertical="center" wrapText="1"/>
    </xf>
    <xf numFmtId="0" fontId="33" fillId="14" borderId="38" xfId="0" applyFont="1" applyFill="1" applyBorder="1" applyAlignment="1">
      <alignment horizontal="center" vertical="center" wrapText="1"/>
    </xf>
    <xf numFmtId="0" fontId="33" fillId="14" borderId="7" xfId="0" applyFont="1" applyFill="1" applyBorder="1" applyAlignment="1">
      <alignment horizontal="center" vertical="center" wrapText="1"/>
    </xf>
    <xf numFmtId="0" fontId="33" fillId="20" borderId="30" xfId="0" applyFont="1" applyFill="1" applyBorder="1" applyAlignment="1">
      <alignment horizontal="center" vertical="center" wrapText="1"/>
    </xf>
    <xf numFmtId="0" fontId="33" fillId="20" borderId="41" xfId="0" applyFont="1" applyFill="1" applyBorder="1" applyAlignment="1">
      <alignment horizontal="center" vertical="center" wrapText="1"/>
    </xf>
    <xf numFmtId="0" fontId="64" fillId="0" borderId="68" xfId="0" applyFont="1" applyBorder="1" applyAlignment="1">
      <alignment horizontal="center" vertical="center"/>
    </xf>
    <xf numFmtId="0" fontId="64" fillId="0" borderId="71" xfId="0" applyFont="1" applyBorder="1" applyAlignment="1">
      <alignment horizontal="center" vertical="center"/>
    </xf>
    <xf numFmtId="49" fontId="70" fillId="4" borderId="7" xfId="0" applyNumberFormat="1" applyFont="1" applyFill="1" applyBorder="1" applyProtection="1">
      <protection locked="0"/>
    </xf>
    <xf numFmtId="49" fontId="0" fillId="0" borderId="7" xfId="0" applyNumberFormat="1" applyBorder="1" applyProtection="1">
      <protection locked="0"/>
    </xf>
    <xf numFmtId="49" fontId="23" fillId="3" borderId="7" xfId="0" applyNumberFormat="1" applyFont="1" applyFill="1" applyBorder="1" applyAlignment="1" applyProtection="1">
      <alignment vertical="center"/>
      <protection locked="0"/>
    </xf>
    <xf numFmtId="0" fontId="30" fillId="3" borderId="7" xfId="0" applyFont="1" applyFill="1" applyBorder="1" applyAlignment="1" applyProtection="1">
      <alignment vertical="center"/>
      <protection locked="0"/>
    </xf>
    <xf numFmtId="49" fontId="70" fillId="4" borderId="7" xfId="0" applyNumberFormat="1" applyFont="1" applyFill="1" applyBorder="1" applyAlignment="1" applyProtection="1">
      <alignment horizontal="left"/>
      <protection locked="0"/>
    </xf>
    <xf numFmtId="49" fontId="0" fillId="0" borderId="7" xfId="0" applyNumberFormat="1" applyBorder="1" applyAlignment="1" applyProtection="1">
      <alignment horizontal="left"/>
      <protection locked="0"/>
    </xf>
    <xf numFmtId="0" fontId="0" fillId="0" borderId="7" xfId="0" applyBorder="1" applyProtection="1">
      <protection locked="0"/>
    </xf>
    <xf numFmtId="0" fontId="70" fillId="4" borderId="7" xfId="0" applyFont="1" applyFill="1" applyBorder="1" applyProtection="1">
      <protection locked="0"/>
    </xf>
    <xf numFmtId="49" fontId="72" fillId="4" borderId="7" xfId="1" applyNumberFormat="1" applyFill="1" applyBorder="1" applyAlignment="1" applyProtection="1">
      <alignment horizontal="left"/>
      <protection locked="0"/>
    </xf>
    <xf numFmtId="49" fontId="72" fillId="4" borderId="7" xfId="1" applyNumberFormat="1" applyFill="1" applyBorder="1" applyAlignment="1" applyProtection="1">
      <protection locked="0"/>
    </xf>
    <xf numFmtId="0" fontId="23" fillId="27" borderId="7" xfId="0" applyFont="1" applyFill="1" applyBorder="1" applyProtection="1">
      <protection locked="0"/>
    </xf>
    <xf numFmtId="0" fontId="31" fillId="27" borderId="7" xfId="0" applyFont="1" applyFill="1" applyBorder="1" applyProtection="1">
      <protection locked="0"/>
    </xf>
    <xf numFmtId="0" fontId="70" fillId="4" borderId="7" xfId="0" applyFont="1" applyFill="1" applyBorder="1" applyAlignment="1" applyProtection="1">
      <alignment vertical="top"/>
      <protection locked="0"/>
    </xf>
    <xf numFmtId="0" fontId="58" fillId="0" borderId="0" xfId="0" applyFont="1" applyAlignment="1">
      <alignment horizontal="center"/>
    </xf>
    <xf numFmtId="0" fontId="72" fillId="5" borderId="9" xfId="1" applyFill="1" applyBorder="1" applyAlignment="1" applyProtection="1">
      <alignment horizontal="center" wrapText="1"/>
      <protection locked="0"/>
    </xf>
    <xf numFmtId="0" fontId="72" fillId="0" borderId="10" xfId="1" applyBorder="1" applyAlignment="1" applyProtection="1">
      <protection locked="0"/>
    </xf>
    <xf numFmtId="0" fontId="72" fillId="0" borderId="11" xfId="1" applyBorder="1" applyAlignment="1" applyProtection="1">
      <protection locked="0"/>
    </xf>
    <xf numFmtId="0" fontId="33" fillId="27" borderId="12" xfId="0" applyFont="1" applyFill="1" applyBorder="1" applyAlignment="1" applyProtection="1">
      <alignment horizontal="left"/>
      <protection locked="0"/>
    </xf>
    <xf numFmtId="0" fontId="33" fillId="27" borderId="18" xfId="0" applyFont="1" applyFill="1" applyBorder="1" applyAlignment="1" applyProtection="1">
      <alignment horizontal="left"/>
      <protection locked="0"/>
    </xf>
    <xf numFmtId="0" fontId="33" fillId="27" borderId="13" xfId="0" applyFont="1" applyFill="1" applyBorder="1" applyAlignment="1" applyProtection="1">
      <alignment horizontal="left"/>
      <protection locked="0"/>
    </xf>
    <xf numFmtId="49" fontId="33" fillId="3" borderId="12" xfId="0" applyNumberFormat="1" applyFont="1" applyFill="1" applyBorder="1" applyAlignment="1" applyProtection="1">
      <alignment horizontal="center" vertical="center"/>
      <protection locked="0"/>
    </xf>
    <xf numFmtId="49" fontId="33" fillId="3" borderId="18" xfId="0" applyNumberFormat="1" applyFont="1" applyFill="1" applyBorder="1" applyAlignment="1" applyProtection="1">
      <alignment horizontal="center" vertical="center"/>
      <protection locked="0"/>
    </xf>
    <xf numFmtId="49" fontId="33" fillId="3" borderId="13" xfId="0" applyNumberFormat="1" applyFont="1" applyFill="1" applyBorder="1" applyAlignment="1" applyProtection="1">
      <alignment horizontal="center" vertical="center"/>
      <protection locked="0"/>
    </xf>
    <xf numFmtId="194" fontId="70" fillId="3" borderId="12" xfId="0" applyNumberFormat="1" applyFont="1" applyFill="1" applyBorder="1" applyAlignment="1" applyProtection="1">
      <alignment horizontal="center"/>
      <protection locked="0"/>
    </xf>
    <xf numFmtId="194" fontId="70" fillId="3" borderId="13" xfId="0" applyNumberFormat="1" applyFont="1" applyFill="1" applyBorder="1" applyAlignment="1" applyProtection="1">
      <alignment horizontal="center"/>
      <protection locked="0"/>
    </xf>
    <xf numFmtId="0" fontId="62" fillId="2" borderId="1" xfId="0" applyFont="1" applyFill="1" applyBorder="1" applyAlignment="1" applyProtection="1">
      <alignment horizontal="center" vertical="center" wrapText="1"/>
      <protection hidden="1"/>
    </xf>
    <xf numFmtId="0" fontId="62" fillId="2" borderId="2" xfId="0" applyFont="1" applyFill="1" applyBorder="1" applyAlignment="1" applyProtection="1">
      <alignment horizontal="center" vertical="center" wrapText="1"/>
      <protection hidden="1"/>
    </xf>
    <xf numFmtId="0" fontId="62" fillId="2" borderId="3" xfId="0" applyFont="1" applyFill="1" applyBorder="1" applyAlignment="1" applyProtection="1">
      <alignment horizontal="center" vertical="center" wrapText="1"/>
      <protection hidden="1"/>
    </xf>
    <xf numFmtId="0" fontId="62" fillId="2" borderId="4" xfId="0" applyFont="1" applyFill="1" applyBorder="1" applyAlignment="1" applyProtection="1">
      <alignment horizontal="center"/>
      <protection hidden="1"/>
    </xf>
    <xf numFmtId="0" fontId="62" fillId="2" borderId="0" xfId="0" applyFont="1" applyFill="1" applyAlignment="1" applyProtection="1">
      <alignment horizontal="center"/>
      <protection hidden="1"/>
    </xf>
    <xf numFmtId="0" fontId="62" fillId="2" borderId="5" xfId="0" applyFont="1" applyFill="1" applyBorder="1" applyAlignment="1" applyProtection="1">
      <alignment horizontal="center"/>
      <protection hidden="1"/>
    </xf>
    <xf numFmtId="0" fontId="55" fillId="3" borderId="9" xfId="0" applyFont="1" applyFill="1" applyBorder="1" applyAlignment="1" applyProtection="1">
      <alignment horizontal="center"/>
      <protection locked="0"/>
    </xf>
    <xf numFmtId="0" fontId="58" fillId="3" borderId="10" xfId="0" applyFont="1" applyFill="1" applyBorder="1" applyAlignment="1" applyProtection="1">
      <alignment horizontal="center"/>
      <protection locked="0"/>
    </xf>
    <xf numFmtId="0" fontId="58" fillId="3" borderId="11" xfId="0" applyFont="1" applyFill="1" applyBorder="1" applyAlignment="1" applyProtection="1">
      <alignment horizontal="center"/>
      <protection locked="0"/>
    </xf>
    <xf numFmtId="14" fontId="150" fillId="0" borderId="1" xfId="0" applyNumberFormat="1" applyFont="1" applyBorder="1" applyAlignment="1" applyProtection="1">
      <alignment horizontal="left"/>
      <protection hidden="1"/>
    </xf>
    <xf numFmtId="0" fontId="150" fillId="0" borderId="2" xfId="0" applyFont="1" applyBorder="1" applyAlignment="1">
      <alignment horizontal="left"/>
    </xf>
    <xf numFmtId="14" fontId="58" fillId="3" borderId="12" xfId="0" applyNumberFormat="1" applyFont="1" applyFill="1" applyBorder="1" applyAlignment="1" applyProtection="1">
      <alignment horizontal="center"/>
      <protection locked="0"/>
    </xf>
    <xf numFmtId="14" fontId="58" fillId="3" borderId="13" xfId="0" applyNumberFormat="1" applyFont="1" applyFill="1" applyBorder="1" applyAlignment="1" applyProtection="1">
      <alignment horizontal="center"/>
      <protection locked="0"/>
    </xf>
    <xf numFmtId="44" fontId="64" fillId="2" borderId="49" xfId="2" applyFont="1" applyFill="1" applyBorder="1" applyAlignment="1" applyProtection="1">
      <alignment horizontal="center"/>
    </xf>
    <xf numFmtId="44" fontId="64" fillId="2" borderId="44" xfId="2" applyFont="1" applyFill="1" applyBorder="1" applyAlignment="1" applyProtection="1">
      <alignment horizontal="center"/>
    </xf>
    <xf numFmtId="44" fontId="64" fillId="2" borderId="45" xfId="2" applyFont="1" applyFill="1" applyBorder="1" applyAlignment="1" applyProtection="1">
      <alignment horizontal="center"/>
    </xf>
    <xf numFmtId="194" fontId="17" fillId="2" borderId="0" xfId="0" applyNumberFormat="1" applyFont="1" applyFill="1" applyAlignment="1">
      <alignment horizontal="left"/>
    </xf>
    <xf numFmtId="194" fontId="17" fillId="2" borderId="5" xfId="0" applyNumberFormat="1" applyFont="1" applyFill="1" applyBorder="1" applyAlignment="1">
      <alignment horizontal="left"/>
    </xf>
    <xf numFmtId="0" fontId="0" fillId="2" borderId="12" xfId="0" applyFill="1" applyBorder="1" applyAlignment="1">
      <alignment horizontal="center"/>
    </xf>
    <xf numFmtId="0" fontId="93" fillId="2" borderId="18" xfId="0" applyFont="1" applyFill="1" applyBorder="1" applyAlignment="1">
      <alignment horizontal="center"/>
    </xf>
    <xf numFmtId="0" fontId="93" fillId="2" borderId="13" xfId="0" applyFont="1" applyFill="1" applyBorder="1" applyAlignment="1">
      <alignment horizontal="center"/>
    </xf>
    <xf numFmtId="0" fontId="61" fillId="2" borderId="12" xfId="0" applyFont="1" applyFill="1" applyBorder="1" applyAlignment="1">
      <alignment horizontal="left"/>
    </xf>
    <xf numFmtId="0" fontId="61" fillId="2" borderId="18" xfId="0" applyFont="1" applyFill="1" applyBorder="1" applyAlignment="1">
      <alignment horizontal="left"/>
    </xf>
    <xf numFmtId="0" fontId="61" fillId="2" borderId="13" xfId="0" applyFont="1" applyFill="1" applyBorder="1" applyAlignment="1">
      <alignment horizontal="left"/>
    </xf>
    <xf numFmtId="0" fontId="0" fillId="15" borderId="6" xfId="0" applyFill="1" applyBorder="1" applyAlignment="1" applyProtection="1">
      <alignment horizontal="left"/>
      <protection locked="0"/>
    </xf>
    <xf numFmtId="0" fontId="0" fillId="15" borderId="7" xfId="0" applyFill="1" applyBorder="1" applyAlignment="1" applyProtection="1">
      <alignment horizontal="left"/>
      <protection locked="0"/>
    </xf>
    <xf numFmtId="0" fontId="0" fillId="15" borderId="8" xfId="0" applyFill="1" applyBorder="1" applyAlignment="1" applyProtection="1">
      <alignment horizontal="left"/>
      <protection locked="0"/>
    </xf>
    <xf numFmtId="0" fontId="0" fillId="15" borderId="12" xfId="0" applyFill="1" applyBorder="1" applyAlignment="1" applyProtection="1">
      <alignment horizontal="left"/>
      <protection locked="0"/>
    </xf>
    <xf numFmtId="0" fontId="0" fillId="15" borderId="18" xfId="0" applyFill="1" applyBorder="1" applyAlignment="1" applyProtection="1">
      <alignment horizontal="left"/>
      <protection locked="0"/>
    </xf>
    <xf numFmtId="0" fontId="0" fillId="15" borderId="13" xfId="0" applyFill="1" applyBorder="1" applyAlignment="1" applyProtection="1">
      <alignment horizontal="left"/>
      <protection locked="0"/>
    </xf>
    <xf numFmtId="0" fontId="0" fillId="0" borderId="0" xfId="0" applyAlignment="1">
      <alignment horizontal="center"/>
    </xf>
    <xf numFmtId="0" fontId="0" fillId="0" borderId="5" xfId="0" applyBorder="1" applyAlignment="1">
      <alignment horizontal="center"/>
    </xf>
    <xf numFmtId="0" fontId="61" fillId="2" borderId="12" xfId="0" applyFont="1" applyFill="1" applyBorder="1" applyAlignment="1">
      <alignment horizontal="center" vertical="center"/>
    </xf>
    <xf numFmtId="0" fontId="61" fillId="2" borderId="18" xfId="0" applyFont="1" applyFill="1" applyBorder="1" applyAlignment="1">
      <alignment horizontal="center" vertical="center"/>
    </xf>
    <xf numFmtId="0" fontId="61" fillId="2" borderId="13" xfId="0" applyFont="1" applyFill="1" applyBorder="1" applyAlignment="1">
      <alignment horizontal="center" vertical="center"/>
    </xf>
    <xf numFmtId="0" fontId="64" fillId="2" borderId="49" xfId="2" applyNumberFormat="1" applyFont="1" applyFill="1" applyBorder="1" applyAlignment="1" applyProtection="1">
      <alignment horizontal="left"/>
    </xf>
    <xf numFmtId="0" fontId="64" fillId="2" borderId="44" xfId="2" applyNumberFormat="1" applyFont="1" applyFill="1" applyBorder="1" applyAlignment="1" applyProtection="1">
      <alignment horizontal="left"/>
    </xf>
    <xf numFmtId="0" fontId="64" fillId="2" borderId="45" xfId="2" applyNumberFormat="1" applyFont="1" applyFill="1" applyBorder="1" applyAlignment="1" applyProtection="1">
      <alignment horizontal="left"/>
    </xf>
    <xf numFmtId="0" fontId="61" fillId="2" borderId="48" xfId="0" applyFont="1" applyFill="1" applyBorder="1" applyAlignment="1">
      <alignment horizontal="center"/>
    </xf>
    <xf numFmtId="0" fontId="61" fillId="2" borderId="44" xfId="0" applyFont="1" applyFill="1" applyBorder="1" applyAlignment="1">
      <alignment horizontal="center"/>
    </xf>
    <xf numFmtId="0" fontId="61" fillId="2" borderId="45" xfId="0" applyFont="1" applyFill="1" applyBorder="1" applyAlignment="1">
      <alignment horizontal="center"/>
    </xf>
    <xf numFmtId="0" fontId="113" fillId="19" borderId="85" xfId="0" applyFont="1" applyFill="1" applyBorder="1" applyAlignment="1">
      <alignment horizontal="left" vertical="top" wrapText="1"/>
    </xf>
    <xf numFmtId="0" fontId="113" fillId="19" borderId="77" xfId="0" applyFont="1" applyFill="1" applyBorder="1" applyAlignment="1">
      <alignment horizontal="left" vertical="top" wrapText="1"/>
    </xf>
    <xf numFmtId="0" fontId="0" fillId="8" borderId="12" xfId="0" applyFill="1" applyBorder="1" applyAlignment="1">
      <alignment horizontal="center"/>
    </xf>
    <xf numFmtId="0" fontId="0" fillId="8" borderId="18" xfId="0" applyFill="1" applyBorder="1" applyAlignment="1">
      <alignment horizontal="center"/>
    </xf>
    <xf numFmtId="0" fontId="0" fillId="8" borderId="13" xfId="0" applyFill="1" applyBorder="1" applyAlignment="1">
      <alignment horizontal="center"/>
    </xf>
    <xf numFmtId="0" fontId="0" fillId="8" borderId="0" xfId="0" applyFill="1" applyAlignment="1">
      <alignment horizontal="left" wrapText="1"/>
    </xf>
    <xf numFmtId="0" fontId="0" fillId="8" borderId="0" xfId="0" applyFill="1" applyAlignment="1">
      <alignment horizontal="left" vertical="top" wrapText="1"/>
    </xf>
    <xf numFmtId="0" fontId="72" fillId="5" borderId="10" xfId="1" applyFill="1" applyBorder="1" applyAlignment="1" applyProtection="1">
      <alignment horizontal="center" wrapText="1"/>
      <protection locked="0"/>
    </xf>
    <xf numFmtId="0" fontId="72" fillId="5" borderId="11" xfId="1" applyFill="1" applyBorder="1" applyAlignment="1" applyProtection="1">
      <alignment horizontal="center" wrapText="1"/>
      <protection locked="0"/>
    </xf>
    <xf numFmtId="0" fontId="61" fillId="2" borderId="1" xfId="0" applyFont="1" applyFill="1" applyBorder="1" applyAlignment="1">
      <alignment horizontal="center"/>
    </xf>
    <xf numFmtId="0" fontId="61" fillId="2" borderId="2" xfId="0" applyFont="1" applyFill="1" applyBorder="1" applyAlignment="1">
      <alignment horizontal="center"/>
    </xf>
    <xf numFmtId="0" fontId="61" fillId="2" borderId="4" xfId="0" applyFont="1" applyFill="1" applyBorder="1" applyAlignment="1">
      <alignment horizontal="center"/>
    </xf>
    <xf numFmtId="0" fontId="61" fillId="2" borderId="0" xfId="0" applyFont="1" applyFill="1" applyAlignment="1">
      <alignment horizontal="center"/>
    </xf>
    <xf numFmtId="0" fontId="0" fillId="6" borderId="12" xfId="0" applyFill="1" applyBorder="1" applyAlignment="1">
      <alignment horizontal="left" wrapText="1"/>
    </xf>
    <xf numFmtId="0" fontId="0" fillId="6" borderId="13" xfId="0" applyFill="1" applyBorder="1" applyAlignment="1">
      <alignment horizontal="left" wrapText="1"/>
    </xf>
    <xf numFmtId="0" fontId="0" fillId="6" borderId="18" xfId="0" applyFill="1" applyBorder="1" applyAlignment="1">
      <alignment horizontal="left" wrapText="1"/>
    </xf>
    <xf numFmtId="0" fontId="50" fillId="2" borderId="2" xfId="0" applyFont="1" applyFill="1" applyBorder="1" applyAlignment="1">
      <alignment horizontal="left"/>
    </xf>
    <xf numFmtId="0" fontId="70" fillId="2" borderId="7" xfId="0" applyFont="1" applyFill="1" applyBorder="1" applyAlignment="1">
      <alignment horizontal="left"/>
    </xf>
    <xf numFmtId="0" fontId="50" fillId="2" borderId="3" xfId="0" applyFont="1" applyFill="1" applyBorder="1" applyAlignment="1">
      <alignment horizontal="left"/>
    </xf>
    <xf numFmtId="14" fontId="50" fillId="2" borderId="7" xfId="0" applyNumberFormat="1" applyFont="1" applyFill="1" applyBorder="1" applyAlignment="1">
      <alignment horizontal="left"/>
    </xf>
    <xf numFmtId="14" fontId="50" fillId="2" borderId="8" xfId="0" applyNumberFormat="1" applyFont="1" applyFill="1" applyBorder="1" applyAlignment="1">
      <alignment horizontal="left"/>
    </xf>
    <xf numFmtId="0" fontId="0" fillId="2" borderId="12" xfId="0" applyFill="1" applyBorder="1" applyAlignment="1">
      <alignment horizontal="center" vertical="center"/>
    </xf>
    <xf numFmtId="0" fontId="0" fillId="2" borderId="18" xfId="0" applyFill="1" applyBorder="1" applyAlignment="1">
      <alignment horizontal="center" vertical="center"/>
    </xf>
    <xf numFmtId="0" fontId="0" fillId="2" borderId="13" xfId="0" applyFill="1" applyBorder="1" applyAlignment="1">
      <alignment horizontal="center" vertical="center"/>
    </xf>
    <xf numFmtId="0" fontId="0" fillId="15" borderId="1" xfId="0" applyFill="1" applyBorder="1" applyAlignment="1" applyProtection="1">
      <alignment horizontal="left" vertical="top" wrapText="1"/>
      <protection locked="0"/>
    </xf>
    <xf numFmtId="0" fontId="0" fillId="15" borderId="2" xfId="0" applyFill="1" applyBorder="1" applyAlignment="1" applyProtection="1">
      <alignment horizontal="left" vertical="top" wrapText="1"/>
      <protection locked="0"/>
    </xf>
    <xf numFmtId="0" fontId="0" fillId="15" borderId="3" xfId="0" applyFill="1" applyBorder="1" applyAlignment="1" applyProtection="1">
      <alignment horizontal="left" vertical="top" wrapText="1"/>
      <protection locked="0"/>
    </xf>
    <xf numFmtId="0" fontId="0" fillId="15" borderId="4" xfId="0" applyFill="1" applyBorder="1" applyAlignment="1" applyProtection="1">
      <alignment horizontal="left" vertical="top" wrapText="1"/>
      <protection locked="0"/>
    </xf>
    <xf numFmtId="0" fontId="0" fillId="15" borderId="0" xfId="0" applyFill="1" applyAlignment="1" applyProtection="1">
      <alignment horizontal="left" vertical="top" wrapText="1"/>
      <protection locked="0"/>
    </xf>
    <xf numFmtId="0" fontId="0" fillId="15" borderId="5" xfId="0" applyFill="1" applyBorder="1" applyAlignment="1" applyProtection="1">
      <alignment horizontal="left" vertical="top" wrapText="1"/>
      <protection locked="0"/>
    </xf>
    <xf numFmtId="0" fontId="0" fillId="15" borderId="6" xfId="0" applyFill="1" applyBorder="1" applyAlignment="1" applyProtection="1">
      <alignment horizontal="left" vertical="top" wrapText="1"/>
      <protection locked="0"/>
    </xf>
    <xf numFmtId="0" fontId="0" fillId="15" borderId="7" xfId="0" applyFill="1" applyBorder="1" applyAlignment="1" applyProtection="1">
      <alignment horizontal="left" vertical="top" wrapText="1"/>
      <protection locked="0"/>
    </xf>
    <xf numFmtId="0" fontId="0" fillId="15" borderId="8" xfId="0" applyFill="1" applyBorder="1" applyAlignment="1" applyProtection="1">
      <alignment horizontal="left" vertical="top" wrapText="1"/>
      <protection locked="0"/>
    </xf>
    <xf numFmtId="0" fontId="0" fillId="15" borderId="1" xfId="0" applyFill="1" applyBorder="1" applyAlignment="1" applyProtection="1">
      <alignment horizontal="left" vertical="top"/>
      <protection locked="0"/>
    </xf>
    <xf numFmtId="0" fontId="0" fillId="15" borderId="2" xfId="0" applyFill="1" applyBorder="1" applyAlignment="1" applyProtection="1">
      <alignment horizontal="left" vertical="top"/>
      <protection locked="0"/>
    </xf>
    <xf numFmtId="0" fontId="0" fillId="15" borderId="3" xfId="0" applyFill="1" applyBorder="1" applyAlignment="1" applyProtection="1">
      <alignment horizontal="left" vertical="top"/>
      <protection locked="0"/>
    </xf>
    <xf numFmtId="0" fontId="0" fillId="15" borderId="4" xfId="0" applyFill="1" applyBorder="1" applyAlignment="1" applyProtection="1">
      <alignment horizontal="left" vertical="top"/>
      <protection locked="0"/>
    </xf>
    <xf numFmtId="0" fontId="0" fillId="15" borderId="0" xfId="0" applyFill="1" applyAlignment="1" applyProtection="1">
      <alignment horizontal="left" vertical="top"/>
      <protection locked="0"/>
    </xf>
    <xf numFmtId="0" fontId="0" fillId="15" borderId="5" xfId="0" applyFill="1" applyBorder="1" applyAlignment="1" applyProtection="1">
      <alignment horizontal="left" vertical="top"/>
      <protection locked="0"/>
    </xf>
    <xf numFmtId="0" fontId="0" fillId="15" borderId="6" xfId="0" applyFill="1" applyBorder="1" applyAlignment="1" applyProtection="1">
      <alignment horizontal="left" vertical="top"/>
      <protection locked="0"/>
    </xf>
    <xf numFmtId="0" fontId="0" fillId="15" borderId="7" xfId="0" applyFill="1" applyBorder="1" applyAlignment="1" applyProtection="1">
      <alignment horizontal="left" vertical="top"/>
      <protection locked="0"/>
    </xf>
    <xf numFmtId="0" fontId="0" fillId="15" borderId="8" xfId="0" applyFill="1" applyBorder="1" applyAlignment="1" applyProtection="1">
      <alignment horizontal="left" vertical="top"/>
      <protection locked="0"/>
    </xf>
    <xf numFmtId="0" fontId="0" fillId="26" borderId="0" xfId="0" applyFill="1" applyAlignment="1">
      <alignment horizontal="center"/>
    </xf>
    <xf numFmtId="165" fontId="96" fillId="14" borderId="24" xfId="0" applyNumberFormat="1" applyFont="1" applyFill="1" applyBorder="1" applyAlignment="1">
      <alignment horizontal="center"/>
    </xf>
    <xf numFmtId="165" fontId="96" fillId="14" borderId="51" xfId="0" applyNumberFormat="1" applyFont="1" applyFill="1" applyBorder="1" applyAlignment="1">
      <alignment horizontal="center"/>
    </xf>
    <xf numFmtId="165" fontId="96" fillId="14" borderId="56" xfId="0" applyNumberFormat="1" applyFont="1" applyFill="1" applyBorder="1" applyAlignment="1">
      <alignment horizontal="center"/>
    </xf>
    <xf numFmtId="0" fontId="48" fillId="6" borderId="0" xfId="0" applyFont="1" applyFill="1" applyAlignment="1" applyProtection="1">
      <alignment horizontal="center"/>
      <protection hidden="1"/>
    </xf>
    <xf numFmtId="0" fontId="0" fillId="14" borderId="20" xfId="0" applyFill="1" applyBorder="1" applyAlignment="1" applyProtection="1">
      <alignment horizontal="center" vertical="center"/>
      <protection hidden="1"/>
    </xf>
    <xf numFmtId="0" fontId="0" fillId="14" borderId="21" xfId="0" applyFill="1" applyBorder="1" applyAlignment="1" applyProtection="1">
      <alignment horizontal="center" vertical="center"/>
      <protection hidden="1"/>
    </xf>
    <xf numFmtId="181" fontId="96" fillId="14" borderId="81" xfId="0" applyNumberFormat="1" applyFont="1" applyFill="1" applyBorder="1" applyAlignment="1">
      <alignment horizontal="left"/>
    </xf>
    <xf numFmtId="181" fontId="96" fillId="14" borderId="82" xfId="0" applyNumberFormat="1" applyFont="1" applyFill="1" applyBorder="1" applyAlignment="1">
      <alignment horizontal="left"/>
    </xf>
    <xf numFmtId="181" fontId="96" fillId="14" borderId="83" xfId="0" applyNumberFormat="1" applyFont="1" applyFill="1" applyBorder="1" applyAlignment="1">
      <alignment horizontal="left"/>
    </xf>
    <xf numFmtId="44" fontId="96" fillId="14" borderId="24" xfId="0" applyNumberFormat="1" applyFont="1" applyFill="1" applyBorder="1" applyAlignment="1">
      <alignment horizontal="left"/>
    </xf>
    <xf numFmtId="44" fontId="96" fillId="14" borderId="51" xfId="0" applyNumberFormat="1" applyFont="1" applyFill="1" applyBorder="1" applyAlignment="1">
      <alignment horizontal="left"/>
    </xf>
    <xf numFmtId="44" fontId="96" fillId="14" borderId="56" xfId="0" applyNumberFormat="1" applyFont="1" applyFill="1" applyBorder="1" applyAlignment="1">
      <alignment horizontal="left"/>
    </xf>
    <xf numFmtId="165" fontId="47" fillId="0" borderId="20" xfId="0" applyNumberFormat="1" applyFont="1" applyBorder="1" applyAlignment="1" applyProtection="1">
      <alignment horizontal="center" vertical="center"/>
      <protection hidden="1"/>
    </xf>
    <xf numFmtId="165" fontId="47" fillId="0" borderId="84" xfId="0" applyNumberFormat="1" applyFont="1" applyBorder="1" applyAlignment="1" applyProtection="1">
      <alignment horizontal="center" vertical="center"/>
      <protection hidden="1"/>
    </xf>
    <xf numFmtId="164" fontId="61" fillId="25" borderId="9" xfId="0" applyNumberFormat="1" applyFont="1" applyFill="1" applyBorder="1" applyAlignment="1" applyProtection="1">
      <alignment horizontal="center"/>
      <protection hidden="1"/>
    </xf>
    <xf numFmtId="164" fontId="61" fillId="25" borderId="10" xfId="0" applyNumberFormat="1" applyFont="1" applyFill="1" applyBorder="1" applyAlignment="1" applyProtection="1">
      <alignment horizontal="center"/>
      <protection hidden="1"/>
    </xf>
    <xf numFmtId="164" fontId="61" fillId="25" borderId="11" xfId="0" applyNumberFormat="1" applyFont="1" applyFill="1" applyBorder="1" applyAlignment="1" applyProtection="1">
      <alignment horizontal="center"/>
      <protection hidden="1"/>
    </xf>
    <xf numFmtId="4" fontId="64" fillId="14" borderId="39" xfId="0" applyNumberFormat="1" applyFont="1" applyFill="1" applyBorder="1" applyAlignment="1" applyProtection="1">
      <alignment horizontal="left" vertical="top"/>
      <protection hidden="1"/>
    </xf>
    <xf numFmtId="4" fontId="64" fillId="14" borderId="41" xfId="0" applyNumberFormat="1" applyFont="1" applyFill="1" applyBorder="1" applyAlignment="1" applyProtection="1">
      <alignment horizontal="left" vertical="top"/>
      <protection hidden="1"/>
    </xf>
    <xf numFmtId="164" fontId="61" fillId="6" borderId="10" xfId="0" applyNumberFormat="1" applyFont="1" applyFill="1" applyBorder="1" applyAlignment="1" applyProtection="1">
      <alignment horizontal="center"/>
      <protection hidden="1"/>
    </xf>
    <xf numFmtId="0" fontId="85" fillId="6" borderId="20" xfId="0" applyFont="1" applyFill="1" applyBorder="1" applyAlignment="1" applyProtection="1">
      <alignment horizontal="center" vertical="center" wrapText="1"/>
      <protection hidden="1"/>
    </xf>
    <xf numFmtId="0" fontId="85" fillId="6" borderId="21" xfId="0" applyFont="1" applyFill="1" applyBorder="1" applyAlignment="1" applyProtection="1">
      <alignment horizontal="center" vertical="center" wrapText="1"/>
      <protection hidden="1"/>
    </xf>
    <xf numFmtId="0" fontId="87" fillId="2" borderId="1" xfId="0" applyFont="1" applyFill="1" applyBorder="1" applyAlignment="1">
      <alignment horizontal="center"/>
    </xf>
    <xf numFmtId="0" fontId="87" fillId="2" borderId="2" xfId="0" applyFont="1" applyFill="1" applyBorder="1" applyAlignment="1">
      <alignment horizontal="center"/>
    </xf>
    <xf numFmtId="0" fontId="88" fillId="0" borderId="3" xfId="0" applyFont="1" applyBorder="1" applyAlignment="1">
      <alignment horizontal="center"/>
    </xf>
    <xf numFmtId="0" fontId="88" fillId="2" borderId="4" xfId="0" applyFont="1" applyFill="1" applyBorder="1" applyAlignment="1">
      <alignment horizontal="center" vertical="center"/>
    </xf>
    <xf numFmtId="0" fontId="88" fillId="2" borderId="0" xfId="0" applyFont="1" applyFill="1" applyAlignment="1">
      <alignment horizontal="center" vertical="center"/>
    </xf>
    <xf numFmtId="0" fontId="88" fillId="0" borderId="5" xfId="0" applyFont="1" applyBorder="1" applyAlignment="1">
      <alignment horizontal="center" vertical="center"/>
    </xf>
    <xf numFmtId="0" fontId="87" fillId="2" borderId="4" xfId="0" applyFont="1" applyFill="1" applyBorder="1" applyAlignment="1">
      <alignment horizontal="center"/>
    </xf>
    <xf numFmtId="0" fontId="87" fillId="2" borderId="0" xfId="0" applyFont="1" applyFill="1" applyAlignment="1">
      <alignment horizontal="center"/>
    </xf>
    <xf numFmtId="0" fontId="88" fillId="0" borderId="5" xfId="0" applyFont="1" applyBorder="1" applyAlignment="1">
      <alignment horizontal="center"/>
    </xf>
    <xf numFmtId="0" fontId="82" fillId="0" borderId="0" xfId="0" applyFont="1" applyAlignment="1">
      <alignment horizontal="center"/>
    </xf>
    <xf numFmtId="0" fontId="82" fillId="0" borderId="29" xfId="0" applyFont="1" applyBorder="1" applyAlignment="1">
      <alignment horizontal="center"/>
    </xf>
    <xf numFmtId="0" fontId="82" fillId="0" borderId="30" xfId="0" applyFont="1" applyBorder="1" applyAlignment="1">
      <alignment horizontal="center"/>
    </xf>
    <xf numFmtId="0" fontId="83" fillId="0" borderId="0" xfId="0" applyFont="1" applyAlignment="1">
      <alignment horizontal="center" wrapText="1"/>
    </xf>
    <xf numFmtId="0" fontId="70" fillId="0" borderId="0" xfId="0" applyFont="1" applyAlignment="1">
      <alignment horizontal="left" vertical="top"/>
    </xf>
    <xf numFmtId="0" fontId="70" fillId="0" borderId="0" xfId="0" applyFont="1" applyAlignment="1">
      <alignment horizontal="left"/>
    </xf>
    <xf numFmtId="0" fontId="0" fillId="9" borderId="0" xfId="0" applyFill="1" applyAlignment="1" applyProtection="1">
      <alignment horizontal="center" vertical="top" wrapText="1"/>
      <protection locked="0"/>
    </xf>
    <xf numFmtId="0" fontId="59" fillId="9" borderId="0" xfId="0" applyFont="1" applyFill="1" applyAlignment="1" applyProtection="1">
      <alignment horizontal="center" vertical="top" wrapText="1"/>
      <protection locked="0"/>
    </xf>
    <xf numFmtId="0" fontId="59" fillId="6" borderId="0" xfId="0" applyFont="1" applyFill="1" applyAlignment="1">
      <alignment horizontal="center"/>
    </xf>
    <xf numFmtId="0" fontId="70" fillId="0" borderId="2" xfId="0" applyFont="1" applyBorder="1" applyAlignment="1">
      <alignment horizontal="center"/>
    </xf>
    <xf numFmtId="0" fontId="70" fillId="0" borderId="7" xfId="0" applyFont="1" applyBorder="1" applyAlignment="1">
      <alignment horizontal="center"/>
    </xf>
    <xf numFmtId="0" fontId="59" fillId="9" borderId="7" xfId="0" applyFont="1" applyFill="1" applyBorder="1" applyProtection="1">
      <protection locked="0"/>
    </xf>
    <xf numFmtId="0" fontId="61" fillId="2" borderId="1" xfId="0" applyFont="1" applyFill="1" applyBorder="1" applyAlignment="1" applyProtection="1">
      <alignment horizontal="center" vertical="center" wrapText="1"/>
      <protection hidden="1"/>
    </xf>
    <xf numFmtId="0" fontId="61" fillId="2" borderId="2" xfId="0" applyFont="1" applyFill="1" applyBorder="1" applyAlignment="1" applyProtection="1">
      <alignment horizontal="center" vertical="center" wrapText="1"/>
      <protection hidden="1"/>
    </xf>
    <xf numFmtId="0" fontId="61" fillId="2" borderId="3" xfId="0" applyFont="1" applyFill="1" applyBorder="1" applyAlignment="1" applyProtection="1">
      <alignment horizontal="center" vertical="center" wrapText="1"/>
      <protection hidden="1"/>
    </xf>
    <xf numFmtId="0" fontId="0" fillId="6" borderId="20" xfId="0" applyFill="1" applyBorder="1" applyAlignment="1" applyProtection="1">
      <alignment horizontal="center" vertical="center" wrapText="1"/>
      <protection hidden="1"/>
    </xf>
    <xf numFmtId="0" fontId="0" fillId="6" borderId="19" xfId="0" applyFill="1" applyBorder="1" applyAlignment="1" applyProtection="1">
      <alignment horizontal="center" vertical="center" wrapText="1"/>
      <protection hidden="1"/>
    </xf>
    <xf numFmtId="0" fontId="0" fillId="6" borderId="21" xfId="0" applyFill="1" applyBorder="1" applyAlignment="1" applyProtection="1">
      <alignment horizontal="center" vertical="center" wrapText="1"/>
      <protection hidden="1"/>
    </xf>
    <xf numFmtId="0" fontId="62" fillId="0" borderId="0" xfId="0" applyFont="1" applyAlignment="1" applyProtection="1">
      <alignment horizontal="left" vertical="top" wrapText="1"/>
      <protection hidden="1"/>
    </xf>
    <xf numFmtId="194" fontId="50" fillId="7" borderId="0" xfId="0" applyNumberFormat="1" applyFont="1" applyFill="1" applyAlignment="1" applyProtection="1">
      <alignment horizontal="left"/>
      <protection hidden="1"/>
    </xf>
    <xf numFmtId="0" fontId="61" fillId="2" borderId="4" xfId="0" applyFont="1" applyFill="1" applyBorder="1" applyAlignment="1" applyProtection="1">
      <alignment horizontal="center" vertical="center" wrapText="1"/>
      <protection hidden="1"/>
    </xf>
    <xf numFmtId="0" fontId="61" fillId="2" borderId="0" xfId="0" applyFont="1" applyFill="1" applyAlignment="1" applyProtection="1">
      <alignment horizontal="center" vertical="center" wrapText="1"/>
      <protection hidden="1"/>
    </xf>
    <xf numFmtId="0" fontId="64" fillId="2" borderId="0" xfId="0" applyFont="1" applyFill="1" applyAlignment="1" applyProtection="1">
      <alignment horizontal="left"/>
      <protection hidden="1"/>
    </xf>
    <xf numFmtId="0" fontId="50" fillId="7" borderId="0" xfId="0" applyFont="1" applyFill="1" applyAlignment="1" applyProtection="1">
      <alignment horizontal="left"/>
      <protection hidden="1"/>
    </xf>
    <xf numFmtId="0" fontId="22" fillId="0" borderId="7" xfId="0" applyFont="1" applyBorder="1" applyAlignment="1" applyProtection="1">
      <alignment horizontal="left" vertical="center" wrapText="1"/>
      <protection hidden="1"/>
    </xf>
    <xf numFmtId="0" fontId="22" fillId="0" borderId="18" xfId="0" applyFont="1" applyBorder="1" applyAlignment="1" applyProtection="1">
      <alignment horizontal="left" vertical="center" wrapText="1"/>
      <protection hidden="1"/>
    </xf>
    <xf numFmtId="0" fontId="22" fillId="0" borderId="2" xfId="0" applyFont="1" applyBorder="1" applyAlignment="1" applyProtection="1">
      <alignment horizontal="left" vertical="center" wrapText="1"/>
      <protection hidden="1"/>
    </xf>
    <xf numFmtId="0" fontId="21" fillId="0" borderId="0" xfId="0" applyFont="1" applyAlignment="1" applyProtection="1">
      <alignment horizontal="left" vertical="center" wrapText="1"/>
      <protection hidden="1"/>
    </xf>
    <xf numFmtId="0" fontId="18" fillId="6" borderId="12" xfId="0" applyFont="1" applyFill="1" applyBorder="1" applyAlignment="1" applyProtection="1">
      <alignment horizontal="center"/>
      <protection hidden="1"/>
    </xf>
    <xf numFmtId="0" fontId="22" fillId="6" borderId="13" xfId="0" applyFont="1" applyFill="1" applyBorder="1" applyAlignment="1" applyProtection="1">
      <alignment horizontal="center"/>
      <protection hidden="1"/>
    </xf>
    <xf numFmtId="0" fontId="62" fillId="2" borderId="1" xfId="0" applyFont="1" applyFill="1" applyBorder="1" applyAlignment="1" applyProtection="1">
      <alignment horizontal="center" wrapText="1"/>
      <protection hidden="1"/>
    </xf>
    <xf numFmtId="0" fontId="62" fillId="2" borderId="2" xfId="0" applyFont="1" applyFill="1" applyBorder="1" applyAlignment="1" applyProtection="1">
      <alignment horizontal="center" wrapText="1"/>
      <protection hidden="1"/>
    </xf>
    <xf numFmtId="0" fontId="63" fillId="0" borderId="2" xfId="0" applyFont="1" applyBorder="1" applyAlignment="1" applyProtection="1">
      <alignment wrapText="1"/>
      <protection hidden="1"/>
    </xf>
    <xf numFmtId="0" fontId="63" fillId="0" borderId="3" xfId="0" applyFont="1" applyBorder="1" applyAlignment="1" applyProtection="1">
      <alignment wrapText="1"/>
      <protection hidden="1"/>
    </xf>
    <xf numFmtId="0" fontId="0" fillId="0" borderId="0" xfId="0" applyProtection="1">
      <protection hidden="1"/>
    </xf>
    <xf numFmtId="0" fontId="0" fillId="0" borderId="5" xfId="0" applyBorder="1" applyProtection="1">
      <protection hidden="1"/>
    </xf>
    <xf numFmtId="0" fontId="63" fillId="2" borderId="4" xfId="0" applyFont="1" applyFill="1" applyBorder="1" applyAlignment="1" applyProtection="1">
      <alignment horizontal="center"/>
      <protection hidden="1"/>
    </xf>
    <xf numFmtId="0" fontId="63" fillId="2" borderId="0" xfId="0" applyFont="1" applyFill="1" applyAlignment="1" applyProtection="1">
      <alignment horizontal="center"/>
      <protection hidden="1"/>
    </xf>
    <xf numFmtId="0" fontId="70" fillId="2" borderId="4" xfId="0" applyFont="1" applyFill="1" applyBorder="1" applyAlignment="1" applyProtection="1">
      <alignment horizontal="center"/>
      <protection hidden="1"/>
    </xf>
    <xf numFmtId="0" fontId="70" fillId="2" borderId="0" xfId="0" applyFont="1" applyFill="1" applyAlignment="1" applyProtection="1">
      <alignment horizontal="center"/>
      <protection hidden="1"/>
    </xf>
    <xf numFmtId="0" fontId="54" fillId="0" borderId="0" xfId="0" applyFont="1" applyProtection="1">
      <protection hidden="1"/>
    </xf>
    <xf numFmtId="0" fontId="54" fillId="0" borderId="5" xfId="0" applyFont="1" applyBorder="1" applyProtection="1">
      <protection hidden="1"/>
    </xf>
    <xf numFmtId="0" fontId="62" fillId="2" borderId="1" xfId="0" applyFont="1" applyFill="1" applyBorder="1" applyAlignment="1">
      <alignment horizontal="center" wrapText="1"/>
    </xf>
    <xf numFmtId="0" fontId="62" fillId="2" borderId="2" xfId="0" applyFont="1" applyFill="1" applyBorder="1" applyAlignment="1">
      <alignment horizontal="center"/>
    </xf>
    <xf numFmtId="0" fontId="62" fillId="2" borderId="3" xfId="0" applyFont="1" applyFill="1" applyBorder="1" applyAlignment="1">
      <alignment horizontal="center"/>
    </xf>
    <xf numFmtId="0" fontId="62" fillId="2" borderId="4" xfId="0" applyFont="1" applyFill="1" applyBorder="1" applyAlignment="1">
      <alignment horizontal="center"/>
    </xf>
    <xf numFmtId="0" fontId="62" fillId="2" borderId="0" xfId="0" applyFont="1" applyFill="1" applyAlignment="1">
      <alignment horizontal="center"/>
    </xf>
    <xf numFmtId="0" fontId="62" fillId="2" borderId="5" xfId="0" applyFont="1" applyFill="1" applyBorder="1" applyAlignment="1">
      <alignment horizontal="center"/>
    </xf>
    <xf numFmtId="0" fontId="62" fillId="2" borderId="6" xfId="0" applyFont="1" applyFill="1" applyBorder="1" applyAlignment="1">
      <alignment horizontal="center"/>
    </xf>
    <xf numFmtId="0" fontId="62" fillId="2" borderId="7" xfId="0" applyFont="1" applyFill="1" applyBorder="1" applyAlignment="1">
      <alignment horizontal="center"/>
    </xf>
    <xf numFmtId="0" fontId="62" fillId="2" borderId="8" xfId="0" applyFont="1" applyFill="1" applyBorder="1" applyAlignment="1">
      <alignment horizontal="center"/>
    </xf>
    <xf numFmtId="0" fontId="59" fillId="6" borderId="4" xfId="0" applyFont="1" applyFill="1" applyBorder="1"/>
  </cellXfs>
  <cellStyles count="20">
    <cellStyle name="40% - Akzent1 2" xfId="6" xr:uid="{00000000-0005-0000-0000-000000000000}"/>
    <cellStyle name="40% - Akzent3 2" xfId="7" xr:uid="{00000000-0005-0000-0000-000001000000}"/>
    <cellStyle name="Datum" xfId="8" xr:uid="{00000000-0005-0000-0000-000002000000}"/>
    <cellStyle name="Eingabe 2" xfId="4" xr:uid="{00000000-0005-0000-0000-000003000000}"/>
    <cellStyle name="Eingabe 2 2" xfId="9" xr:uid="{00000000-0005-0000-0000-000004000000}"/>
    <cellStyle name="Eingabe 3" xfId="10" xr:uid="{00000000-0005-0000-0000-000005000000}"/>
    <cellStyle name="Formelfeld" xfId="11" xr:uid="{00000000-0005-0000-0000-000006000000}"/>
    <cellStyle name="Formular" xfId="12" xr:uid="{00000000-0005-0000-0000-000007000000}"/>
    <cellStyle name="Komma 2" xfId="17" xr:uid="{00000000-0005-0000-0000-000008000000}"/>
    <cellStyle name="Link" xfId="1" builtinId="8"/>
    <cellStyle name="Prozent" xfId="3" builtinId="5"/>
    <cellStyle name="Prozent 2" xfId="5" xr:uid="{00000000-0005-0000-0000-00000B000000}"/>
    <cellStyle name="Standard" xfId="0" builtinId="0"/>
    <cellStyle name="Standard 2" xfId="13" xr:uid="{00000000-0005-0000-0000-00000D000000}"/>
    <cellStyle name="Standard 4" xfId="18" xr:uid="{00000000-0005-0000-0000-00000E000000}"/>
    <cellStyle name="Standard_Tabelle1" xfId="19" xr:uid="{F8341181-1752-422D-A3DE-812334442FDF}"/>
    <cellStyle name="Stunden" xfId="14" xr:uid="{00000000-0005-0000-0000-00000F000000}"/>
    <cellStyle name="Text" xfId="15" xr:uid="{00000000-0005-0000-0000-000010000000}"/>
    <cellStyle name="VZK" xfId="16" xr:uid="{00000000-0005-0000-0000-000011000000}"/>
    <cellStyle name="Währung" xfId="2" builtinId="4"/>
  </cellStyles>
  <dxfs count="68">
    <dxf>
      <font>
        <color theme="0" tint="-4.9989318521683403E-2"/>
      </font>
    </dxf>
    <dxf>
      <font>
        <color theme="0" tint="-4.9989318521683403E-2"/>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font>
    </dxf>
    <dxf>
      <font>
        <color theme="0"/>
      </font>
      <fill>
        <patternFill>
          <bgColor theme="0"/>
        </patternFill>
      </fill>
      <border>
        <left/>
        <right/>
        <top/>
        <bottom/>
        <vertical/>
        <horizontal/>
      </border>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font>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color theme="6" tint="0.59996337778862885"/>
      </font>
    </dxf>
    <dxf>
      <font>
        <color theme="0" tint="-4.9989318521683403E-2"/>
      </font>
    </dxf>
    <dxf>
      <font>
        <color theme="0" tint="-4.9989318521683403E-2"/>
      </font>
    </dxf>
    <dxf>
      <font>
        <color theme="0" tint="-4.9989318521683403E-2"/>
      </font>
    </dxf>
    <dxf>
      <font>
        <color theme="0" tint="-4.9989318521683403E-2"/>
      </font>
    </dxf>
    <dxf>
      <font>
        <color theme="0"/>
      </font>
      <fill>
        <patternFill>
          <bgColor theme="0"/>
        </patternFill>
      </fill>
      <border>
        <left/>
        <right/>
        <bottom/>
        <vertical/>
        <horizontal/>
      </border>
    </dxf>
    <dxf>
      <font>
        <color theme="0"/>
      </font>
      <fill>
        <patternFill>
          <fgColor theme="0"/>
          <bgColor theme="0"/>
        </patternFill>
      </fill>
      <border>
        <left/>
        <right/>
        <bottom/>
        <vertical/>
        <horizontal/>
      </border>
    </dxf>
    <dxf>
      <fill>
        <patternFill patternType="none">
          <bgColor auto="1"/>
        </patternFill>
      </fill>
    </dxf>
    <dxf>
      <font>
        <color theme="0"/>
      </font>
      <border>
        <left/>
        <top/>
        <bottom/>
        <vertical/>
        <horizontal/>
      </border>
    </dxf>
    <dxf>
      <font>
        <color theme="0"/>
      </font>
      <fill>
        <patternFill patternType="none">
          <bgColor auto="1"/>
        </patternFill>
      </fill>
      <border>
        <left/>
        <right/>
        <top/>
        <bottom/>
        <vertical/>
        <horizontal/>
      </border>
    </dxf>
    <dxf>
      <fill>
        <patternFill>
          <bgColor rgb="FFCCECFF"/>
        </patternFill>
      </fill>
    </dxf>
    <dxf>
      <font>
        <color theme="0"/>
      </font>
      <fill>
        <patternFill patternType="none">
          <bgColor auto="1"/>
        </patternFill>
      </fill>
      <border>
        <left/>
        <right/>
        <top/>
        <bottom/>
        <vertical/>
        <horizontal/>
      </border>
    </dxf>
    <dxf>
      <font>
        <color theme="0"/>
      </font>
      <fill>
        <patternFill>
          <bgColor theme="0"/>
        </patternFill>
      </fill>
      <border>
        <left/>
        <right/>
        <top/>
        <bottom/>
        <vertical/>
        <horizontal/>
      </border>
    </dxf>
    <dxf>
      <font>
        <color theme="0" tint="-4.9989318521683403E-2"/>
      </font>
      <fill>
        <patternFill>
          <bgColor theme="0" tint="-0.14996795556505021"/>
        </patternFill>
      </fill>
    </dxf>
    <dxf>
      <font>
        <color theme="6" tint="0.59996337778862885"/>
      </font>
      <fill>
        <patternFill>
          <bgColor theme="6" tint="0.59996337778862885"/>
        </patternFill>
      </fill>
    </dxf>
    <dxf>
      <font>
        <color theme="0" tint="-0.14996795556505021"/>
      </font>
    </dxf>
    <dxf>
      <fill>
        <patternFill>
          <bgColor theme="0"/>
        </patternFill>
      </fill>
    </dxf>
    <dxf>
      <font>
        <color theme="0" tint="-0.24994659260841701"/>
      </font>
    </dxf>
    <dxf>
      <font>
        <color theme="0" tint="-0.14996795556505021"/>
      </font>
      <fill>
        <patternFill>
          <bgColor theme="0"/>
        </patternFill>
      </fill>
      <border>
        <left/>
        <right/>
        <top/>
        <bottom/>
        <vertical/>
        <horizontal/>
      </border>
    </dxf>
    <dxf>
      <font>
        <color theme="6" tint="0.59996337778862885"/>
      </font>
      <fill>
        <patternFill>
          <bgColor theme="6" tint="0.59996337778862885"/>
        </patternFill>
      </fill>
    </dxf>
    <dxf>
      <font>
        <color theme="0"/>
      </font>
    </dxf>
    <dxf>
      <fill>
        <patternFill patternType="none">
          <bgColor auto="1"/>
        </patternFill>
      </fill>
    </dxf>
    <dxf>
      <fill>
        <patternFill>
          <bgColor theme="0"/>
        </patternFill>
      </fill>
    </dxf>
    <dxf>
      <fill>
        <patternFill>
          <bgColor theme="0" tint="-4.9989318521683403E-2"/>
        </patternFill>
      </fill>
    </dxf>
    <dxf>
      <font>
        <color rgb="FFFF0000"/>
      </font>
    </dxf>
    <dxf>
      <font>
        <color theme="0" tint="-0.14996795556505021"/>
      </font>
      <fill>
        <patternFill>
          <fgColor theme="0"/>
          <bgColor theme="0" tint="-0.24994659260841701"/>
        </patternFill>
      </fill>
      <border>
        <left/>
        <right/>
        <top/>
        <bottom/>
        <vertical/>
        <horizontal/>
      </border>
    </dxf>
    <dxf>
      <font>
        <color theme="0" tint="-0.14996795556505021"/>
      </font>
      <fill>
        <patternFill>
          <bgColor theme="0" tint="-0.24994659260841701"/>
        </patternFill>
      </fill>
      <border>
        <left/>
        <right/>
        <top/>
        <bottom/>
        <vertical/>
        <horizontal/>
      </border>
    </dxf>
    <dxf>
      <font>
        <color rgb="FFFF0000"/>
      </font>
    </dxf>
    <dxf>
      <font>
        <color theme="0"/>
      </font>
      <fill>
        <patternFill>
          <fgColor theme="0"/>
          <bgColor theme="0"/>
        </patternFill>
      </fill>
      <border>
        <left/>
        <right/>
        <top/>
        <bottom/>
      </border>
    </dxf>
    <dxf>
      <font>
        <color theme="0"/>
      </font>
      <fill>
        <patternFill>
          <fgColor theme="0"/>
          <bgColor theme="0"/>
        </patternFill>
      </fill>
      <border>
        <left/>
        <right/>
        <top/>
        <bottom/>
      </border>
    </dxf>
    <dxf>
      <font>
        <color theme="0" tint="-4.9989318521683403E-2"/>
      </font>
      <fill>
        <patternFill patternType="none">
          <bgColor auto="1"/>
        </patternFill>
      </fill>
      <border>
        <left/>
        <right/>
        <top/>
        <bottom/>
        <vertical/>
        <horizontal/>
      </border>
    </dxf>
    <dxf>
      <font>
        <color theme="0" tint="-0.14996795556505021"/>
      </font>
      <fill>
        <patternFill>
          <bgColor theme="0" tint="-0.24994659260841701"/>
        </patternFill>
      </fill>
      <border>
        <left/>
        <right/>
        <top/>
        <bottom/>
        <vertical/>
        <horizontal/>
      </border>
    </dxf>
    <dxf>
      <font>
        <color theme="0"/>
      </font>
      <border>
        <left/>
        <top/>
        <bottom/>
        <vertical/>
        <horizontal/>
      </border>
    </dxf>
    <dxf>
      <font>
        <color theme="0"/>
      </font>
      <fill>
        <patternFill>
          <fgColor theme="0"/>
          <bgColor theme="0"/>
        </patternFill>
      </fill>
      <border>
        <left/>
        <right/>
        <top/>
        <bottom/>
        <vertical/>
        <horizontal/>
      </border>
    </dxf>
    <dxf>
      <font>
        <color theme="0" tint="-0.14996795556505021"/>
      </font>
      <fill>
        <patternFill>
          <fgColor theme="0"/>
          <bgColor theme="0" tint="-0.24994659260841701"/>
        </patternFill>
      </fill>
      <border>
        <left/>
        <right/>
        <top/>
        <bottom/>
        <vertical/>
        <horizontal/>
      </border>
    </dxf>
    <dxf>
      <font>
        <color theme="0" tint="-0.14996795556505021"/>
      </font>
      <fill>
        <patternFill>
          <bgColor theme="0" tint="-0.24994659260841701"/>
        </patternFill>
      </fill>
      <border>
        <left/>
        <right/>
        <top/>
        <bottom/>
        <vertical/>
        <horizontal/>
      </border>
    </dxf>
    <dxf>
      <font>
        <color theme="0" tint="-0.14996795556505021"/>
      </font>
      <fill>
        <patternFill>
          <bgColor theme="0" tint="-0.24994659260841701"/>
        </patternFill>
      </fill>
      <border>
        <left/>
        <right/>
        <top/>
        <bottom/>
        <vertical/>
        <horizontal/>
      </border>
    </dxf>
    <dxf>
      <font>
        <color theme="0" tint="-0.24994659260841701"/>
      </font>
      <fill>
        <patternFill>
          <bgColor theme="0" tint="-0.34998626667073579"/>
        </patternFill>
      </fill>
      <border>
        <left/>
        <right/>
        <top/>
        <bottom/>
      </border>
    </dxf>
    <dxf>
      <fill>
        <patternFill patternType="none">
          <bgColor auto="1"/>
        </patternFill>
      </fill>
    </dxf>
    <dxf>
      <font>
        <color theme="0"/>
      </font>
      <fill>
        <patternFill patternType="none">
          <bgColor auto="1"/>
        </patternFill>
      </fill>
      <border>
        <left/>
        <right/>
        <bottom/>
        <vertical/>
        <horizontal/>
      </border>
    </dxf>
    <dxf>
      <font>
        <color theme="0"/>
      </font>
      <fill>
        <patternFill>
          <fgColor theme="0"/>
        </patternFill>
      </fill>
      <border>
        <vertical/>
        <horizontal/>
      </border>
    </dxf>
    <dxf>
      <font>
        <color theme="0"/>
      </font>
      <fill>
        <patternFill>
          <bgColor theme="0"/>
        </patternFill>
      </fill>
      <border>
        <left/>
        <right/>
        <bottom/>
      </border>
    </dxf>
    <dxf>
      <fill>
        <patternFill>
          <bgColor theme="0" tint="-4.9989318521683403E-2"/>
        </patternFill>
      </fill>
    </dxf>
    <dxf>
      <font>
        <color theme="7" tint="0.79998168889431442"/>
      </font>
      <fill>
        <patternFill>
          <bgColor theme="7" tint="0.79998168889431442"/>
        </patternFill>
      </fill>
    </dxf>
    <dxf>
      <fill>
        <patternFill>
          <bgColor theme="0" tint="-4.9989318521683403E-2"/>
        </patternFill>
      </fill>
    </dxf>
    <dxf>
      <fill>
        <patternFill>
          <bgColor theme="0"/>
        </patternFill>
      </fill>
    </dxf>
  </dxfs>
  <tableStyles count="0" defaultTableStyle="TableStyleMedium2" defaultPivotStyle="PivotStyleLight16"/>
  <colors>
    <mruColors>
      <color rgb="FFE8D9F3"/>
      <color rgb="FF99CCFF"/>
      <color rgb="FFFF33CC"/>
      <color rgb="FFCCECFF"/>
      <color rgb="FFFFFFCC"/>
      <color rgb="FFFFF4CA"/>
      <color rgb="FFFBF7A7"/>
      <color rgb="FFFBFD95"/>
      <color rgb="FFFFFF99"/>
      <color rgb="FFE7FB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247650</xdr:colOff>
      <xdr:row>105</xdr:row>
      <xdr:rowOff>28575</xdr:rowOff>
    </xdr:from>
    <xdr:to>
      <xdr:col>4</xdr:col>
      <xdr:colOff>142875</xdr:colOff>
      <xdr:row>106</xdr:row>
      <xdr:rowOff>142875</xdr:rowOff>
    </xdr:to>
    <xdr:sp macro="" textlink="">
      <xdr:nvSpPr>
        <xdr:cNvPr id="8" name="Textfeld 7">
          <a:extLst>
            <a:ext uri="{FF2B5EF4-FFF2-40B4-BE49-F238E27FC236}">
              <a16:creationId xmlns:a16="http://schemas.microsoft.com/office/drawing/2014/main" id="{88A1C39C-1176-47CB-8F86-7AD4C171426C}"/>
            </a:ext>
          </a:extLst>
        </xdr:cNvPr>
        <xdr:cNvSpPr txBox="1"/>
      </xdr:nvSpPr>
      <xdr:spPr>
        <a:xfrm>
          <a:off x="2752725" y="27736800"/>
          <a:ext cx="733425"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266699</xdr:colOff>
      <xdr:row>153</xdr:row>
      <xdr:rowOff>47623</xdr:rowOff>
    </xdr:from>
    <xdr:to>
      <xdr:col>4</xdr:col>
      <xdr:colOff>161924</xdr:colOff>
      <xdr:row>154</xdr:row>
      <xdr:rowOff>161923</xdr:rowOff>
    </xdr:to>
    <xdr:sp macro="" textlink="">
      <xdr:nvSpPr>
        <xdr:cNvPr id="9" name="Textfeld 8">
          <a:extLst>
            <a:ext uri="{FF2B5EF4-FFF2-40B4-BE49-F238E27FC236}">
              <a16:creationId xmlns:a16="http://schemas.microsoft.com/office/drawing/2014/main" id="{2C533B87-8495-4DAC-BF91-11FBF069CB42}"/>
            </a:ext>
          </a:extLst>
        </xdr:cNvPr>
        <xdr:cNvSpPr txBox="1"/>
      </xdr:nvSpPr>
      <xdr:spPr>
        <a:xfrm>
          <a:off x="2771774" y="37252273"/>
          <a:ext cx="733425"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209550</xdr:colOff>
      <xdr:row>197</xdr:row>
      <xdr:rowOff>19050</xdr:rowOff>
    </xdr:from>
    <xdr:to>
      <xdr:col>4</xdr:col>
      <xdr:colOff>104775</xdr:colOff>
      <xdr:row>198</xdr:row>
      <xdr:rowOff>133350</xdr:rowOff>
    </xdr:to>
    <xdr:sp macro="" textlink="">
      <xdr:nvSpPr>
        <xdr:cNvPr id="11" name="Textfeld 10">
          <a:extLst>
            <a:ext uri="{FF2B5EF4-FFF2-40B4-BE49-F238E27FC236}">
              <a16:creationId xmlns:a16="http://schemas.microsoft.com/office/drawing/2014/main" id="{B0B283B9-1D90-4E8D-A8ED-B9EE083470B8}"/>
            </a:ext>
          </a:extLst>
        </xdr:cNvPr>
        <xdr:cNvSpPr txBox="1"/>
      </xdr:nvSpPr>
      <xdr:spPr>
        <a:xfrm>
          <a:off x="2714625" y="46720125"/>
          <a:ext cx="733425"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257175</xdr:colOff>
      <xdr:row>241</xdr:row>
      <xdr:rowOff>47625</xdr:rowOff>
    </xdr:from>
    <xdr:to>
      <xdr:col>4</xdr:col>
      <xdr:colOff>152400</xdr:colOff>
      <xdr:row>242</xdr:row>
      <xdr:rowOff>161925</xdr:rowOff>
    </xdr:to>
    <xdr:sp macro="" textlink="">
      <xdr:nvSpPr>
        <xdr:cNvPr id="12" name="Textfeld 11">
          <a:extLst>
            <a:ext uri="{FF2B5EF4-FFF2-40B4-BE49-F238E27FC236}">
              <a16:creationId xmlns:a16="http://schemas.microsoft.com/office/drawing/2014/main" id="{CB080024-A4F2-491C-9898-19046228E1F7}"/>
            </a:ext>
          </a:extLst>
        </xdr:cNvPr>
        <xdr:cNvSpPr txBox="1"/>
      </xdr:nvSpPr>
      <xdr:spPr>
        <a:xfrm>
          <a:off x="2762250" y="56245125"/>
          <a:ext cx="733425"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142874</xdr:colOff>
      <xdr:row>284</xdr:row>
      <xdr:rowOff>9524</xdr:rowOff>
    </xdr:from>
    <xdr:to>
      <xdr:col>4</xdr:col>
      <xdr:colOff>38099</xdr:colOff>
      <xdr:row>285</xdr:row>
      <xdr:rowOff>123824</xdr:rowOff>
    </xdr:to>
    <xdr:sp macro="" textlink="">
      <xdr:nvSpPr>
        <xdr:cNvPr id="18" name="Textfeld 17">
          <a:extLst>
            <a:ext uri="{FF2B5EF4-FFF2-40B4-BE49-F238E27FC236}">
              <a16:creationId xmlns:a16="http://schemas.microsoft.com/office/drawing/2014/main" id="{1A39A869-7335-4709-A17E-53D3DEBCE52D}"/>
            </a:ext>
          </a:extLst>
        </xdr:cNvPr>
        <xdr:cNvSpPr txBox="1"/>
      </xdr:nvSpPr>
      <xdr:spPr>
        <a:xfrm>
          <a:off x="2647949" y="65703449"/>
          <a:ext cx="733425"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828675</xdr:colOff>
          <xdr:row>41</xdr:row>
          <xdr:rowOff>38100</xdr:rowOff>
        </xdr:from>
        <xdr:to>
          <xdr:col>9</xdr:col>
          <xdr:colOff>66675</xdr:colOff>
          <xdr:row>44</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4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R:\G\PHKP\VQMS\_ALL\SAC\V2_STATION&#196;R\Antragsunterlagen\ANTRAG_vst\Antrag%20ab%201.7.2026%20LV\Antrag%20LV_Bearbeitung\260518_Antragsunterlagen%20vst%20ab%201.7.26%20Arbeitsversion.xlsx" TargetMode="External"/><Relationship Id="rId1" Type="http://schemas.openxmlformats.org/officeDocument/2006/relationships/externalLinkPath" Target="file:///\\plus.aok.de\dfs\G\PHKP\VQMS\_ALL\SAC\V2_STATION&#196;R\Antragsunterlagen\ANTRAG_vst\Antrag%20ab%201.7.2026%20LV\Antrag%20LV_Bearbeitung\260518_Antragsunterlagen%20vst%20ab%201.7.26%20Arbeits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llgemeine Hinweise"/>
      <sheetName val="Allgemeine Angaben"/>
      <sheetName val="Belegung_wö. Arbeitszeit"/>
      <sheetName val="Personalkostenaufstellung"/>
      <sheetName val="Personalaufwendungen"/>
      <sheetName val="Sachaufwendungen"/>
      <sheetName val="Forderung"/>
      <sheetName val="Versionsinfo"/>
      <sheetName val="KAT"/>
      <sheetName val="Gesamtkalkulation "/>
      <sheetName val="Bewohnervertretung"/>
      <sheetName val="Hinweise Sachaufwendungen"/>
      <sheetName val="Adressverzeichnis"/>
      <sheetName val="Verknüpfungstabelle"/>
      <sheetName val="Tabelle für VP"/>
    </sheetNames>
    <sheetDataSet>
      <sheetData sheetId="0" refreshError="1"/>
      <sheetData sheetId="1">
        <row r="53">
          <cell r="H53" t="str">
            <v/>
          </cell>
        </row>
      </sheetData>
      <sheetData sheetId="2">
        <row r="41">
          <cell r="E41" t="str">
            <v/>
          </cell>
        </row>
      </sheetData>
      <sheetData sheetId="3">
        <row r="22">
          <cell r="M22" t="str">
            <v xml:space="preserve">monatliche Zahlungen (AN-Brutto) in € je Stellenanteil </v>
          </cell>
        </row>
      </sheetData>
      <sheetData sheetId="4">
        <row r="19">
          <cell r="H19">
            <v>0</v>
          </cell>
        </row>
        <row r="72">
          <cell r="I72" t="str">
            <v/>
          </cell>
        </row>
      </sheetData>
      <sheetData sheetId="5">
        <row r="29">
          <cell r="H29">
            <v>0</v>
          </cell>
        </row>
      </sheetData>
      <sheetData sheetId="6">
        <row r="26">
          <cell r="I26">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AOKPLUS">
  <a:themeElements>
    <a:clrScheme name="AOK PLUS">
      <a:dk1>
        <a:sysClr val="windowText" lastClr="000000"/>
      </a:dk1>
      <a:lt1>
        <a:sysClr val="window" lastClr="FFFFFF"/>
      </a:lt1>
      <a:dk2>
        <a:srgbClr val="029646"/>
      </a:dk2>
      <a:lt2>
        <a:srgbClr val="EEECE1"/>
      </a:lt2>
      <a:accent1>
        <a:srgbClr val="CFE8B5"/>
      </a:accent1>
      <a:accent2>
        <a:srgbClr val="FDCA00"/>
      </a:accent2>
      <a:accent3>
        <a:srgbClr val="66BA06"/>
      </a:accent3>
      <a:accent4>
        <a:srgbClr val="EC540B"/>
      </a:accent4>
      <a:accent5>
        <a:srgbClr val="A0C013"/>
      </a:accent5>
      <a:accent6>
        <a:srgbClr val="B0B0B0"/>
      </a:accent6>
      <a:hlink>
        <a:srgbClr val="0000FF"/>
      </a:hlink>
      <a:folHlink>
        <a:srgbClr val="800080"/>
      </a:folHlink>
    </a:clrScheme>
    <a:fontScheme name="Executi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8" Type="http://schemas.openxmlformats.org/officeDocument/2006/relationships/hyperlink" Target="mailto:Pflege-SN@bkkmitte.de" TargetMode="External"/><Relationship Id="rId3" Type="http://schemas.openxmlformats.org/officeDocument/2006/relationships/hyperlink" Target="mailto:pflegesatzverhandlungen_sachsen@plus.aok.de" TargetMode="External"/><Relationship Id="rId7" Type="http://schemas.openxmlformats.org/officeDocument/2006/relationships/hyperlink" Target="mailto:vertrag.chemnitz@kbs.de" TargetMode="External"/><Relationship Id="rId2" Type="http://schemas.openxmlformats.org/officeDocument/2006/relationships/hyperlink" Target="mailto:vereinbarungen-pflege@ksv-sachsen.de" TargetMode="External"/><Relationship Id="rId1" Type="http://schemas.openxmlformats.org/officeDocument/2006/relationships/printerSettings" Target="../printerSettings/printerSettings6.bin"/><Relationship Id="rId6" Type="http://schemas.openxmlformats.org/officeDocument/2006/relationships/hyperlink" Target="mailto:pflegeverhandlungen-sachsen@ikk-classic.de" TargetMode="External"/><Relationship Id="rId5" Type="http://schemas.openxmlformats.org/officeDocument/2006/relationships/hyperlink" Target="mailto:pflegesatzverhandlungen_sachsen@barmer.de" TargetMode="External"/><Relationship Id="rId4" Type="http://schemas.openxmlformats.org/officeDocument/2006/relationships/hyperlink" Target="mailto:verguetung-pflege.sac@vdek.com" TargetMode="External"/><Relationship Id="rId9" Type="http://schemas.openxmlformats.org/officeDocument/2006/relationships/hyperlink" Target="mailto:pflege@pkv.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E140"/>
  <sheetViews>
    <sheetView showGridLines="0" zoomScaleNormal="100" workbookViewId="0">
      <pane ySplit="5" topLeftCell="A35" activePane="bottomLeft" state="frozen"/>
      <selection pane="bottomLeft" activeCell="B46" sqref="B46"/>
    </sheetView>
  </sheetViews>
  <sheetFormatPr baseColWidth="10" defaultRowHeight="14.25" x14ac:dyDescent="0.2"/>
  <cols>
    <col min="1" max="1" width="10.625" style="484" customWidth="1"/>
    <col min="2" max="2" width="28.125" customWidth="1"/>
    <col min="3" max="3" width="30" customWidth="1"/>
    <col min="4" max="4" width="42.75" customWidth="1"/>
    <col min="5" max="5" width="31.25" style="489" customWidth="1"/>
  </cols>
  <sheetData>
    <row r="1" spans="1:5" x14ac:dyDescent="0.2">
      <c r="A1" s="475"/>
      <c r="B1" s="475"/>
      <c r="C1" s="475"/>
      <c r="D1" s="475"/>
      <c r="E1" s="475"/>
    </row>
    <row r="2" spans="1:5" ht="23.25" customHeight="1" x14ac:dyDescent="0.2">
      <c r="A2" s="1360" t="s">
        <v>465</v>
      </c>
      <c r="B2" s="1361"/>
      <c r="C2" s="1361"/>
      <c r="D2" s="1361"/>
      <c r="E2" s="1361"/>
    </row>
    <row r="3" spans="1:5" x14ac:dyDescent="0.2">
      <c r="A3" s="475"/>
      <c r="B3" s="475"/>
      <c r="C3" s="475"/>
      <c r="D3" s="475"/>
      <c r="E3" s="475"/>
    </row>
    <row r="5" spans="1:5" ht="25.5" x14ac:dyDescent="0.2">
      <c r="A5" s="476" t="s">
        <v>335</v>
      </c>
      <c r="B5" s="476" t="s">
        <v>336</v>
      </c>
      <c r="C5" s="476" t="s">
        <v>337</v>
      </c>
      <c r="D5" s="476" t="s">
        <v>338</v>
      </c>
      <c r="E5" s="476" t="s">
        <v>339</v>
      </c>
    </row>
    <row r="6" spans="1:5" ht="25.5" x14ac:dyDescent="0.2">
      <c r="A6" s="478">
        <v>46246</v>
      </c>
      <c r="B6" s="479" t="s">
        <v>425</v>
      </c>
      <c r="C6" s="479"/>
      <c r="D6" s="479" t="s">
        <v>426</v>
      </c>
      <c r="E6" s="479"/>
    </row>
    <row r="7" spans="1:5" s="477" customFormat="1" ht="12.75" x14ac:dyDescent="0.2">
      <c r="A7" s="1362">
        <v>46254</v>
      </c>
      <c r="B7" s="1001" t="s">
        <v>1032</v>
      </c>
      <c r="C7" s="996" t="s">
        <v>1033</v>
      </c>
      <c r="D7" s="996" t="s">
        <v>1034</v>
      </c>
      <c r="E7" s="997" t="s">
        <v>1035</v>
      </c>
    </row>
    <row r="8" spans="1:5" s="477" customFormat="1" ht="76.5" x14ac:dyDescent="0.2">
      <c r="A8" s="1363"/>
      <c r="B8" s="1002"/>
      <c r="C8" s="998" t="s">
        <v>1036</v>
      </c>
      <c r="D8" s="998" t="s">
        <v>1037</v>
      </c>
      <c r="E8" s="998"/>
    </row>
    <row r="9" spans="1:5" s="477" customFormat="1" ht="76.5" x14ac:dyDescent="0.2">
      <c r="A9" s="1363"/>
      <c r="B9" s="1002" t="s">
        <v>1038</v>
      </c>
      <c r="C9" s="998" t="s">
        <v>1039</v>
      </c>
      <c r="D9" s="998" t="s">
        <v>1040</v>
      </c>
      <c r="E9" s="998" t="s">
        <v>1041</v>
      </c>
    </row>
    <row r="10" spans="1:5" s="477" customFormat="1" ht="25.5" x14ac:dyDescent="0.2">
      <c r="A10" s="1363"/>
      <c r="B10" s="1002"/>
      <c r="C10" s="1060" t="s">
        <v>1175</v>
      </c>
      <c r="D10" s="1060" t="s">
        <v>1176</v>
      </c>
      <c r="E10" s="998"/>
    </row>
    <row r="11" spans="1:5" s="477" customFormat="1" ht="12.75" x14ac:dyDescent="0.2">
      <c r="A11" s="1363"/>
      <c r="B11" s="1002"/>
      <c r="C11" s="998" t="s">
        <v>1042</v>
      </c>
      <c r="D11" s="998" t="s">
        <v>1043</v>
      </c>
      <c r="E11" s="998"/>
    </row>
    <row r="12" spans="1:5" x14ac:dyDescent="0.2">
      <c r="A12" s="1363"/>
      <c r="B12" s="1002"/>
      <c r="C12" s="998" t="s">
        <v>1044</v>
      </c>
      <c r="D12" s="1005">
        <v>2.5000000000000001E-2</v>
      </c>
      <c r="E12" s="998"/>
    </row>
    <row r="13" spans="1:5" x14ac:dyDescent="0.2">
      <c r="A13" s="1364"/>
      <c r="B13" s="1003"/>
      <c r="C13" s="1000" t="s">
        <v>1045</v>
      </c>
      <c r="D13" s="1004">
        <v>0.06</v>
      </c>
      <c r="E13" s="993"/>
    </row>
    <row r="14" spans="1:5" ht="25.5" x14ac:dyDescent="0.2">
      <c r="A14" s="1063">
        <v>46259</v>
      </c>
      <c r="B14" s="1064" t="s">
        <v>1032</v>
      </c>
      <c r="C14" s="1065" t="s">
        <v>1160</v>
      </c>
      <c r="D14" s="1065" t="s">
        <v>1159</v>
      </c>
      <c r="E14" s="1065" t="s">
        <v>1158</v>
      </c>
    </row>
    <row r="15" spans="1:5" x14ac:dyDescent="0.2">
      <c r="A15" s="1082">
        <v>46260</v>
      </c>
      <c r="B15" s="998" t="s">
        <v>1038</v>
      </c>
      <c r="C15" s="998" t="s">
        <v>1163</v>
      </c>
      <c r="D15" s="1005" t="s">
        <v>1164</v>
      </c>
      <c r="E15" s="998"/>
    </row>
    <row r="16" spans="1:5" ht="63.75" x14ac:dyDescent="0.2">
      <c r="A16" s="1062"/>
      <c r="B16" s="998"/>
      <c r="C16" s="998" t="s">
        <v>1165</v>
      </c>
      <c r="D16" s="1060" t="s">
        <v>1171</v>
      </c>
      <c r="E16" s="998"/>
    </row>
    <row r="17" spans="1:5" ht="63.75" x14ac:dyDescent="0.2">
      <c r="A17" s="1062"/>
      <c r="B17" s="998"/>
      <c r="C17" s="998" t="s">
        <v>1166</v>
      </c>
      <c r="D17" s="1060" t="s">
        <v>1172</v>
      </c>
      <c r="E17" s="998"/>
    </row>
    <row r="18" spans="1:5" ht="63.75" x14ac:dyDescent="0.2">
      <c r="A18" s="1062"/>
      <c r="B18" s="998"/>
      <c r="C18" s="998" t="s">
        <v>1168</v>
      </c>
      <c r="D18" s="1061" t="s">
        <v>1173</v>
      </c>
      <c r="E18" s="998"/>
    </row>
    <row r="19" spans="1:5" ht="25.5" x14ac:dyDescent="0.2">
      <c r="A19" s="1158"/>
      <c r="B19" s="1159" t="s">
        <v>1169</v>
      </c>
      <c r="C19" s="1159" t="s">
        <v>1170</v>
      </c>
      <c r="D19" s="1160" t="s">
        <v>1174</v>
      </c>
      <c r="E19" s="1080"/>
    </row>
    <row r="20" spans="1:5" x14ac:dyDescent="0.2">
      <c r="A20" s="1161"/>
      <c r="B20" s="1162" t="s">
        <v>1184</v>
      </c>
      <c r="C20" s="1162" t="s">
        <v>1185</v>
      </c>
      <c r="D20" s="1163" t="s">
        <v>1186</v>
      </c>
      <c r="E20" s="1081"/>
    </row>
    <row r="21" spans="1:5" ht="25.5" x14ac:dyDescent="0.2">
      <c r="A21" s="1164">
        <v>46288</v>
      </c>
      <c r="B21" s="1165" t="s">
        <v>1184</v>
      </c>
      <c r="C21" s="1166" t="s">
        <v>1196</v>
      </c>
      <c r="D21" s="1167" t="s">
        <v>1197</v>
      </c>
      <c r="E21" s="1087"/>
    </row>
    <row r="22" spans="1:5" x14ac:dyDescent="0.2">
      <c r="A22" s="1168"/>
      <c r="B22" s="1157"/>
      <c r="C22" s="1159" t="s">
        <v>1198</v>
      </c>
      <c r="D22" s="1160" t="s">
        <v>1199</v>
      </c>
      <c r="E22" s="1088"/>
    </row>
    <row r="23" spans="1:5" ht="38.25" x14ac:dyDescent="0.2">
      <c r="A23" s="1168"/>
      <c r="B23" s="1157"/>
      <c r="C23" s="1159" t="s">
        <v>1200</v>
      </c>
      <c r="D23" s="1160" t="s">
        <v>1201</v>
      </c>
      <c r="E23" s="1088"/>
    </row>
    <row r="24" spans="1:5" ht="25.5" x14ac:dyDescent="0.2">
      <c r="A24" s="1168"/>
      <c r="B24" s="1157"/>
      <c r="C24" s="1159" t="s">
        <v>1202</v>
      </c>
      <c r="D24" s="1160" t="s">
        <v>1203</v>
      </c>
      <c r="E24" s="1088"/>
    </row>
    <row r="25" spans="1:5" ht="25.5" x14ac:dyDescent="0.2">
      <c r="A25" s="1168"/>
      <c r="B25" s="1169" t="s">
        <v>1204</v>
      </c>
      <c r="C25" s="1170" t="s">
        <v>1205</v>
      </c>
      <c r="D25" s="1171" t="s">
        <v>1206</v>
      </c>
      <c r="E25" s="1090"/>
    </row>
    <row r="26" spans="1:5" x14ac:dyDescent="0.2">
      <c r="A26" s="1168"/>
      <c r="B26" s="1157" t="s">
        <v>1038</v>
      </c>
      <c r="C26" s="1166" t="s">
        <v>1207</v>
      </c>
      <c r="D26" s="1160" t="s">
        <v>1208</v>
      </c>
      <c r="E26" s="1088"/>
    </row>
    <row r="27" spans="1:5" x14ac:dyDescent="0.2">
      <c r="A27" s="1168"/>
      <c r="B27" s="1168"/>
      <c r="C27" s="1158"/>
      <c r="D27" s="1160" t="s">
        <v>1209</v>
      </c>
      <c r="E27" s="1088"/>
    </row>
    <row r="28" spans="1:5" x14ac:dyDescent="0.2">
      <c r="A28" s="1172"/>
      <c r="B28" s="1172"/>
      <c r="C28" s="1173" t="s">
        <v>1210</v>
      </c>
      <c r="D28" s="1174" t="s">
        <v>1211</v>
      </c>
      <c r="E28" s="1089"/>
    </row>
    <row r="29" spans="1:5" x14ac:dyDescent="0.2">
      <c r="A29" s="1176">
        <v>46295</v>
      </c>
      <c r="B29" s="1177" t="s">
        <v>1301</v>
      </c>
      <c r="C29" s="1166" t="s">
        <v>1046</v>
      </c>
      <c r="D29" s="1167" t="s">
        <v>1302</v>
      </c>
      <c r="E29" s="1178"/>
    </row>
    <row r="30" spans="1:5" ht="38.25" x14ac:dyDescent="0.2">
      <c r="A30" s="1164">
        <v>46297</v>
      </c>
      <c r="B30" s="1179" t="s">
        <v>1038</v>
      </c>
      <c r="C30" s="1170" t="s">
        <v>1309</v>
      </c>
      <c r="D30" s="1171" t="s">
        <v>1310</v>
      </c>
      <c r="E30" s="1149"/>
    </row>
    <row r="31" spans="1:5" ht="25.5" x14ac:dyDescent="0.2">
      <c r="A31" s="1172"/>
      <c r="B31" s="1161"/>
      <c r="C31" s="1181" t="s">
        <v>1311</v>
      </c>
      <c r="D31" s="1180" t="s">
        <v>1312</v>
      </c>
      <c r="E31" s="1149"/>
    </row>
    <row r="32" spans="1:5" ht="76.5" x14ac:dyDescent="0.2">
      <c r="A32" s="1184" t="s">
        <v>1315</v>
      </c>
      <c r="B32" s="1185" t="s">
        <v>1038</v>
      </c>
      <c r="C32" s="1185" t="s">
        <v>1317</v>
      </c>
      <c r="D32" s="1278" t="s">
        <v>1316</v>
      </c>
      <c r="E32" s="1149"/>
    </row>
    <row r="33" spans="1:5" ht="25.5" x14ac:dyDescent="0.2">
      <c r="A33" s="1268">
        <v>46304</v>
      </c>
      <c r="B33" s="1271" t="s">
        <v>1184</v>
      </c>
      <c r="C33" s="1271" t="s">
        <v>1322</v>
      </c>
      <c r="D33" s="1274" t="s">
        <v>1323</v>
      </c>
      <c r="E33" s="1087"/>
    </row>
    <row r="34" spans="1:5" ht="25.5" x14ac:dyDescent="0.2">
      <c r="A34" s="1269"/>
      <c r="B34" s="412"/>
      <c r="C34" s="1280" t="s">
        <v>1336</v>
      </c>
      <c r="D34" s="1275" t="s">
        <v>1332</v>
      </c>
      <c r="E34" s="1088"/>
    </row>
    <row r="35" spans="1:5" ht="38.25" x14ac:dyDescent="0.2">
      <c r="A35" s="1269"/>
      <c r="B35" s="1272" t="s">
        <v>1337</v>
      </c>
      <c r="C35" s="1272" t="s">
        <v>1324</v>
      </c>
      <c r="D35" s="1276" t="s">
        <v>1328</v>
      </c>
      <c r="E35" s="1088"/>
    </row>
    <row r="36" spans="1:5" x14ac:dyDescent="0.2">
      <c r="A36" s="1269"/>
      <c r="B36" s="1273"/>
      <c r="C36" s="1272" t="s">
        <v>1244</v>
      </c>
      <c r="D36" s="1276" t="s">
        <v>1325</v>
      </c>
      <c r="E36" s="1088"/>
    </row>
    <row r="37" spans="1:5" x14ac:dyDescent="0.2">
      <c r="A37" s="1269"/>
      <c r="B37" s="1272" t="s">
        <v>1038</v>
      </c>
      <c r="C37" s="1272" t="s">
        <v>1326</v>
      </c>
      <c r="D37" s="1276" t="s">
        <v>1327</v>
      </c>
      <c r="E37" s="1088"/>
    </row>
    <row r="38" spans="1:5" x14ac:dyDescent="0.2">
      <c r="A38" s="1269"/>
      <c r="B38" s="1272"/>
      <c r="C38" s="1272" t="s">
        <v>1334</v>
      </c>
      <c r="D38" s="1276" t="s">
        <v>1335</v>
      </c>
      <c r="E38" s="1088"/>
    </row>
    <row r="39" spans="1:5" ht="25.5" x14ac:dyDescent="0.2">
      <c r="A39" s="1269"/>
      <c r="B39" s="1272"/>
      <c r="C39" s="1272" t="s">
        <v>1329</v>
      </c>
      <c r="D39" s="1276" t="s">
        <v>1330</v>
      </c>
      <c r="E39" s="1088"/>
    </row>
    <row r="40" spans="1:5" x14ac:dyDescent="0.2">
      <c r="A40" s="1270"/>
      <c r="B40" s="1279" t="s">
        <v>1169</v>
      </c>
      <c r="C40" s="1279"/>
      <c r="D40" s="1279" t="s">
        <v>1338</v>
      </c>
      <c r="E40" s="1089"/>
    </row>
    <row r="41" spans="1:5" ht="25.5" x14ac:dyDescent="0.2">
      <c r="A41" s="1268">
        <v>46311</v>
      </c>
      <c r="B41" s="1271" t="s">
        <v>1038</v>
      </c>
      <c r="C41" s="1282" t="s">
        <v>1210</v>
      </c>
      <c r="D41" s="1284" t="s">
        <v>1339</v>
      </c>
      <c r="E41" s="1087"/>
    </row>
    <row r="42" spans="1:5" ht="25.5" x14ac:dyDescent="0.2">
      <c r="A42" s="1270"/>
      <c r="B42" s="1283" t="s">
        <v>1346</v>
      </c>
      <c r="C42" s="82"/>
      <c r="D42" s="1285" t="s">
        <v>1347</v>
      </c>
      <c r="E42" s="1089"/>
    </row>
    <row r="43" spans="1:5" x14ac:dyDescent="0.2">
      <c r="A43" s="1268">
        <v>46314</v>
      </c>
      <c r="B43" s="998" t="s">
        <v>1393</v>
      </c>
      <c r="C43" s="998"/>
      <c r="D43" s="1005" t="s">
        <v>1394</v>
      </c>
      <c r="E43" s="998"/>
    </row>
    <row r="44" spans="1:5" x14ac:dyDescent="0.2">
      <c r="A44" s="1255"/>
      <c r="B44" s="998" t="s">
        <v>1038</v>
      </c>
      <c r="C44" s="1331" t="s">
        <v>1433</v>
      </c>
      <c r="D44" s="1060" t="s">
        <v>1400</v>
      </c>
      <c r="E44" s="998"/>
    </row>
    <row r="45" spans="1:5" x14ac:dyDescent="0.2">
      <c r="A45" s="1255"/>
      <c r="B45" s="998" t="s">
        <v>1204</v>
      </c>
      <c r="C45" s="998" t="s">
        <v>1401</v>
      </c>
      <c r="D45" s="1060" t="s">
        <v>1402</v>
      </c>
      <c r="E45" s="998"/>
    </row>
    <row r="46" spans="1:5" ht="51" x14ac:dyDescent="0.2">
      <c r="A46" s="1328"/>
      <c r="B46" s="1329" t="s">
        <v>1301</v>
      </c>
      <c r="C46" s="1330" t="s">
        <v>1429</v>
      </c>
      <c r="D46" s="1330" t="s">
        <v>1430</v>
      </c>
      <c r="E46" s="1329"/>
    </row>
    <row r="47" spans="1:5" x14ac:dyDescent="0.2">
      <c r="A47" s="1255"/>
      <c r="B47" s="1255"/>
      <c r="C47" s="1255"/>
      <c r="D47" s="1255"/>
    </row>
    <row r="48" spans="1:5" x14ac:dyDescent="0.2">
      <c r="A48" s="1255"/>
      <c r="B48" s="1255"/>
      <c r="C48" s="1255"/>
      <c r="D48" s="1255"/>
    </row>
    <row r="49" spans="1:4" x14ac:dyDescent="0.2">
      <c r="A49" s="1255"/>
      <c r="B49" s="1255"/>
      <c r="C49" s="1255"/>
      <c r="D49" s="1255"/>
    </row>
    <row r="50" spans="1:4" x14ac:dyDescent="0.2">
      <c r="A50" s="1255"/>
      <c r="B50" s="1255"/>
      <c r="C50" s="1255"/>
      <c r="D50" s="1255"/>
    </row>
    <row r="51" spans="1:4" x14ac:dyDescent="0.2">
      <c r="A51" s="1255"/>
      <c r="B51" s="1255"/>
      <c r="C51" s="1255"/>
      <c r="D51" s="1255"/>
    </row>
    <row r="52" spans="1:4" x14ac:dyDescent="0.2">
      <c r="A52" s="1255"/>
      <c r="B52" s="1255"/>
      <c r="C52" s="1255"/>
      <c r="D52" s="1255"/>
    </row>
    <row r="53" spans="1:4" x14ac:dyDescent="0.2">
      <c r="A53" s="1175"/>
      <c r="B53" s="1175"/>
      <c r="C53" s="1175"/>
      <c r="D53" s="1175"/>
    </row>
    <row r="54" spans="1:4" x14ac:dyDescent="0.2">
      <c r="A54" s="1175"/>
      <c r="B54" s="1175"/>
      <c r="C54" s="1175"/>
      <c r="D54" s="1175"/>
    </row>
    <row r="55" spans="1:4" x14ac:dyDescent="0.2">
      <c r="A55" s="1175"/>
      <c r="B55" s="1175"/>
      <c r="C55" s="1175"/>
      <c r="D55" s="1175"/>
    </row>
    <row r="56" spans="1:4" x14ac:dyDescent="0.2">
      <c r="A56" s="1175"/>
      <c r="B56" s="1175"/>
      <c r="C56" s="1175"/>
      <c r="D56" s="1175"/>
    </row>
    <row r="57" spans="1:4" x14ac:dyDescent="0.2">
      <c r="A57" s="1175"/>
      <c r="B57" s="1175"/>
      <c r="C57" s="1175"/>
      <c r="D57" s="1175"/>
    </row>
    <row r="58" spans="1:4" x14ac:dyDescent="0.2">
      <c r="A58" s="1175"/>
      <c r="B58" s="1175"/>
      <c r="C58" s="1175"/>
      <c r="D58" s="1175"/>
    </row>
    <row r="59" spans="1:4" x14ac:dyDescent="0.2">
      <c r="A59" s="1175"/>
      <c r="B59" s="1175"/>
      <c r="C59" s="1175"/>
      <c r="D59" s="1175"/>
    </row>
    <row r="60" spans="1:4" x14ac:dyDescent="0.2">
      <c r="A60" s="1175"/>
      <c r="B60" s="1175"/>
      <c r="C60" s="1175"/>
      <c r="D60" s="1175"/>
    </row>
    <row r="61" spans="1:4" x14ac:dyDescent="0.2">
      <c r="A61" s="1175"/>
      <c r="B61" s="1175"/>
      <c r="C61" s="1175"/>
      <c r="D61" s="1175"/>
    </row>
    <row r="62" spans="1:4" x14ac:dyDescent="0.2">
      <c r="A62" s="1175"/>
      <c r="B62" s="1175"/>
      <c r="C62" s="1175"/>
      <c r="D62" s="1175"/>
    </row>
    <row r="63" spans="1:4" x14ac:dyDescent="0.2">
      <c r="A63" s="1175"/>
      <c r="B63" s="1175"/>
      <c r="C63" s="1175"/>
      <c r="D63" s="1175"/>
    </row>
    <row r="64" spans="1:4" x14ac:dyDescent="0.2">
      <c r="A64" s="1175"/>
      <c r="B64" s="1175"/>
      <c r="C64" s="1175"/>
      <c r="D64" s="1175"/>
    </row>
    <row r="65" spans="1:4" x14ac:dyDescent="0.2">
      <c r="A65" s="1175"/>
      <c r="B65" s="1175"/>
      <c r="C65" s="1175"/>
      <c r="D65" s="1175"/>
    </row>
    <row r="66" spans="1:4" x14ac:dyDescent="0.2">
      <c r="A66" s="1175"/>
      <c r="B66" s="1175"/>
      <c r="C66" s="1175"/>
      <c r="D66" s="1175"/>
    </row>
    <row r="67" spans="1:4" x14ac:dyDescent="0.2">
      <c r="A67" s="1175"/>
      <c r="B67" s="1175"/>
      <c r="C67" s="1175"/>
      <c r="D67" s="1175"/>
    </row>
    <row r="68" spans="1:4" x14ac:dyDescent="0.2">
      <c r="A68" s="1175"/>
      <c r="B68" s="1175"/>
      <c r="C68" s="1175"/>
      <c r="D68" s="1175"/>
    </row>
    <row r="69" spans="1:4" x14ac:dyDescent="0.2">
      <c r="A69" s="1175"/>
      <c r="B69" s="1175"/>
      <c r="C69" s="1175"/>
      <c r="D69" s="1175"/>
    </row>
    <row r="70" spans="1:4" x14ac:dyDescent="0.2">
      <c r="A70" s="1175"/>
      <c r="B70" s="1175"/>
      <c r="C70" s="1175"/>
      <c r="D70" s="1175"/>
    </row>
    <row r="71" spans="1:4" x14ac:dyDescent="0.2">
      <c r="A71" s="1175"/>
      <c r="B71" s="1175"/>
      <c r="C71" s="1175"/>
      <c r="D71" s="1175"/>
    </row>
    <row r="72" spans="1:4" x14ac:dyDescent="0.2">
      <c r="A72" s="1175"/>
      <c r="B72" s="1175"/>
      <c r="C72" s="1175"/>
      <c r="D72" s="1175"/>
    </row>
    <row r="73" spans="1:4" x14ac:dyDescent="0.2">
      <c r="A73" s="1175"/>
      <c r="B73" s="1175"/>
      <c r="C73" s="1175"/>
      <c r="D73" s="1175"/>
    </row>
    <row r="74" spans="1:4" x14ac:dyDescent="0.2">
      <c r="A74" s="1175"/>
      <c r="B74" s="1175"/>
      <c r="C74" s="1175"/>
      <c r="D74" s="1175"/>
    </row>
    <row r="75" spans="1:4" x14ac:dyDescent="0.2">
      <c r="A75" s="1175"/>
      <c r="B75" s="1175"/>
      <c r="C75" s="1175"/>
      <c r="D75" s="1175"/>
    </row>
    <row r="76" spans="1:4" x14ac:dyDescent="0.2">
      <c r="A76" s="1175"/>
      <c r="B76" s="1175"/>
      <c r="C76" s="1175"/>
      <c r="D76" s="1175"/>
    </row>
    <row r="77" spans="1:4" x14ac:dyDescent="0.2">
      <c r="A77" s="1175"/>
      <c r="B77" s="1175"/>
      <c r="C77" s="1175"/>
      <c r="D77" s="1175"/>
    </row>
    <row r="78" spans="1:4" x14ac:dyDescent="0.2">
      <c r="A78" s="1175"/>
      <c r="B78" s="1175"/>
      <c r="C78" s="1175"/>
      <c r="D78" s="1175"/>
    </row>
    <row r="79" spans="1:4" x14ac:dyDescent="0.2">
      <c r="A79" s="1175"/>
      <c r="B79" s="1175"/>
      <c r="C79" s="1175"/>
      <c r="D79" s="1175"/>
    </row>
    <row r="80" spans="1:4" x14ac:dyDescent="0.2">
      <c r="A80" s="1175"/>
      <c r="B80" s="1175"/>
      <c r="C80" s="1175"/>
      <c r="D80" s="1175"/>
    </row>
    <row r="81" spans="1:4" x14ac:dyDescent="0.2">
      <c r="A81" s="1175"/>
      <c r="B81" s="1175"/>
      <c r="C81" s="1175"/>
      <c r="D81" s="1175"/>
    </row>
    <row r="82" spans="1:4" x14ac:dyDescent="0.2">
      <c r="A82" s="1175"/>
      <c r="B82" s="1175"/>
      <c r="C82" s="1175"/>
      <c r="D82" s="1175"/>
    </row>
    <row r="83" spans="1:4" x14ac:dyDescent="0.2">
      <c r="A83" s="1175"/>
      <c r="B83" s="1175"/>
      <c r="C83" s="1175"/>
      <c r="D83" s="1175"/>
    </row>
    <row r="84" spans="1:4" x14ac:dyDescent="0.2">
      <c r="A84" s="1175"/>
      <c r="B84" s="1175"/>
      <c r="C84" s="1175"/>
      <c r="D84" s="1175"/>
    </row>
    <row r="85" spans="1:4" x14ac:dyDescent="0.2">
      <c r="A85" s="1175"/>
      <c r="B85" s="1175"/>
      <c r="C85" s="1175"/>
      <c r="D85" s="1175"/>
    </row>
    <row r="86" spans="1:4" x14ac:dyDescent="0.2">
      <c r="A86" s="1175"/>
      <c r="B86" s="1175"/>
      <c r="C86" s="1175"/>
      <c r="D86" s="1175"/>
    </row>
    <row r="87" spans="1:4" x14ac:dyDescent="0.2">
      <c r="A87" s="1175"/>
      <c r="B87" s="1175"/>
      <c r="C87" s="1175"/>
      <c r="D87" s="1175"/>
    </row>
    <row r="88" spans="1:4" x14ac:dyDescent="0.2">
      <c r="A88" s="1175"/>
      <c r="B88" s="1175"/>
      <c r="C88" s="1175"/>
      <c r="D88" s="1175"/>
    </row>
    <row r="89" spans="1:4" x14ac:dyDescent="0.2">
      <c r="A89" s="1175"/>
      <c r="B89" s="1175"/>
      <c r="C89" s="1175"/>
      <c r="D89" s="1175"/>
    </row>
    <row r="90" spans="1:4" x14ac:dyDescent="0.2">
      <c r="A90" s="1175"/>
      <c r="B90" s="1175"/>
      <c r="C90" s="1175"/>
      <c r="D90" s="1175"/>
    </row>
    <row r="91" spans="1:4" x14ac:dyDescent="0.2">
      <c r="A91" s="1175"/>
      <c r="B91" s="1175"/>
      <c r="C91" s="1175"/>
      <c r="D91" s="1175"/>
    </row>
    <row r="92" spans="1:4" x14ac:dyDescent="0.2">
      <c r="A92" s="1175"/>
      <c r="B92" s="1175"/>
      <c r="C92" s="1175"/>
      <c r="D92" s="1175"/>
    </row>
    <row r="93" spans="1:4" x14ac:dyDescent="0.2">
      <c r="A93" s="1175"/>
      <c r="B93" s="1175"/>
      <c r="C93" s="1175"/>
      <c r="D93" s="1175"/>
    </row>
    <row r="94" spans="1:4" x14ac:dyDescent="0.2">
      <c r="A94" s="1175"/>
      <c r="B94" s="1175"/>
      <c r="C94" s="1175"/>
      <c r="D94" s="1175"/>
    </row>
    <row r="95" spans="1:4" x14ac:dyDescent="0.2">
      <c r="A95" s="1175"/>
      <c r="B95" s="1175"/>
      <c r="C95" s="1175"/>
      <c r="D95" s="1175"/>
    </row>
    <row r="96" spans="1:4" x14ac:dyDescent="0.2">
      <c r="A96" s="1175"/>
      <c r="B96" s="1175"/>
      <c r="C96" s="1175"/>
      <c r="D96" s="1175"/>
    </row>
    <row r="97" spans="1:4" x14ac:dyDescent="0.2">
      <c r="A97" s="1175"/>
      <c r="B97" s="1175"/>
      <c r="C97" s="1175"/>
      <c r="D97" s="1175"/>
    </row>
    <row r="98" spans="1:4" x14ac:dyDescent="0.2">
      <c r="A98" s="1175"/>
      <c r="B98" s="1175"/>
      <c r="C98" s="1175"/>
      <c r="D98" s="1175"/>
    </row>
    <row r="99" spans="1:4" x14ac:dyDescent="0.2">
      <c r="A99" s="1175"/>
      <c r="B99" s="1175"/>
      <c r="C99" s="1175"/>
      <c r="D99" s="1175"/>
    </row>
    <row r="100" spans="1:4" x14ac:dyDescent="0.2">
      <c r="A100" s="1175"/>
      <c r="B100" s="1175"/>
      <c r="C100" s="1175"/>
      <c r="D100" s="1175"/>
    </row>
    <row r="101" spans="1:4" x14ac:dyDescent="0.2">
      <c r="A101" s="1175"/>
      <c r="B101" s="1175"/>
      <c r="C101" s="1175"/>
      <c r="D101" s="1175"/>
    </row>
    <row r="102" spans="1:4" x14ac:dyDescent="0.2">
      <c r="A102" s="1175"/>
      <c r="B102" s="1175"/>
      <c r="C102" s="1175"/>
      <c r="D102" s="1175"/>
    </row>
    <row r="103" spans="1:4" x14ac:dyDescent="0.2">
      <c r="A103" s="1175"/>
      <c r="B103" s="1175"/>
      <c r="C103" s="1175"/>
      <c r="D103" s="1175"/>
    </row>
    <row r="104" spans="1:4" x14ac:dyDescent="0.2">
      <c r="A104" s="1175"/>
      <c r="B104" s="1175"/>
      <c r="C104" s="1175"/>
      <c r="D104" s="1175"/>
    </row>
    <row r="105" spans="1:4" x14ac:dyDescent="0.2">
      <c r="A105" s="1175"/>
      <c r="B105" s="1175"/>
      <c r="C105" s="1175"/>
      <c r="D105" s="1175"/>
    </row>
    <row r="106" spans="1:4" x14ac:dyDescent="0.2">
      <c r="A106" s="1175"/>
      <c r="B106" s="1175"/>
      <c r="C106" s="1175"/>
      <c r="D106" s="1175"/>
    </row>
    <row r="107" spans="1:4" x14ac:dyDescent="0.2">
      <c r="A107" s="1175"/>
      <c r="B107" s="1175"/>
      <c r="C107" s="1175"/>
      <c r="D107" s="1175"/>
    </row>
    <row r="108" spans="1:4" x14ac:dyDescent="0.2">
      <c r="A108" s="1175"/>
      <c r="B108" s="1175"/>
      <c r="C108" s="1175"/>
      <c r="D108" s="1175"/>
    </row>
    <row r="109" spans="1:4" x14ac:dyDescent="0.2">
      <c r="A109" s="1175"/>
      <c r="B109" s="1175"/>
      <c r="C109" s="1175"/>
      <c r="D109" s="1175"/>
    </row>
    <row r="110" spans="1:4" x14ac:dyDescent="0.2">
      <c r="A110" s="1175"/>
      <c r="B110" s="1175"/>
      <c r="C110" s="1175"/>
      <c r="D110" s="1175"/>
    </row>
    <row r="111" spans="1:4" x14ac:dyDescent="0.2">
      <c r="A111" s="1175"/>
      <c r="B111" s="1175"/>
      <c r="C111" s="1175"/>
      <c r="D111" s="1175"/>
    </row>
    <row r="112" spans="1:4" x14ac:dyDescent="0.2">
      <c r="A112" s="1175"/>
      <c r="B112" s="1175"/>
      <c r="C112" s="1175"/>
      <c r="D112" s="1175"/>
    </row>
    <row r="113" spans="1:4" x14ac:dyDescent="0.2">
      <c r="A113" s="1175"/>
      <c r="B113" s="1175"/>
      <c r="C113" s="1175"/>
      <c r="D113" s="1175"/>
    </row>
    <row r="114" spans="1:4" x14ac:dyDescent="0.2">
      <c r="A114" s="1175"/>
      <c r="B114" s="1175"/>
      <c r="C114" s="1175"/>
      <c r="D114" s="1175"/>
    </row>
    <row r="115" spans="1:4" x14ac:dyDescent="0.2">
      <c r="A115" s="1175"/>
      <c r="B115" s="1175"/>
      <c r="C115" s="1175"/>
      <c r="D115" s="1175"/>
    </row>
    <row r="116" spans="1:4" x14ac:dyDescent="0.2">
      <c r="A116" s="1175"/>
      <c r="B116" s="1175"/>
      <c r="C116" s="1175"/>
      <c r="D116" s="1175"/>
    </row>
    <row r="117" spans="1:4" x14ac:dyDescent="0.2">
      <c r="A117" s="1175"/>
      <c r="B117" s="1175"/>
      <c r="C117" s="1175"/>
      <c r="D117" s="1175"/>
    </row>
    <row r="118" spans="1:4" x14ac:dyDescent="0.2">
      <c r="A118" s="1175"/>
      <c r="B118" s="1175"/>
      <c r="C118" s="1175"/>
      <c r="D118" s="1175"/>
    </row>
    <row r="119" spans="1:4" x14ac:dyDescent="0.2">
      <c r="A119" s="1175"/>
      <c r="B119" s="1175"/>
      <c r="C119" s="1175"/>
      <c r="D119" s="1175"/>
    </row>
    <row r="120" spans="1:4" x14ac:dyDescent="0.2">
      <c r="A120" s="1175"/>
      <c r="B120" s="1175"/>
      <c r="C120" s="1175"/>
      <c r="D120" s="1175"/>
    </row>
    <row r="121" spans="1:4" x14ac:dyDescent="0.2">
      <c r="A121" s="1175"/>
      <c r="B121" s="1175"/>
      <c r="C121" s="1175"/>
      <c r="D121" s="1175"/>
    </row>
    <row r="122" spans="1:4" x14ac:dyDescent="0.2">
      <c r="A122" s="1175"/>
      <c r="B122" s="1175"/>
      <c r="C122" s="1175"/>
      <c r="D122" s="1175"/>
    </row>
    <row r="123" spans="1:4" x14ac:dyDescent="0.2">
      <c r="A123" s="1175"/>
      <c r="B123" s="1175"/>
      <c r="C123" s="1175"/>
      <c r="D123" s="1175"/>
    </row>
    <row r="124" spans="1:4" x14ac:dyDescent="0.2">
      <c r="A124" s="1175"/>
      <c r="B124" s="1175"/>
      <c r="C124" s="1175"/>
      <c r="D124" s="1175"/>
    </row>
    <row r="125" spans="1:4" x14ac:dyDescent="0.2">
      <c r="A125" s="1175"/>
      <c r="B125" s="1175"/>
      <c r="C125" s="1175"/>
      <c r="D125" s="1175"/>
    </row>
    <row r="126" spans="1:4" x14ac:dyDescent="0.2">
      <c r="A126" s="1175"/>
      <c r="B126" s="1175"/>
      <c r="C126" s="1175"/>
      <c r="D126" s="1175"/>
    </row>
    <row r="127" spans="1:4" x14ac:dyDescent="0.2">
      <c r="A127" s="1175"/>
      <c r="B127" s="1175"/>
      <c r="C127" s="1175"/>
      <c r="D127" s="1175"/>
    </row>
    <row r="128" spans="1:4" x14ac:dyDescent="0.2">
      <c r="A128" s="1175"/>
      <c r="B128" s="1175"/>
      <c r="C128" s="1175"/>
      <c r="D128" s="1175"/>
    </row>
    <row r="129" spans="1:4" x14ac:dyDescent="0.2">
      <c r="A129" s="1175"/>
      <c r="B129" s="1175"/>
      <c r="C129" s="1175"/>
      <c r="D129" s="1175"/>
    </row>
    <row r="130" spans="1:4" x14ac:dyDescent="0.2">
      <c r="A130" s="1175"/>
      <c r="B130" s="1175"/>
      <c r="C130" s="1175"/>
      <c r="D130" s="1175"/>
    </row>
    <row r="131" spans="1:4" x14ac:dyDescent="0.2">
      <c r="A131" s="1175"/>
      <c r="B131" s="1175"/>
      <c r="C131" s="1175"/>
      <c r="D131" s="1175"/>
    </row>
    <row r="132" spans="1:4" x14ac:dyDescent="0.2">
      <c r="A132" s="1175"/>
      <c r="B132" s="1175"/>
      <c r="C132" s="1175"/>
      <c r="D132" s="1175"/>
    </row>
    <row r="133" spans="1:4" x14ac:dyDescent="0.2">
      <c r="A133" s="1175"/>
      <c r="B133" s="1175"/>
      <c r="C133" s="1175"/>
      <c r="D133" s="1175"/>
    </row>
    <row r="134" spans="1:4" x14ac:dyDescent="0.2">
      <c r="A134" s="1175"/>
      <c r="B134" s="1175"/>
      <c r="C134" s="1175"/>
      <c r="D134" s="1175"/>
    </row>
    <row r="135" spans="1:4" x14ac:dyDescent="0.2">
      <c r="A135" s="1175"/>
      <c r="B135" s="1175"/>
      <c r="C135" s="1175"/>
      <c r="D135" s="1175"/>
    </row>
    <row r="136" spans="1:4" x14ac:dyDescent="0.2">
      <c r="A136" s="1175"/>
      <c r="B136" s="1175"/>
      <c r="C136" s="1175"/>
      <c r="D136" s="1175"/>
    </row>
    <row r="137" spans="1:4" x14ac:dyDescent="0.2">
      <c r="A137" s="1175"/>
      <c r="B137" s="1175"/>
      <c r="C137" s="1175"/>
      <c r="D137" s="1175"/>
    </row>
    <row r="138" spans="1:4" x14ac:dyDescent="0.2">
      <c r="A138" s="1175"/>
      <c r="B138" s="1175"/>
      <c r="C138" s="1175"/>
      <c r="D138" s="1175"/>
    </row>
    <row r="139" spans="1:4" x14ac:dyDescent="0.2">
      <c r="A139" s="1175"/>
      <c r="B139" s="1175"/>
      <c r="C139" s="1175"/>
      <c r="D139" s="1175"/>
    </row>
    <row r="140" spans="1:4" x14ac:dyDescent="0.2">
      <c r="A140" s="1175"/>
      <c r="B140" s="1175"/>
      <c r="C140" s="1175"/>
      <c r="D140" s="1175"/>
    </row>
  </sheetData>
  <sheetProtection algorithmName="SHA-512" hashValue="DsFldpPea5Iabt+rSHPuUg3UnSBy7LMi1lxEYWeA33eR4El+cQD0eQyMDT+4Cu8f2Tc7JQC0dmJDjdlJK5+EQw==" saltValue="myn5uxR6h4foyTh8TWidZA==" spinCount="100000" sheet="1" objects="1" scenarios="1"/>
  <mergeCells count="2">
    <mergeCell ref="A2:E2"/>
    <mergeCell ref="A7:A13"/>
  </mergeCells>
  <phoneticPr fontId="71" type="noConversion"/>
  <pageMargins left="0.70866141732283472" right="0.70866141732283472" top="0.78740157480314965" bottom="0.78740157480314965" header="0.31496062992125984" footer="0.31496062992125984"/>
  <pageSetup paperSize="9" scale="84" fitToHeight="10" orientation="landscape"/>
  <headerFooter>
    <oddFooter>&amp;LVersion 19.10.2026&amp;CVerhandlungsunterlagen SGB XI (vereinfacht PH)&amp;RPSK-Beschluss vom 08.10.2026</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6FA4E-FA6C-4D65-8A62-D8900722D98C}">
  <dimension ref="A1:NT21"/>
  <sheetViews>
    <sheetView workbookViewId="0"/>
  </sheetViews>
  <sheetFormatPr baseColWidth="10" defaultRowHeight="14.25" x14ac:dyDescent="0.2"/>
  <cols>
    <col min="6" max="6" width="12.125" bestFit="1" customWidth="1"/>
    <col min="53" max="53" width="25.625" customWidth="1"/>
    <col min="97" max="97" width="11.625" bestFit="1" customWidth="1"/>
    <col min="127" max="127" width="12" bestFit="1" customWidth="1"/>
  </cols>
  <sheetData>
    <row r="1" spans="1:384" s="925" customFormat="1" ht="71.25" x14ac:dyDescent="0.2">
      <c r="A1" s="917" t="s">
        <v>558</v>
      </c>
      <c r="B1" s="918" t="s">
        <v>559</v>
      </c>
      <c r="C1" s="918" t="s">
        <v>560</v>
      </c>
      <c r="D1" s="918" t="s">
        <v>561</v>
      </c>
      <c r="E1" s="918" t="s">
        <v>562</v>
      </c>
      <c r="F1" s="918" t="s">
        <v>563</v>
      </c>
      <c r="G1" s="918" t="s">
        <v>564</v>
      </c>
      <c r="H1" s="918" t="s">
        <v>565</v>
      </c>
      <c r="I1" s="918" t="s">
        <v>566</v>
      </c>
      <c r="J1" s="918" t="s">
        <v>567</v>
      </c>
      <c r="K1" s="918" t="s">
        <v>568</v>
      </c>
      <c r="L1" s="918" t="s">
        <v>569</v>
      </c>
      <c r="M1" s="918" t="s">
        <v>570</v>
      </c>
      <c r="N1" s="918" t="s">
        <v>119</v>
      </c>
      <c r="O1" s="918" t="s">
        <v>9</v>
      </c>
      <c r="P1" s="918" t="s">
        <v>571</v>
      </c>
      <c r="Q1" s="918" t="s">
        <v>572</v>
      </c>
      <c r="R1" s="918" t="s">
        <v>573</v>
      </c>
      <c r="S1" s="918" t="s">
        <v>574</v>
      </c>
      <c r="T1" s="918" t="s">
        <v>575</v>
      </c>
      <c r="U1" s="918" t="s">
        <v>576</v>
      </c>
      <c r="V1" s="918" t="s">
        <v>577</v>
      </c>
      <c r="W1" s="918" t="s">
        <v>578</v>
      </c>
      <c r="X1" s="918" t="s">
        <v>579</v>
      </c>
      <c r="Y1" s="918" t="s">
        <v>580</v>
      </c>
      <c r="Z1" s="918" t="s">
        <v>581</v>
      </c>
      <c r="AA1" s="918" t="s">
        <v>582</v>
      </c>
      <c r="AB1" s="918" t="s">
        <v>549</v>
      </c>
      <c r="AC1" s="918" t="s">
        <v>583</v>
      </c>
      <c r="AD1" s="918" t="s">
        <v>584</v>
      </c>
      <c r="AE1" s="918" t="s">
        <v>585</v>
      </c>
      <c r="AF1" s="918" t="s">
        <v>586</v>
      </c>
      <c r="AG1" s="918" t="s">
        <v>587</v>
      </c>
      <c r="AH1" s="918" t="s">
        <v>588</v>
      </c>
      <c r="AI1" s="918" t="s">
        <v>589</v>
      </c>
      <c r="AJ1" s="918" t="s">
        <v>590</v>
      </c>
      <c r="AK1" s="918" t="s">
        <v>591</v>
      </c>
      <c r="AL1" s="918" t="s">
        <v>592</v>
      </c>
      <c r="AM1" s="918" t="s">
        <v>593</v>
      </c>
      <c r="AN1" s="918" t="s">
        <v>594</v>
      </c>
      <c r="AO1" s="918" t="s">
        <v>595</v>
      </c>
      <c r="AP1" s="918" t="s">
        <v>596</v>
      </c>
      <c r="AQ1" s="919" t="s">
        <v>550</v>
      </c>
      <c r="AR1" s="922" t="s">
        <v>597</v>
      </c>
      <c r="AS1" s="922" t="s">
        <v>598</v>
      </c>
      <c r="AT1" s="922" t="s">
        <v>599</v>
      </c>
      <c r="AU1" s="922" t="s">
        <v>600</v>
      </c>
      <c r="AV1" s="922" t="s">
        <v>601</v>
      </c>
      <c r="AW1" s="922" t="s">
        <v>602</v>
      </c>
      <c r="AX1" s="922" t="s">
        <v>603</v>
      </c>
      <c r="AY1" s="922" t="s">
        <v>604</v>
      </c>
      <c r="AZ1" s="922" t="s">
        <v>605</v>
      </c>
      <c r="BA1" s="922" t="s">
        <v>606</v>
      </c>
      <c r="BB1" s="922" t="s">
        <v>607</v>
      </c>
      <c r="BC1" s="922" t="s">
        <v>608</v>
      </c>
      <c r="BD1" s="919" t="s">
        <v>609</v>
      </c>
      <c r="BE1" s="919" t="s">
        <v>610</v>
      </c>
      <c r="BF1" s="919" t="s">
        <v>611</v>
      </c>
      <c r="BG1" s="919" t="s">
        <v>612</v>
      </c>
      <c r="BH1" s="919" t="s">
        <v>613</v>
      </c>
      <c r="BI1" s="919" t="s">
        <v>614</v>
      </c>
      <c r="BJ1" s="919" t="s">
        <v>615</v>
      </c>
      <c r="BK1" s="919" t="s">
        <v>616</v>
      </c>
      <c r="BL1" s="919" t="s">
        <v>617</v>
      </c>
      <c r="BM1" s="919" t="s">
        <v>618</v>
      </c>
      <c r="BN1" s="919" t="s">
        <v>619</v>
      </c>
      <c r="BO1" s="919" t="s">
        <v>620</v>
      </c>
      <c r="BP1" s="922" t="s">
        <v>621</v>
      </c>
      <c r="BQ1" s="922" t="s">
        <v>622</v>
      </c>
      <c r="BR1" s="922" t="s">
        <v>623</v>
      </c>
      <c r="BS1" s="922" t="s">
        <v>624</v>
      </c>
      <c r="BT1" s="922" t="s">
        <v>625</v>
      </c>
      <c r="BU1" s="922" t="s">
        <v>626</v>
      </c>
      <c r="BV1" s="922" t="s">
        <v>627</v>
      </c>
      <c r="BW1" s="922" t="s">
        <v>628</v>
      </c>
      <c r="BX1" s="922" t="s">
        <v>629</v>
      </c>
      <c r="BY1" s="922" t="s">
        <v>630</v>
      </c>
      <c r="BZ1" s="922" t="s">
        <v>631</v>
      </c>
      <c r="CA1" s="922" t="s">
        <v>632</v>
      </c>
      <c r="CB1" s="922" t="s">
        <v>633</v>
      </c>
      <c r="CC1" s="922" t="s">
        <v>634</v>
      </c>
      <c r="CD1" s="922" t="s">
        <v>635</v>
      </c>
      <c r="CE1" s="922" t="s">
        <v>636</v>
      </c>
      <c r="CF1" s="922" t="s">
        <v>637</v>
      </c>
      <c r="CG1" s="922" t="s">
        <v>638</v>
      </c>
      <c r="CH1" s="922" t="s">
        <v>639</v>
      </c>
      <c r="CI1" s="922" t="s">
        <v>640</v>
      </c>
      <c r="CJ1" s="922" t="s">
        <v>641</v>
      </c>
      <c r="CK1" s="922" t="s">
        <v>642</v>
      </c>
      <c r="CL1" s="922" t="s">
        <v>643</v>
      </c>
      <c r="CM1" s="922" t="s">
        <v>644</v>
      </c>
      <c r="CN1" s="922" t="s">
        <v>645</v>
      </c>
      <c r="CO1" s="922" t="s">
        <v>646</v>
      </c>
      <c r="CP1" s="922" t="s">
        <v>647</v>
      </c>
      <c r="CQ1" s="922" t="s">
        <v>648</v>
      </c>
      <c r="CR1" s="922" t="s">
        <v>649</v>
      </c>
      <c r="CS1" s="922" t="s">
        <v>650</v>
      </c>
      <c r="CT1" s="922" t="s">
        <v>651</v>
      </c>
      <c r="CU1" s="922" t="s">
        <v>652</v>
      </c>
      <c r="CV1" s="922" t="s">
        <v>653</v>
      </c>
      <c r="CW1" s="922" t="s">
        <v>654</v>
      </c>
      <c r="CX1" s="922" t="s">
        <v>655</v>
      </c>
      <c r="CY1" s="922" t="s">
        <v>656</v>
      </c>
      <c r="CZ1" s="922" t="s">
        <v>657</v>
      </c>
      <c r="DA1" s="922" t="s">
        <v>658</v>
      </c>
      <c r="DB1" s="922" t="s">
        <v>659</v>
      </c>
      <c r="DC1" s="922" t="s">
        <v>660</v>
      </c>
      <c r="DD1" s="922" t="s">
        <v>661</v>
      </c>
      <c r="DE1" s="922" t="s">
        <v>662</v>
      </c>
      <c r="DF1" s="922" t="s">
        <v>663</v>
      </c>
      <c r="DG1" s="922" t="s">
        <v>664</v>
      </c>
      <c r="DH1" s="922" t="s">
        <v>665</v>
      </c>
      <c r="DI1" s="922" t="s">
        <v>666</v>
      </c>
      <c r="DJ1" s="920" t="s">
        <v>667</v>
      </c>
      <c r="DK1" s="920" t="s">
        <v>668</v>
      </c>
      <c r="DL1" s="920" t="s">
        <v>669</v>
      </c>
      <c r="DM1" s="920" t="s">
        <v>670</v>
      </c>
      <c r="DN1" s="922" t="s">
        <v>671</v>
      </c>
      <c r="DO1" s="922" t="s">
        <v>672</v>
      </c>
      <c r="DP1" s="922" t="s">
        <v>673</v>
      </c>
      <c r="DQ1" s="922" t="s">
        <v>674</v>
      </c>
      <c r="DR1" s="922" t="s">
        <v>675</v>
      </c>
      <c r="DS1" s="922" t="s">
        <v>676</v>
      </c>
      <c r="DT1" s="922" t="s">
        <v>677</v>
      </c>
      <c r="DU1" s="922" t="s">
        <v>678</v>
      </c>
      <c r="DV1" s="922" t="s">
        <v>679</v>
      </c>
      <c r="DW1" s="922" t="s">
        <v>680</v>
      </c>
      <c r="DX1" s="922" t="s">
        <v>681</v>
      </c>
      <c r="DY1" s="922" t="s">
        <v>682</v>
      </c>
      <c r="DZ1" s="922" t="s">
        <v>683</v>
      </c>
      <c r="EA1" s="922" t="s">
        <v>684</v>
      </c>
      <c r="EB1" s="922" t="s">
        <v>685</v>
      </c>
      <c r="EC1" s="922" t="s">
        <v>686</v>
      </c>
      <c r="ED1" s="922" t="s">
        <v>687</v>
      </c>
      <c r="EE1" s="922" t="s">
        <v>688</v>
      </c>
      <c r="EF1" s="922" t="s">
        <v>689</v>
      </c>
      <c r="EG1" s="922" t="s">
        <v>690</v>
      </c>
      <c r="EH1" s="922" t="s">
        <v>691</v>
      </c>
      <c r="EI1" s="922" t="s">
        <v>692</v>
      </c>
      <c r="EJ1" s="922" t="s">
        <v>693</v>
      </c>
      <c r="EK1" s="922" t="s">
        <v>694</v>
      </c>
      <c r="EL1" s="922" t="s">
        <v>695</v>
      </c>
      <c r="EM1" s="922" t="s">
        <v>696</v>
      </c>
      <c r="EN1" s="922" t="s">
        <v>697</v>
      </c>
      <c r="EO1" s="922" t="s">
        <v>698</v>
      </c>
      <c r="EP1" s="922" t="s">
        <v>699</v>
      </c>
      <c r="EQ1" s="922" t="s">
        <v>700</v>
      </c>
      <c r="ER1" s="922" t="s">
        <v>701</v>
      </c>
      <c r="ES1" s="922" t="s">
        <v>702</v>
      </c>
      <c r="ET1" s="922" t="s">
        <v>703</v>
      </c>
      <c r="EU1" s="922" t="s">
        <v>704</v>
      </c>
      <c r="EV1" s="957" t="s">
        <v>705</v>
      </c>
      <c r="EW1" s="922" t="s">
        <v>706</v>
      </c>
      <c r="EX1" s="922" t="s">
        <v>707</v>
      </c>
      <c r="EY1" s="922" t="s">
        <v>708</v>
      </c>
      <c r="EZ1" s="922" t="s">
        <v>709</v>
      </c>
      <c r="FA1" s="922" t="s">
        <v>710</v>
      </c>
      <c r="FB1" s="922" t="s">
        <v>711</v>
      </c>
      <c r="FC1" s="922" t="s">
        <v>712</v>
      </c>
      <c r="FD1" s="921" t="s">
        <v>713</v>
      </c>
      <c r="FE1" s="921" t="s">
        <v>714</v>
      </c>
      <c r="FF1" s="921" t="s">
        <v>715</v>
      </c>
      <c r="FG1" s="922" t="s">
        <v>716</v>
      </c>
      <c r="FH1" s="921" t="s">
        <v>717</v>
      </c>
      <c r="FI1" s="922" t="s">
        <v>718</v>
      </c>
      <c r="FJ1" s="921" t="s">
        <v>719</v>
      </c>
      <c r="FK1" s="922" t="s">
        <v>720</v>
      </c>
      <c r="FL1" s="921" t="s">
        <v>721</v>
      </c>
      <c r="FM1" s="922" t="s">
        <v>722</v>
      </c>
      <c r="FN1" s="922" t="s">
        <v>723</v>
      </c>
      <c r="FO1" s="921" t="s">
        <v>724</v>
      </c>
      <c r="FP1" s="921" t="s">
        <v>725</v>
      </c>
      <c r="FQ1" s="921" t="s">
        <v>726</v>
      </c>
      <c r="FR1" s="922" t="s">
        <v>727</v>
      </c>
      <c r="FS1" s="922" t="s">
        <v>728</v>
      </c>
      <c r="FT1" s="921" t="s">
        <v>729</v>
      </c>
      <c r="FU1" s="922" t="s">
        <v>730</v>
      </c>
      <c r="FV1" s="922" t="s">
        <v>731</v>
      </c>
      <c r="FW1" s="921" t="s">
        <v>732</v>
      </c>
      <c r="FX1" s="921" t="s">
        <v>733</v>
      </c>
      <c r="FY1" s="922" t="s">
        <v>734</v>
      </c>
      <c r="FZ1" s="922" t="s">
        <v>735</v>
      </c>
      <c r="GA1" s="922" t="s">
        <v>736</v>
      </c>
      <c r="GB1" s="922" t="s">
        <v>737</v>
      </c>
      <c r="GC1" s="922" t="s">
        <v>738</v>
      </c>
      <c r="GD1" s="921" t="s">
        <v>739</v>
      </c>
      <c r="GE1" s="921" t="s">
        <v>740</v>
      </c>
      <c r="GF1" s="921" t="s">
        <v>741</v>
      </c>
      <c r="GG1" s="921" t="s">
        <v>742</v>
      </c>
      <c r="GH1" s="922" t="s">
        <v>743</v>
      </c>
      <c r="GI1" s="922" t="s">
        <v>744</v>
      </c>
      <c r="GJ1" s="922" t="s">
        <v>745</v>
      </c>
      <c r="GK1" s="922" t="s">
        <v>746</v>
      </c>
      <c r="GL1" s="922" t="s">
        <v>747</v>
      </c>
      <c r="GM1" s="922" t="s">
        <v>748</v>
      </c>
      <c r="GN1" s="922" t="s">
        <v>749</v>
      </c>
      <c r="GO1" s="922" t="s">
        <v>750</v>
      </c>
      <c r="GP1" s="922" t="s">
        <v>751</v>
      </c>
      <c r="GQ1" s="959" t="s">
        <v>752</v>
      </c>
      <c r="GR1" s="921" t="s">
        <v>753</v>
      </c>
      <c r="GS1" s="921" t="s">
        <v>754</v>
      </c>
      <c r="GT1" s="921" t="s">
        <v>755</v>
      </c>
      <c r="GU1" s="922" t="s">
        <v>756</v>
      </c>
      <c r="GV1" s="921" t="s">
        <v>757</v>
      </c>
      <c r="GW1" s="921" t="s">
        <v>758</v>
      </c>
      <c r="GX1" s="921" t="s">
        <v>759</v>
      </c>
      <c r="GY1" s="922" t="s">
        <v>760</v>
      </c>
      <c r="GZ1" s="922" t="s">
        <v>761</v>
      </c>
      <c r="HA1" s="922" t="s">
        <v>762</v>
      </c>
      <c r="HB1" s="921" t="s">
        <v>763</v>
      </c>
      <c r="HC1" s="922" t="s">
        <v>764</v>
      </c>
      <c r="HD1" s="922" t="s">
        <v>765</v>
      </c>
      <c r="HE1" s="921" t="s">
        <v>766</v>
      </c>
      <c r="HF1" s="921" t="s">
        <v>767</v>
      </c>
      <c r="HG1" s="921" t="s">
        <v>768</v>
      </c>
      <c r="HH1" s="921" t="s">
        <v>769</v>
      </c>
      <c r="HI1" s="921" t="s">
        <v>770</v>
      </c>
      <c r="HJ1" s="921" t="s">
        <v>771</v>
      </c>
      <c r="HK1" s="916" t="s">
        <v>772</v>
      </c>
      <c r="HL1" s="916" t="s">
        <v>773</v>
      </c>
      <c r="HM1" s="916" t="s">
        <v>774</v>
      </c>
      <c r="HN1" s="923" t="s">
        <v>775</v>
      </c>
      <c r="HO1" s="916" t="s">
        <v>776</v>
      </c>
      <c r="HP1" s="916" t="s">
        <v>777</v>
      </c>
      <c r="HQ1" s="916" t="s">
        <v>778</v>
      </c>
      <c r="HR1" s="916" t="s">
        <v>779</v>
      </c>
      <c r="HS1" s="916" t="s">
        <v>780</v>
      </c>
      <c r="HT1" s="916" t="s">
        <v>781</v>
      </c>
      <c r="HU1" s="916" t="s">
        <v>782</v>
      </c>
      <c r="HV1" s="916" t="s">
        <v>783</v>
      </c>
      <c r="HW1" s="916" t="s">
        <v>784</v>
      </c>
      <c r="HX1" s="916" t="s">
        <v>785</v>
      </c>
      <c r="HY1" s="916" t="s">
        <v>786</v>
      </c>
      <c r="HZ1" s="916" t="s">
        <v>787</v>
      </c>
      <c r="IA1" s="916" t="s">
        <v>788</v>
      </c>
      <c r="IB1" s="916" t="s">
        <v>789</v>
      </c>
      <c r="IC1" s="916" t="s">
        <v>790</v>
      </c>
      <c r="ID1" s="916" t="s">
        <v>791</v>
      </c>
      <c r="IE1" s="916" t="s">
        <v>792</v>
      </c>
      <c r="IF1" s="916" t="s">
        <v>793</v>
      </c>
      <c r="IG1" s="916" t="s">
        <v>794</v>
      </c>
      <c r="IH1" s="916" t="s">
        <v>795</v>
      </c>
      <c r="II1" s="916" t="s">
        <v>796</v>
      </c>
      <c r="IJ1" s="916" t="s">
        <v>797</v>
      </c>
      <c r="IK1" s="916" t="s">
        <v>798</v>
      </c>
      <c r="IL1" s="916" t="s">
        <v>799</v>
      </c>
      <c r="IM1" s="916" t="s">
        <v>800</v>
      </c>
      <c r="IN1" s="922" t="s">
        <v>801</v>
      </c>
      <c r="IO1" s="922" t="s">
        <v>802</v>
      </c>
      <c r="IP1" s="916" t="s">
        <v>803</v>
      </c>
      <c r="IQ1" s="916" t="s">
        <v>804</v>
      </c>
      <c r="IR1" s="916" t="s">
        <v>805</v>
      </c>
      <c r="IS1" s="916" t="s">
        <v>806</v>
      </c>
      <c r="IT1" s="916" t="s">
        <v>807</v>
      </c>
      <c r="IU1" s="916" t="s">
        <v>808</v>
      </c>
      <c r="IV1" s="916" t="s">
        <v>809</v>
      </c>
      <c r="IW1" s="916" t="s">
        <v>810</v>
      </c>
      <c r="IX1" s="916" t="s">
        <v>811</v>
      </c>
      <c r="IY1" s="916" t="s">
        <v>812</v>
      </c>
      <c r="IZ1" s="922" t="s">
        <v>813</v>
      </c>
      <c r="JA1" s="916" t="s">
        <v>814</v>
      </c>
      <c r="JB1" s="916" t="s">
        <v>815</v>
      </c>
      <c r="JC1" s="916" t="s">
        <v>816</v>
      </c>
      <c r="JD1" s="916" t="s">
        <v>817</v>
      </c>
      <c r="JE1" s="916" t="s">
        <v>818</v>
      </c>
      <c r="JF1" s="916" t="s">
        <v>819</v>
      </c>
      <c r="JG1" s="916" t="s">
        <v>820</v>
      </c>
      <c r="JH1" s="916" t="s">
        <v>821</v>
      </c>
      <c r="JI1" s="916" t="s">
        <v>822</v>
      </c>
      <c r="JJ1" s="922" t="s">
        <v>823</v>
      </c>
      <c r="JK1" s="922" t="s">
        <v>824</v>
      </c>
      <c r="JL1" s="916" t="s">
        <v>825</v>
      </c>
      <c r="JM1" s="916" t="s">
        <v>826</v>
      </c>
      <c r="JN1" s="916" t="s">
        <v>827</v>
      </c>
      <c r="JO1" s="916" t="s">
        <v>828</v>
      </c>
      <c r="JP1" s="916" t="s">
        <v>829</v>
      </c>
      <c r="JQ1" s="916" t="s">
        <v>830</v>
      </c>
      <c r="JR1" s="916" t="s">
        <v>831</v>
      </c>
      <c r="JS1" s="916" t="s">
        <v>832</v>
      </c>
      <c r="JT1" s="916" t="s">
        <v>833</v>
      </c>
      <c r="JU1" s="916" t="s">
        <v>834</v>
      </c>
      <c r="JV1" s="922" t="s">
        <v>835</v>
      </c>
      <c r="JW1" s="916" t="s">
        <v>836</v>
      </c>
      <c r="JX1" s="916" t="s">
        <v>837</v>
      </c>
      <c r="JY1" s="916" t="s">
        <v>838</v>
      </c>
      <c r="JZ1" s="916" t="s">
        <v>839</v>
      </c>
      <c r="KA1" s="916" t="s">
        <v>840</v>
      </c>
      <c r="KB1" s="916" t="s">
        <v>841</v>
      </c>
      <c r="KC1" s="916" t="s">
        <v>842</v>
      </c>
      <c r="KD1" s="916" t="s">
        <v>843</v>
      </c>
      <c r="KE1" s="924" t="s">
        <v>844</v>
      </c>
      <c r="KF1" s="924" t="s">
        <v>845</v>
      </c>
      <c r="KG1" s="924" t="s">
        <v>846</v>
      </c>
      <c r="KH1" s="924" t="s">
        <v>847</v>
      </c>
      <c r="KI1" s="924" t="s">
        <v>848</v>
      </c>
      <c r="KJ1" s="924" t="s">
        <v>849</v>
      </c>
      <c r="KK1" s="924" t="s">
        <v>850</v>
      </c>
      <c r="KL1" s="924" t="s">
        <v>851</v>
      </c>
      <c r="KM1" s="924" t="s">
        <v>852</v>
      </c>
      <c r="KN1" s="924" t="s">
        <v>853</v>
      </c>
      <c r="KO1" s="924" t="s">
        <v>854</v>
      </c>
      <c r="KP1" s="924" t="s">
        <v>855</v>
      </c>
      <c r="KQ1" s="924" t="s">
        <v>856</v>
      </c>
      <c r="KR1" s="924" t="s">
        <v>857</v>
      </c>
      <c r="KS1" s="924" t="s">
        <v>858</v>
      </c>
      <c r="KT1" s="924" t="s">
        <v>859</v>
      </c>
      <c r="KU1" s="924" t="s">
        <v>860</v>
      </c>
      <c r="KV1" s="924" t="s">
        <v>861</v>
      </c>
      <c r="KW1" s="924" t="s">
        <v>862</v>
      </c>
      <c r="KX1" s="924" t="s">
        <v>863</v>
      </c>
      <c r="KY1" s="924" t="s">
        <v>864</v>
      </c>
      <c r="KZ1" s="924" t="s">
        <v>865</v>
      </c>
      <c r="LA1" s="924" t="s">
        <v>866</v>
      </c>
      <c r="LB1" s="924" t="s">
        <v>867</v>
      </c>
      <c r="LC1" s="924" t="s">
        <v>868</v>
      </c>
      <c r="LD1" s="924" t="s">
        <v>869</v>
      </c>
      <c r="LE1" s="924" t="s">
        <v>870</v>
      </c>
      <c r="LF1" s="924" t="s">
        <v>871</v>
      </c>
      <c r="LG1" s="924" t="s">
        <v>872</v>
      </c>
      <c r="LH1" s="924" t="s">
        <v>873</v>
      </c>
      <c r="LI1" s="924" t="s">
        <v>874</v>
      </c>
      <c r="LJ1" s="924" t="s">
        <v>875</v>
      </c>
      <c r="LK1" s="924" t="s">
        <v>876</v>
      </c>
      <c r="LL1" s="924" t="s">
        <v>877</v>
      </c>
      <c r="LM1" s="924" t="s">
        <v>878</v>
      </c>
      <c r="LN1" s="924" t="s">
        <v>879</v>
      </c>
      <c r="LO1" s="924" t="s">
        <v>880</v>
      </c>
      <c r="LP1" s="924" t="s">
        <v>881</v>
      </c>
      <c r="LQ1" s="924" t="s">
        <v>882</v>
      </c>
      <c r="LR1" s="924" t="s">
        <v>883</v>
      </c>
      <c r="LS1" s="924" t="s">
        <v>884</v>
      </c>
      <c r="LT1" s="924" t="s">
        <v>885</v>
      </c>
      <c r="LU1" s="924" t="s">
        <v>886</v>
      </c>
      <c r="LV1" s="924" t="s">
        <v>887</v>
      </c>
      <c r="LW1" s="924" t="s">
        <v>888</v>
      </c>
      <c r="LX1" s="924" t="s">
        <v>889</v>
      </c>
      <c r="LY1" s="924" t="s">
        <v>890</v>
      </c>
      <c r="LZ1" s="924" t="s">
        <v>891</v>
      </c>
      <c r="MA1" s="924" t="s">
        <v>892</v>
      </c>
      <c r="MB1" s="924" t="s">
        <v>893</v>
      </c>
      <c r="MC1" s="924" t="s">
        <v>894</v>
      </c>
      <c r="MD1" s="924" t="s">
        <v>895</v>
      </c>
      <c r="ME1" s="924" t="s">
        <v>896</v>
      </c>
      <c r="MF1" s="924" t="s">
        <v>897</v>
      </c>
      <c r="MG1" s="924" t="s">
        <v>898</v>
      </c>
      <c r="MH1" s="924" t="s">
        <v>899</v>
      </c>
      <c r="MI1" s="924" t="s">
        <v>900</v>
      </c>
      <c r="MJ1" s="924" t="s">
        <v>901</v>
      </c>
      <c r="MK1" s="916" t="s">
        <v>902</v>
      </c>
      <c r="ML1" s="916" t="s">
        <v>903</v>
      </c>
      <c r="MM1" s="916" t="s">
        <v>904</v>
      </c>
      <c r="MN1" s="916" t="s">
        <v>551</v>
      </c>
      <c r="MO1" s="916" t="s">
        <v>552</v>
      </c>
      <c r="MP1" s="916" t="s">
        <v>553</v>
      </c>
      <c r="MQ1" s="916" t="s">
        <v>554</v>
      </c>
      <c r="MR1" s="916" t="s">
        <v>555</v>
      </c>
      <c r="MS1" s="916" t="s">
        <v>556</v>
      </c>
      <c r="MT1" s="916" t="s">
        <v>905</v>
      </c>
      <c r="MU1" s="947" t="s">
        <v>990</v>
      </c>
      <c r="MV1" s="947" t="s">
        <v>991</v>
      </c>
      <c r="MW1" s="947" t="s">
        <v>992</v>
      </c>
      <c r="MX1" s="947" t="s">
        <v>993</v>
      </c>
      <c r="MY1" s="947" t="s">
        <v>994</v>
      </c>
      <c r="MZ1" s="947" t="s">
        <v>995</v>
      </c>
      <c r="NA1" s="947" t="s">
        <v>996</v>
      </c>
      <c r="NB1" s="947" t="s">
        <v>997</v>
      </c>
      <c r="NC1" s="947" t="s">
        <v>998</v>
      </c>
      <c r="ND1" s="947" t="s">
        <v>999</v>
      </c>
      <c r="NE1" s="947" t="s">
        <v>1000</v>
      </c>
      <c r="NF1" s="947" t="s">
        <v>650</v>
      </c>
      <c r="NG1" s="947" t="s">
        <v>651</v>
      </c>
      <c r="NH1" s="947" t="s">
        <v>1001</v>
      </c>
      <c r="NI1" s="947" t="s">
        <v>1002</v>
      </c>
      <c r="NJ1" s="947" t="s">
        <v>1003</v>
      </c>
      <c r="NK1" s="948" t="s">
        <v>1004</v>
      </c>
      <c r="NL1" s="947" t="s">
        <v>1005</v>
      </c>
      <c r="NM1" s="947" t="s">
        <v>1006</v>
      </c>
      <c r="NN1" s="947" t="s">
        <v>1007</v>
      </c>
      <c r="NO1" s="947" t="s">
        <v>1008</v>
      </c>
      <c r="NP1" s="947" t="s">
        <v>1009</v>
      </c>
      <c r="NQ1" s="947" t="s">
        <v>1010</v>
      </c>
      <c r="NR1" s="947" t="s">
        <v>1011</v>
      </c>
      <c r="NS1" s="947" t="s">
        <v>1012</v>
      </c>
      <c r="NT1" s="947" t="s">
        <v>1013</v>
      </c>
    </row>
    <row r="2" spans="1:384" s="943" customFormat="1" ht="28.5" x14ac:dyDescent="0.2">
      <c r="A2" s="926" t="s">
        <v>1015</v>
      </c>
      <c r="B2" s="927">
        <f>'B_PH_Allgemeine Angaben'!L6</f>
        <v>0</v>
      </c>
      <c r="C2" s="927">
        <f>'B_PH_Allgemeine Angaben'!L7</f>
        <v>0</v>
      </c>
      <c r="D2" s="928">
        <f>'B_PH_Allgemeine Angaben'!L4</f>
        <v>0</v>
      </c>
      <c r="E2" s="929">
        <f>'B_PH_Allgemeine Angaben'!D6</f>
        <v>0</v>
      </c>
      <c r="F2" s="929">
        <f>'B_PH_Allgemeine Angaben'!D12</f>
        <v>0</v>
      </c>
      <c r="G2" s="929">
        <f>'B_PH_Allgemeine Angaben'!D14</f>
        <v>0</v>
      </c>
      <c r="H2" s="930">
        <f>'B_PH_Allgemeine Angaben'!D16</f>
        <v>0</v>
      </c>
      <c r="I2" s="929">
        <f>'B_PH_Allgemeine Angaben'!J16</f>
        <v>0</v>
      </c>
      <c r="J2" s="929">
        <f>'B_PH_Allgemeine Angaben'!D18</f>
        <v>0</v>
      </c>
      <c r="K2" s="929">
        <f>'B_PH_Allgemeine Angaben'!J18</f>
        <v>0</v>
      </c>
      <c r="L2" s="929">
        <f>'B_PH_Allgemeine Angaben'!D20</f>
        <v>0</v>
      </c>
      <c r="M2" s="929">
        <f>'B_PH_Allgemeine Angaben'!J20</f>
        <v>0</v>
      </c>
      <c r="N2" s="929">
        <f>'B_PH_Allgemeine Angaben'!D22</f>
        <v>0</v>
      </c>
      <c r="O2" s="929">
        <f>'B_PH_Allgemeine Angaben'!J22</f>
        <v>0</v>
      </c>
      <c r="P2" s="929">
        <f>'B_PH_Allgemeine Angaben'!D26</f>
        <v>0</v>
      </c>
      <c r="Q2" s="929">
        <f>'B_PH_Allgemeine Angaben'!D28</f>
        <v>0</v>
      </c>
      <c r="R2" s="930">
        <f>'B_PH_Allgemeine Angaben'!D30</f>
        <v>0</v>
      </c>
      <c r="S2" s="929">
        <f>'B_PH_Allgemeine Angaben'!J30</f>
        <v>0</v>
      </c>
      <c r="T2" s="929">
        <f>'B_PH_Allgemeine Angaben'!D32</f>
        <v>0</v>
      </c>
      <c r="U2" s="929">
        <f>'B_PH_Allgemeine Angaben'!J32</f>
        <v>0</v>
      </c>
      <c r="V2" s="929">
        <f>'B_PH_Allgemeine Angaben'!D34</f>
        <v>0</v>
      </c>
      <c r="W2" s="929">
        <f>'B_PH_Allgemeine Angaben'!J34</f>
        <v>0</v>
      </c>
      <c r="X2" s="929">
        <f>'B_PH_Allgemeine Angaben'!D36</f>
        <v>0</v>
      </c>
      <c r="Y2" s="929">
        <f>'B_PH_Allgemeine Angaben'!H41</f>
        <v>0</v>
      </c>
      <c r="Z2" s="928">
        <f>'B_PH_Allgemeine Angaben'!H45</f>
        <v>0</v>
      </c>
      <c r="AA2" s="929">
        <f>'B_PH_Allgemeine Angaben'!L47</f>
        <v>0</v>
      </c>
      <c r="AB2" s="929">
        <f>'B_PH_Allgemeine Angaben'!L48</f>
        <v>0</v>
      </c>
      <c r="AC2" s="928">
        <f>'B_PH_Allgemeine Angaben'!H52</f>
        <v>0</v>
      </c>
      <c r="AD2" s="928">
        <f>'B_PH_Allgemeine Angaben'!K52</f>
        <v>0</v>
      </c>
      <c r="AE2" s="928">
        <f>'B_PH_Allgemeine Angaben'!H54</f>
        <v>0</v>
      </c>
      <c r="AF2" s="928">
        <f>'B_PH_Allgemeine Angaben'!K54</f>
        <v>0</v>
      </c>
      <c r="AG2" s="929">
        <f>'B_PH_Allgemeine Angaben'!K64</f>
        <v>0</v>
      </c>
      <c r="AH2" s="929">
        <f>'B_PH_Allgemeine Angaben'!K65</f>
        <v>0</v>
      </c>
      <c r="AI2" s="929">
        <f>'B_PH_Allgemeine Angaben'!K66</f>
        <v>0</v>
      </c>
      <c r="AJ2" s="929">
        <f>'B_PH_Allgemeine Angaben'!K67</f>
        <v>0</v>
      </c>
      <c r="AK2" s="929">
        <f>'B_PH_Allgemeine Angaben'!K68</f>
        <v>0</v>
      </c>
      <c r="AL2" s="929">
        <f>'B_PH_Allgemeine Angaben'!K69</f>
        <v>0</v>
      </c>
      <c r="AM2" s="929">
        <f>'B_PH_Allgemeine Angaben'!K70</f>
        <v>0</v>
      </c>
      <c r="AN2" s="929">
        <f>'B_PH_Allgemeine Angaben'!K72</f>
        <v>0</v>
      </c>
      <c r="AO2" s="931"/>
      <c r="AP2" s="931"/>
      <c r="AQ2" s="932">
        <f>B_PH_Kalkulation!D7/100</f>
        <v>0</v>
      </c>
      <c r="AR2" s="953"/>
      <c r="AS2" s="953"/>
      <c r="AT2" s="953"/>
      <c r="AU2" s="953"/>
      <c r="AV2" s="953"/>
      <c r="AW2" s="953"/>
      <c r="AX2" s="953"/>
      <c r="AY2" s="953"/>
      <c r="AZ2" s="953"/>
      <c r="BA2" s="953"/>
      <c r="BB2" s="953"/>
      <c r="BC2" s="953"/>
      <c r="BD2" s="933">
        <f>B_PH_Kalkulation!H15</f>
        <v>0</v>
      </c>
      <c r="BE2" s="933">
        <f>B_PH_Kalkulation!I15</f>
        <v>0</v>
      </c>
      <c r="BF2" s="933">
        <f>B_PH_Kalkulation!J15</f>
        <v>0</v>
      </c>
      <c r="BG2" s="933">
        <f>B_PH_Kalkulation!K15</f>
        <v>0</v>
      </c>
      <c r="BH2" s="933">
        <f>B_PH_Kalkulation!L15</f>
        <v>0</v>
      </c>
      <c r="BI2" s="933">
        <f>B_PH_Kalkulation!L13</f>
        <v>0</v>
      </c>
      <c r="BJ2" s="933">
        <f>B_PH_Kalkulation!H18</f>
        <v>0</v>
      </c>
      <c r="BK2" s="933">
        <f>B_PH_Kalkulation!I18</f>
        <v>0</v>
      </c>
      <c r="BL2" s="933">
        <f>B_PH_Kalkulation!J18</f>
        <v>0</v>
      </c>
      <c r="BM2" s="933">
        <f>B_PH_Kalkulation!K18</f>
        <v>0</v>
      </c>
      <c r="BN2" s="933">
        <f>B_PH_Kalkulation!L18</f>
        <v>0</v>
      </c>
      <c r="BO2" s="933">
        <f>B_PH_Kalkulation!L17</f>
        <v>0</v>
      </c>
      <c r="BP2" s="940"/>
      <c r="BQ2" s="942"/>
      <c r="BR2" s="942"/>
      <c r="BS2" s="936"/>
      <c r="BT2" s="940"/>
      <c r="BU2" s="936"/>
      <c r="BV2" s="940"/>
      <c r="BW2" s="936"/>
      <c r="BX2" s="940"/>
      <c r="BY2" s="936"/>
      <c r="BZ2" s="940"/>
      <c r="CA2" s="936"/>
      <c r="CB2" s="936"/>
      <c r="CC2" s="940"/>
      <c r="CD2" s="936"/>
      <c r="CE2" s="936"/>
      <c r="CF2" s="940"/>
      <c r="CG2" s="936"/>
      <c r="CH2" s="936"/>
      <c r="CI2" s="940"/>
      <c r="CJ2" s="954"/>
      <c r="CK2" s="954"/>
      <c r="CL2" s="954"/>
      <c r="CM2" s="936"/>
      <c r="CN2" s="940"/>
      <c r="CO2" s="936"/>
      <c r="CP2" s="940"/>
      <c r="CQ2" s="936"/>
      <c r="CR2" s="940"/>
      <c r="CS2" s="936"/>
      <c r="CT2" s="940"/>
      <c r="CU2" s="936"/>
      <c r="CV2" s="940"/>
      <c r="CW2" s="936"/>
      <c r="CX2" s="936"/>
      <c r="CY2" s="936"/>
      <c r="CZ2" s="936"/>
      <c r="DA2" s="940"/>
      <c r="DB2" s="936"/>
      <c r="DC2" s="941"/>
      <c r="DD2" s="955"/>
      <c r="DE2" s="940"/>
      <c r="DF2" s="955"/>
      <c r="DG2" s="940"/>
      <c r="DH2" s="955"/>
      <c r="DI2" s="940"/>
      <c r="DJ2" s="929">
        <f>'B_PH_Allgemeine Angaben'!H56</f>
        <v>0</v>
      </c>
      <c r="DK2" s="929">
        <f>'B_PH_Allgemeine Angaben'!H57</f>
        <v>0</v>
      </c>
      <c r="DL2" s="929">
        <f>'B_PH_Allgemeine Angaben'!H58</f>
        <v>0</v>
      </c>
      <c r="DM2" s="928">
        <f>'B_PH_Allgemeine Angaben'!H59</f>
        <v>0</v>
      </c>
      <c r="DN2" s="954"/>
      <c r="DO2" s="954"/>
      <c r="DP2" s="954"/>
      <c r="DQ2" s="941"/>
      <c r="DR2" s="941"/>
      <c r="DS2" s="941"/>
      <c r="DT2" s="1304"/>
      <c r="DU2" s="1304"/>
      <c r="DV2" s="1304"/>
      <c r="DW2" s="1304"/>
      <c r="DX2" s="1305"/>
      <c r="DY2" s="1306"/>
      <c r="DZ2" s="1306"/>
      <c r="EA2" s="1306"/>
      <c r="EB2" s="936"/>
      <c r="EC2" s="936"/>
      <c r="ED2" s="936"/>
      <c r="EE2" s="936"/>
      <c r="EF2" s="936"/>
      <c r="EG2" s="936"/>
      <c r="EH2" s="936"/>
      <c r="EI2" s="936"/>
      <c r="EJ2" s="936"/>
      <c r="EK2" s="936"/>
      <c r="EL2" s="936"/>
      <c r="EM2" s="956"/>
      <c r="EN2" s="956"/>
      <c r="EO2" s="956"/>
      <c r="EP2" s="936"/>
      <c r="EQ2" s="936"/>
      <c r="ER2" s="936"/>
      <c r="ES2" s="936"/>
      <c r="ET2" s="936"/>
      <c r="EU2" s="936"/>
      <c r="EV2" s="958"/>
      <c r="EW2" s="936"/>
      <c r="EX2" s="936"/>
      <c r="EY2" s="936"/>
      <c r="EZ2" s="936"/>
      <c r="FA2" s="936"/>
      <c r="FB2" s="955"/>
      <c r="FC2" s="955"/>
      <c r="FD2" s="935">
        <f>B_PH_Kalkulation!J21</f>
        <v>0</v>
      </c>
      <c r="FE2" s="935">
        <f>B_PH_Kalkulation!J22</f>
        <v>0</v>
      </c>
      <c r="FF2" s="935">
        <f>B_PH_Kalkulation!J23</f>
        <v>0</v>
      </c>
      <c r="FG2" s="936"/>
      <c r="FH2" s="935">
        <f>B_PH_Kalkulation!J24</f>
        <v>0</v>
      </c>
      <c r="FI2" s="936"/>
      <c r="FJ2" s="935">
        <f>B_PH_Kalkulation!J25</f>
        <v>0</v>
      </c>
      <c r="FK2" s="936"/>
      <c r="FL2" s="935">
        <f>B_PH_Kalkulation!J26</f>
        <v>0</v>
      </c>
      <c r="FM2" s="936"/>
      <c r="FN2" s="936"/>
      <c r="FO2" s="937">
        <f>B_PH_Kalkulation!I24</f>
        <v>0</v>
      </c>
      <c r="FP2" s="937">
        <f>B_PH_Kalkulation!I25</f>
        <v>0</v>
      </c>
      <c r="FQ2" s="937">
        <f>B_PH_Kalkulation!I26</f>
        <v>0</v>
      </c>
      <c r="FR2" s="936"/>
      <c r="FS2" s="936"/>
      <c r="FT2" s="935">
        <f>B_PH_Kalkulation!J27</f>
        <v>0</v>
      </c>
      <c r="FU2" s="936"/>
      <c r="FV2" s="936"/>
      <c r="FW2" s="935">
        <f>B_PH_Kalkulation!J28</f>
        <v>0</v>
      </c>
      <c r="FX2" s="935">
        <f>B_PH_Kalkulation!J29</f>
        <v>0</v>
      </c>
      <c r="FY2" s="936"/>
      <c r="FZ2" s="936"/>
      <c r="GA2" s="936"/>
      <c r="GB2" s="936"/>
      <c r="GC2" s="954"/>
      <c r="GD2" s="935">
        <f>B_PH_Kalkulation!J30</f>
        <v>0</v>
      </c>
      <c r="GE2" s="935">
        <f>B_PH_Kalkulation!J31</f>
        <v>0</v>
      </c>
      <c r="GF2" s="960">
        <f>B_PH_Kalkulation!J32</f>
        <v>0</v>
      </c>
      <c r="GG2" s="961">
        <v>0</v>
      </c>
      <c r="GH2" s="940"/>
      <c r="GI2" s="940"/>
      <c r="GJ2" s="940"/>
      <c r="GK2" s="940"/>
      <c r="GL2" s="954"/>
      <c r="GM2" s="940"/>
      <c r="GN2" s="954"/>
      <c r="GO2" s="940"/>
      <c r="GP2" s="954"/>
      <c r="GQ2" s="940"/>
      <c r="GR2" s="939">
        <f>B_PH_Gesamtkalkulation!D17</f>
        <v>0</v>
      </c>
      <c r="GS2" s="934">
        <f>B_PH_Gesamtkalkulation!D18</f>
        <v>0</v>
      </c>
      <c r="GT2" s="934">
        <f>B_PH_Gesamtkalkulation!D19</f>
        <v>0</v>
      </c>
      <c r="GU2" s="940"/>
      <c r="GV2" s="934">
        <f>B_PH_Gesamtkalkulation!D20</f>
        <v>0</v>
      </c>
      <c r="GW2" s="934">
        <f>B_PH_Gesamtkalkulation!D21</f>
        <v>0</v>
      </c>
      <c r="GX2" s="934">
        <f>B_PH_Gesamtkalkulation!D22</f>
        <v>0</v>
      </c>
      <c r="GY2" s="940"/>
      <c r="GZ2" s="940"/>
      <c r="HA2" s="940"/>
      <c r="HB2" s="934">
        <f>B_PH_Gesamtkalkulation!D23</f>
        <v>0</v>
      </c>
      <c r="HC2" s="940"/>
      <c r="HD2" s="940"/>
      <c r="HE2" s="934">
        <f>B_PH_Gesamtkalkulation!D24</f>
        <v>0</v>
      </c>
      <c r="HF2" s="934">
        <f>B_PH_Gesamtkalkulation!D25</f>
        <v>0</v>
      </c>
      <c r="HG2" s="934">
        <f>B_PH_Gesamtkalkulation!D26</f>
        <v>0</v>
      </c>
      <c r="HH2" s="934">
        <f>B_PH_Gesamtkalkulation!D27</f>
        <v>0</v>
      </c>
      <c r="HI2" s="934">
        <f>B_PH_Gesamtkalkulation!D28</f>
        <v>0</v>
      </c>
      <c r="HJ2" s="962">
        <v>0</v>
      </c>
      <c r="HK2" s="941"/>
      <c r="HL2" s="942"/>
      <c r="HM2" s="942"/>
      <c r="HN2" s="941"/>
      <c r="HO2" s="940"/>
      <c r="HP2" s="940"/>
      <c r="HQ2" s="940"/>
      <c r="HR2" s="940"/>
      <c r="HS2" s="940"/>
      <c r="HT2" s="940"/>
      <c r="HU2" s="940"/>
      <c r="HV2" s="940"/>
      <c r="HW2" s="940"/>
      <c r="HX2" s="940"/>
      <c r="HY2" s="940"/>
      <c r="HZ2" s="940"/>
      <c r="IA2" s="940"/>
      <c r="IB2" s="940"/>
      <c r="IC2" s="940"/>
      <c r="ID2" s="940"/>
      <c r="IE2" s="940"/>
      <c r="IF2" s="940"/>
      <c r="IG2" s="940"/>
      <c r="IH2" s="941"/>
      <c r="II2" s="940"/>
      <c r="IJ2" s="940"/>
      <c r="IK2" s="934">
        <f>B_PH_Kalkulation!L36</f>
        <v>0</v>
      </c>
      <c r="IL2" s="934">
        <f>B_PH_Kalkulation!L37</f>
        <v>0</v>
      </c>
      <c r="IM2" s="934">
        <f>B_PH_Kalkulation!L38</f>
        <v>0</v>
      </c>
      <c r="IN2" s="940"/>
      <c r="IO2" s="940"/>
      <c r="IP2" s="934">
        <f>B_PH_Kalkulation!L39</f>
        <v>0</v>
      </c>
      <c r="IQ2" s="934">
        <f>B_PH_Kalkulation!L40</f>
        <v>0</v>
      </c>
      <c r="IR2" s="934">
        <f>B_PH_Kalkulation!L41</f>
        <v>0</v>
      </c>
      <c r="IS2" s="934">
        <f>B_PH_Kalkulation!L42</f>
        <v>0</v>
      </c>
      <c r="IT2" s="934">
        <f>B_PH_Kalkulation!L43</f>
        <v>0</v>
      </c>
      <c r="IU2" s="934">
        <f>B_PH_Kalkulation!L44</f>
        <v>0</v>
      </c>
      <c r="IV2" s="934">
        <f>B_PH_Kalkulation!L47</f>
        <v>0</v>
      </c>
      <c r="IW2" s="934">
        <f>B_PH_Kalkulation!L48</f>
        <v>0</v>
      </c>
      <c r="IX2" s="934">
        <f>B_PH_Kalkulation!L49</f>
        <v>0</v>
      </c>
      <c r="IY2" s="934">
        <f>B_PH_Kalkulation!L50</f>
        <v>0</v>
      </c>
      <c r="IZ2" s="940"/>
      <c r="JA2" s="934">
        <f>B_PH_Kalkulation!L51</f>
        <v>0</v>
      </c>
      <c r="JB2" s="934">
        <f>B_PH_Kalkulation!C52</f>
        <v>0</v>
      </c>
      <c r="JC2" s="934">
        <f>B_PH_Kalkulation!L52</f>
        <v>0</v>
      </c>
      <c r="JD2" s="929">
        <f>B_PH_Kalkulation!C53</f>
        <v>0</v>
      </c>
      <c r="JE2" s="934">
        <f>B_PH_Kalkulation!L53</f>
        <v>0</v>
      </c>
      <c r="JF2" s="934">
        <f>B_PH_Kalkulation!L54</f>
        <v>0</v>
      </c>
      <c r="JG2" s="929" t="str">
        <f>B_PH_Kalkulation!M36</f>
        <v/>
      </c>
      <c r="JH2" s="929" t="str">
        <f>B_PH_Kalkulation!M37</f>
        <v/>
      </c>
      <c r="JI2" s="929" t="str">
        <f>B_PH_Kalkulation!M38</f>
        <v/>
      </c>
      <c r="JJ2" s="941"/>
      <c r="JK2" s="941"/>
      <c r="JL2" s="929" t="str">
        <f>B_PH_Kalkulation!M39</f>
        <v/>
      </c>
      <c r="JM2" s="929" t="str">
        <f>B_PH_Kalkulation!M40</f>
        <v/>
      </c>
      <c r="JN2" s="929" t="str">
        <f>B_PH_Kalkulation!M41</f>
        <v/>
      </c>
      <c r="JO2" s="929" t="str">
        <f>B_PH_Kalkulation!M42</f>
        <v/>
      </c>
      <c r="JP2" s="929" t="str">
        <f>B_PH_Kalkulation!M43</f>
        <v/>
      </c>
      <c r="JQ2" s="929">
        <f>B_PH_Kalkulation!M44</f>
        <v>0</v>
      </c>
      <c r="JR2" s="929" t="str">
        <f>B_PH_Kalkulation!M47</f>
        <v/>
      </c>
      <c r="JS2" s="929" t="str">
        <f>B_PH_Kalkulation!M48</f>
        <v/>
      </c>
      <c r="JT2" s="929" t="str">
        <f>B_PH_Kalkulation!M49</f>
        <v/>
      </c>
      <c r="JU2" s="929" t="str">
        <f>B_PH_Kalkulation!M50</f>
        <v/>
      </c>
      <c r="JV2" s="941"/>
      <c r="JW2" s="929" t="str">
        <f>B_PH_Kalkulation!M51</f>
        <v/>
      </c>
      <c r="JX2" s="929">
        <f>B_PH_Kalkulation!C52</f>
        <v>0</v>
      </c>
      <c r="JY2" s="929" t="str">
        <f>B_PH_Kalkulation!M52</f>
        <v/>
      </c>
      <c r="JZ2" s="929">
        <f>B_PH_Kalkulation!C53</f>
        <v>0</v>
      </c>
      <c r="KA2" s="929" t="str">
        <f>B_PH_Kalkulation!M53</f>
        <v/>
      </c>
      <c r="KB2" s="929">
        <f>B_PH_Kalkulation!M54</f>
        <v>0</v>
      </c>
      <c r="KC2" s="954"/>
      <c r="KD2" s="940"/>
      <c r="KE2" s="935">
        <f>B_PH_Ergebnis!F31</f>
        <v>0</v>
      </c>
      <c r="KF2" s="935">
        <f>B_PH_Ergebnis!F32</f>
        <v>0</v>
      </c>
      <c r="KG2" s="935">
        <f>B_PH_Ergebnis!F33</f>
        <v>0</v>
      </c>
      <c r="KH2" s="935">
        <f>B_PH_Ergebnis!F36</f>
        <v>0</v>
      </c>
      <c r="KI2" s="935">
        <f>B_PH_Ergebnis!F37</f>
        <v>0</v>
      </c>
      <c r="KJ2" s="935">
        <f>B_PH_Ergebnis!F38</f>
        <v>0</v>
      </c>
      <c r="KK2" s="935">
        <f>B_PH_Ergebnis!F42</f>
        <v>0</v>
      </c>
      <c r="KL2" s="936"/>
      <c r="KM2" s="935">
        <f>B_PH_Ergebnis!F46</f>
        <v>0</v>
      </c>
      <c r="KN2" s="935">
        <f>B_PH_Ergebnis!F48</f>
        <v>0</v>
      </c>
      <c r="KO2" s="935">
        <f>B_PH_Ergebnis!F50</f>
        <v>0</v>
      </c>
      <c r="KP2" s="927">
        <f>B_PH_Ergebnis!F53</f>
        <v>0</v>
      </c>
      <c r="KQ2" s="935">
        <f>B_PH_Ergebnis!H31</f>
        <v>0</v>
      </c>
      <c r="KR2" s="935">
        <f>B_PH_Ergebnis!H32</f>
        <v>0</v>
      </c>
      <c r="KS2" s="935">
        <f>B_PH_Ergebnis!H33</f>
        <v>0</v>
      </c>
      <c r="KT2" s="935">
        <f>B_PH_Ergebnis!H36</f>
        <v>0</v>
      </c>
      <c r="KU2" s="935">
        <f>B_PH_Ergebnis!H37</f>
        <v>0</v>
      </c>
      <c r="KV2" s="935">
        <f>B_PH_Ergebnis!H38</f>
        <v>0</v>
      </c>
      <c r="KW2" s="935">
        <f>B_PH_Ergebnis!H42</f>
        <v>0</v>
      </c>
      <c r="KX2" s="936"/>
      <c r="KY2" s="935">
        <f>B_PH_Ergebnis!H46</f>
        <v>0</v>
      </c>
      <c r="KZ2" s="935">
        <f>B_PH_Ergebnis!H48</f>
        <v>0</v>
      </c>
      <c r="LA2" s="935">
        <f>B_PH_Ergebnis!H50</f>
        <v>0</v>
      </c>
      <c r="LB2" s="935">
        <f>B_PH_Ergebnis!H53</f>
        <v>0</v>
      </c>
      <c r="LC2" s="935">
        <f>B_PH_Ergebnis!I31</f>
        <v>0</v>
      </c>
      <c r="LD2" s="935">
        <f>B_PH_Ergebnis!I32</f>
        <v>0</v>
      </c>
      <c r="LE2" s="935">
        <f>B_PH_Ergebnis!I33</f>
        <v>0</v>
      </c>
      <c r="LF2" s="935">
        <f>B_PH_Ergebnis!I36</f>
        <v>0</v>
      </c>
      <c r="LG2" s="935">
        <f>B_PH_Ergebnis!I37</f>
        <v>0</v>
      </c>
      <c r="LH2" s="935">
        <f>B_PH_Ergebnis!I38</f>
        <v>0</v>
      </c>
      <c r="LI2" s="935">
        <f>B_PH_Ergebnis!I42</f>
        <v>0</v>
      </c>
      <c r="LJ2" s="936"/>
      <c r="LK2" s="935">
        <f>B_PH_Ergebnis!I46</f>
        <v>0</v>
      </c>
      <c r="LL2" s="935">
        <f>B_PH_Ergebnis!I48</f>
        <v>0</v>
      </c>
      <c r="LM2" s="935">
        <f>B_PH_Ergebnis!I50</f>
        <v>0</v>
      </c>
      <c r="LN2" s="935">
        <f>B_PH_Ergebnis!I53</f>
        <v>0</v>
      </c>
      <c r="LO2" s="938">
        <f>B_PH_Ergebnis!J36</f>
        <v>0</v>
      </c>
      <c r="LP2" s="938">
        <f>B_PH_Ergebnis!J37</f>
        <v>0</v>
      </c>
      <c r="LQ2" s="938">
        <f>B_PH_Ergebnis!J38</f>
        <v>0</v>
      </c>
      <c r="LR2" s="929">
        <f>B_PH_Ergebnis!L42</f>
        <v>20</v>
      </c>
      <c r="LS2" s="941"/>
      <c r="LT2" s="929" t="str">
        <f>B_PH_Ergebnis!L46</f>
        <v/>
      </c>
      <c r="LU2" s="929" t="str">
        <f>B_PH_Ergebnis!L48</f>
        <v/>
      </c>
      <c r="LV2" s="929" t="str">
        <f>B_PH_Ergebnis!L50</f>
        <v/>
      </c>
      <c r="LW2" s="941"/>
      <c r="LX2" s="929" t="str">
        <f>B_PH_Ergebnis!F74</f>
        <v/>
      </c>
      <c r="LY2" s="929" t="str">
        <f>B_PH_Ergebnis!F78</f>
        <v/>
      </c>
      <c r="LZ2" s="929" t="str">
        <f>B_PH_Ergebnis!F80</f>
        <v/>
      </c>
      <c r="MA2" s="929" t="str">
        <f>B_PH_Ergebnis!F82</f>
        <v/>
      </c>
      <c r="MB2" s="929" t="str">
        <f>B_PH_Ergebnis!F84</f>
        <v/>
      </c>
      <c r="MC2" s="929" t="str">
        <f>B_PH_Ergebnis!F86</f>
        <v/>
      </c>
      <c r="MD2" s="929" t="str">
        <f>B_PH_Ergebnis!F88</f>
        <v/>
      </c>
      <c r="ME2" s="929" t="str">
        <f>B_PH_Ergebnis!F92</f>
        <v/>
      </c>
      <c r="MF2" s="929" t="str">
        <f>B_PH_Ergebnis!F94</f>
        <v/>
      </c>
      <c r="MG2" s="929" t="str">
        <f>B_PH_Ergebnis!L78</f>
        <v/>
      </c>
      <c r="MH2" s="929" t="str">
        <f>B_PH_Ergebnis!L88</f>
        <v/>
      </c>
      <c r="MI2" s="929" t="str">
        <f>B_PH_Ergebnis!L92</f>
        <v/>
      </c>
      <c r="MJ2" s="929" t="str">
        <f>B_PH_Ergebnis!L94</f>
        <v/>
      </c>
      <c r="MK2" s="929" t="str">
        <f>B_PH_Gesamtkalkulation!D16</f>
        <v/>
      </c>
      <c r="ML2" s="929">
        <f>IFERROR(B_PH_Gesamtkalkulation!D16-B_PH_Gesamtkalkulation!D23-B_PH_Gesamtkalkulation!D24,0)</f>
        <v>0</v>
      </c>
      <c r="MM2" s="929">
        <f>B_PH_Kalkulation!L57</f>
        <v>0</v>
      </c>
      <c r="MN2" s="991">
        <f>B_PH_Kalkulation!L58</f>
        <v>0</v>
      </c>
      <c r="MO2" s="929">
        <f>B_PH_Kalkulation!M58</f>
        <v>0</v>
      </c>
      <c r="MP2" s="929">
        <f>B_PH_Kalkulation!L60</f>
        <v>0</v>
      </c>
      <c r="MQ2" s="929">
        <f>B_PH_Kalkulation!M60</f>
        <v>0</v>
      </c>
      <c r="MR2" s="929">
        <f>B_PH_Kalkulation!J60</f>
        <v>0.75</v>
      </c>
      <c r="MS2" s="929">
        <f>B_PH_Kalkulation!K60</f>
        <v>98662</v>
      </c>
      <c r="MT2" s="929">
        <f>B_PH_Kalkulation!M61</f>
        <v>0</v>
      </c>
      <c r="MU2" s="949"/>
      <c r="MV2" s="949"/>
      <c r="MW2" s="950"/>
      <c r="MX2" s="950"/>
      <c r="MY2" s="950"/>
      <c r="MZ2" s="950"/>
      <c r="NA2" s="950"/>
      <c r="NB2" s="950"/>
      <c r="NC2" s="949"/>
      <c r="ND2" s="949"/>
      <c r="NE2" s="949"/>
      <c r="NF2" s="949"/>
      <c r="NG2" s="949"/>
      <c r="NH2" s="949"/>
      <c r="NI2" s="949"/>
      <c r="NJ2" s="949"/>
      <c r="NK2" s="951"/>
      <c r="NL2" s="952"/>
      <c r="NM2" s="949"/>
      <c r="NN2" s="949"/>
      <c r="NO2" s="952"/>
      <c r="NP2" s="949"/>
      <c r="NQ2" s="952"/>
      <c r="NR2" s="949"/>
      <c r="NS2" s="952"/>
      <c r="NT2" s="949"/>
    </row>
    <row r="3" spans="1:384" s="943" customFormat="1" ht="57" x14ac:dyDescent="0.2">
      <c r="A3" s="1327" t="s">
        <v>1414</v>
      </c>
      <c r="B3" s="963"/>
      <c r="C3" s="963"/>
      <c r="D3" s="964"/>
      <c r="H3" s="965"/>
      <c r="R3" s="965"/>
      <c r="Z3" s="964"/>
      <c r="AC3" s="964"/>
      <c r="AD3" s="964"/>
      <c r="AE3" s="964"/>
      <c r="AF3" s="964"/>
      <c r="AO3" s="966"/>
      <c r="AP3" s="966"/>
      <c r="AQ3" s="967" t="s">
        <v>1016</v>
      </c>
      <c r="AR3" s="968"/>
      <c r="AS3" s="968"/>
      <c r="AT3" s="968"/>
      <c r="AU3" s="968"/>
      <c r="AV3" s="968"/>
      <c r="AW3" s="968"/>
      <c r="AX3" s="968"/>
      <c r="AY3" s="968"/>
      <c r="AZ3" s="968"/>
      <c r="BA3" s="968"/>
      <c r="BB3" s="968"/>
      <c r="BC3" s="968"/>
      <c r="BD3" s="969"/>
      <c r="BE3" s="969"/>
      <c r="BF3" s="969"/>
      <c r="BG3" s="969"/>
      <c r="BH3" s="969"/>
      <c r="BI3" s="969"/>
      <c r="BJ3" s="969"/>
      <c r="BK3" s="969"/>
      <c r="BL3" s="969"/>
      <c r="BM3" s="969"/>
      <c r="BN3" s="969"/>
      <c r="BO3" s="969"/>
      <c r="BP3" s="970"/>
      <c r="BQ3" s="971"/>
      <c r="BR3" s="971"/>
      <c r="BS3" s="972"/>
      <c r="BT3" s="970"/>
      <c r="BU3" s="972"/>
      <c r="BV3" s="970"/>
      <c r="BW3" s="972"/>
      <c r="BX3" s="970"/>
      <c r="BY3" s="972"/>
      <c r="BZ3" s="970"/>
      <c r="CA3" s="972"/>
      <c r="CB3" s="972"/>
      <c r="CC3" s="970"/>
      <c r="CD3" s="972"/>
      <c r="CE3" s="972"/>
      <c r="CF3" s="970"/>
      <c r="CG3" s="972"/>
      <c r="CH3" s="972"/>
      <c r="CI3" s="970"/>
      <c r="CJ3" s="973"/>
      <c r="CK3" s="973"/>
      <c r="CL3" s="973"/>
      <c r="CM3" s="972"/>
      <c r="CN3" s="970"/>
      <c r="CO3" s="972"/>
      <c r="CP3" s="970"/>
      <c r="CQ3" s="972"/>
      <c r="CR3" s="970"/>
      <c r="CS3" s="972"/>
      <c r="CT3" s="970"/>
      <c r="CU3" s="972"/>
      <c r="CV3" s="970"/>
      <c r="CW3" s="972"/>
      <c r="CX3" s="972"/>
      <c r="CY3" s="972"/>
      <c r="CZ3" s="972"/>
      <c r="DA3" s="970"/>
      <c r="DB3" s="972"/>
      <c r="DC3" s="974"/>
      <c r="DD3" s="975"/>
      <c r="DE3" s="970"/>
      <c r="DF3" s="975"/>
      <c r="DG3" s="970"/>
      <c r="DH3" s="975"/>
      <c r="DI3" s="970"/>
      <c r="DM3" s="964"/>
      <c r="DN3" s="973"/>
      <c r="DO3" s="973"/>
      <c r="DP3" s="973"/>
      <c r="DQ3" s="1307" t="s">
        <v>1403</v>
      </c>
      <c r="DR3" s="1307" t="s">
        <v>1405</v>
      </c>
      <c r="DS3" s="1307" t="s">
        <v>1404</v>
      </c>
      <c r="DT3" s="1307" t="s">
        <v>1406</v>
      </c>
      <c r="DU3" s="1307" t="s">
        <v>1407</v>
      </c>
      <c r="DV3" s="1307" t="s">
        <v>1408</v>
      </c>
      <c r="DW3" s="1307" t="s">
        <v>1409</v>
      </c>
      <c r="DX3" s="1307" t="s">
        <v>1410</v>
      </c>
      <c r="DY3" s="1307" t="s">
        <v>1411</v>
      </c>
      <c r="DZ3" s="1307" t="s">
        <v>1412</v>
      </c>
      <c r="EA3" s="1307" t="s">
        <v>1413</v>
      </c>
      <c r="EB3" s="972"/>
      <c r="EC3" s="972"/>
      <c r="ED3" s="972"/>
      <c r="EE3" s="972"/>
      <c r="EF3" s="972"/>
      <c r="EG3" s="972"/>
      <c r="EH3" s="972"/>
      <c r="EI3" s="972"/>
      <c r="EJ3" s="972"/>
      <c r="EK3" s="972"/>
      <c r="EL3" s="972"/>
      <c r="EM3" s="976"/>
      <c r="EN3" s="976"/>
      <c r="EO3" s="976"/>
      <c r="EP3" s="972"/>
      <c r="EQ3" s="972"/>
      <c r="ER3" s="972"/>
      <c r="ES3" s="972"/>
      <c r="ET3" s="972"/>
      <c r="EU3" s="972"/>
      <c r="EV3" s="977"/>
      <c r="EW3" s="972"/>
      <c r="EX3" s="972"/>
      <c r="EY3" s="972"/>
      <c r="EZ3" s="972"/>
      <c r="FA3" s="972"/>
      <c r="FB3" s="975"/>
      <c r="FC3" s="975"/>
      <c r="FD3" s="978"/>
      <c r="FE3" s="978"/>
      <c r="FF3" s="978"/>
      <c r="FG3" s="972"/>
      <c r="FH3" s="978"/>
      <c r="FI3" s="972"/>
      <c r="FJ3" s="978"/>
      <c r="FK3" s="972"/>
      <c r="FL3" s="978"/>
      <c r="FM3" s="972"/>
      <c r="FN3" s="972"/>
      <c r="FO3" s="979"/>
      <c r="FP3" s="979"/>
      <c r="FQ3" s="979"/>
      <c r="FR3" s="972"/>
      <c r="FS3" s="972"/>
      <c r="FT3" s="978"/>
      <c r="FU3" s="972"/>
      <c r="FV3" s="972"/>
      <c r="FW3" s="978"/>
      <c r="FX3" s="978"/>
      <c r="FY3" s="972"/>
      <c r="FZ3" s="972"/>
      <c r="GA3" s="972"/>
      <c r="GB3" s="972"/>
      <c r="GC3" s="973"/>
      <c r="GD3" s="978"/>
      <c r="GE3" s="978"/>
      <c r="GF3" s="980"/>
      <c r="GG3" s="981"/>
      <c r="GH3" s="970"/>
      <c r="GI3" s="970"/>
      <c r="GJ3" s="970"/>
      <c r="GK3" s="970"/>
      <c r="GL3" s="973"/>
      <c r="GM3" s="970"/>
      <c r="GN3" s="973"/>
      <c r="GO3" s="970"/>
      <c r="GP3" s="973"/>
      <c r="GQ3" s="970"/>
      <c r="GR3" s="982"/>
      <c r="GS3" s="982"/>
      <c r="GT3" s="982"/>
      <c r="GU3" s="970"/>
      <c r="GV3" s="982"/>
      <c r="GW3" s="982"/>
      <c r="GX3" s="982"/>
      <c r="GY3" s="970"/>
      <c r="GZ3" s="970"/>
      <c r="HA3" s="970"/>
      <c r="HB3" s="982"/>
      <c r="HC3" s="970"/>
      <c r="HD3" s="970"/>
      <c r="HE3" s="982"/>
      <c r="HF3" s="982"/>
      <c r="HG3" s="982"/>
      <c r="HH3" s="982"/>
      <c r="HI3" s="982"/>
      <c r="HJ3" s="983"/>
      <c r="HK3" s="974"/>
      <c r="HL3" s="971"/>
      <c r="HM3" s="971"/>
      <c r="HN3" s="974"/>
      <c r="HO3" s="970"/>
      <c r="HP3" s="970"/>
      <c r="HQ3" s="970"/>
      <c r="HR3" s="970"/>
      <c r="HS3" s="970"/>
      <c r="HT3" s="970"/>
      <c r="HU3" s="970"/>
      <c r="HV3" s="970"/>
      <c r="HW3" s="970"/>
      <c r="HX3" s="970"/>
      <c r="HY3" s="970"/>
      <c r="HZ3" s="970"/>
      <c r="IA3" s="970"/>
      <c r="IB3" s="970"/>
      <c r="IC3" s="970"/>
      <c r="ID3" s="970"/>
      <c r="IE3" s="970"/>
      <c r="IF3" s="970"/>
      <c r="IG3" s="970"/>
      <c r="IH3" s="974"/>
      <c r="II3" s="970"/>
      <c r="IJ3" s="970"/>
      <c r="IK3" s="982"/>
      <c r="IL3" s="982"/>
      <c r="IM3" s="982"/>
      <c r="IN3" s="970"/>
      <c r="IO3" s="970"/>
      <c r="IP3" s="982"/>
      <c r="IQ3" s="982"/>
      <c r="IR3" s="982"/>
      <c r="IS3" s="982"/>
      <c r="IT3" s="982"/>
      <c r="IU3" s="982"/>
      <c r="IV3" s="982"/>
      <c r="IW3" s="982"/>
      <c r="IX3" s="982"/>
      <c r="IY3" s="982"/>
      <c r="IZ3" s="970"/>
      <c r="JA3" s="982"/>
      <c r="JB3" s="982"/>
      <c r="JC3" s="982"/>
      <c r="JE3" s="982"/>
      <c r="JF3" s="982"/>
      <c r="JJ3" s="974"/>
      <c r="JK3" s="974"/>
      <c r="JV3" s="974"/>
      <c r="KC3" s="973"/>
      <c r="KD3" s="970"/>
      <c r="KE3" s="978"/>
      <c r="KF3" s="978"/>
      <c r="KG3" s="978"/>
      <c r="KH3" s="978"/>
      <c r="KI3" s="978"/>
      <c r="KJ3" s="978"/>
      <c r="KK3" s="978"/>
      <c r="KL3" s="972"/>
      <c r="KM3" s="978"/>
      <c r="KN3" s="978"/>
      <c r="KO3" s="978"/>
      <c r="KP3" s="963"/>
      <c r="KQ3" s="978"/>
      <c r="KR3" s="978"/>
      <c r="KS3" s="978"/>
      <c r="KT3" s="978"/>
      <c r="KU3" s="978"/>
      <c r="KV3" s="978"/>
      <c r="KW3" s="978"/>
      <c r="KX3" s="972"/>
      <c r="KY3" s="978"/>
      <c r="KZ3" s="978"/>
      <c r="LA3" s="978"/>
      <c r="LB3" s="978"/>
      <c r="LC3" s="978"/>
      <c r="LD3" s="978"/>
      <c r="LE3" s="978"/>
      <c r="LF3" s="978"/>
      <c r="LG3" s="978"/>
      <c r="LH3" s="978"/>
      <c r="LI3" s="978"/>
      <c r="LJ3" s="972"/>
      <c r="LK3" s="978"/>
      <c r="LL3" s="978"/>
      <c r="LM3" s="978"/>
      <c r="LN3" s="978"/>
      <c r="LO3" s="984"/>
      <c r="LP3" s="984"/>
      <c r="LQ3" s="984"/>
      <c r="LS3" s="974"/>
      <c r="LW3" s="974"/>
      <c r="MU3" s="985"/>
      <c r="MV3" s="985"/>
      <c r="MW3" s="986"/>
      <c r="MX3" s="986"/>
      <c r="MY3" s="986"/>
      <c r="MZ3" s="986"/>
      <c r="NA3" s="986"/>
      <c r="NB3" s="986"/>
      <c r="NC3" s="985"/>
      <c r="ND3" s="985"/>
      <c r="NE3" s="985"/>
      <c r="NF3" s="985"/>
      <c r="NG3" s="985"/>
      <c r="NH3" s="985"/>
      <c r="NI3" s="985"/>
      <c r="NJ3" s="985"/>
      <c r="NK3" s="987"/>
      <c r="NL3" s="988"/>
      <c r="NM3" s="985"/>
      <c r="NN3" s="985"/>
      <c r="NO3" s="988"/>
      <c r="NP3" s="985"/>
      <c r="NQ3" s="988"/>
      <c r="NR3" s="985"/>
      <c r="NS3" s="988"/>
      <c r="NT3" s="985"/>
    </row>
    <row r="4" spans="1:384" x14ac:dyDescent="0.2">
      <c r="ML4" t="s">
        <v>1016</v>
      </c>
    </row>
    <row r="5" spans="1:384" ht="71.25" x14ac:dyDescent="0.2">
      <c r="A5" s="944" t="s">
        <v>906</v>
      </c>
      <c r="B5" s="944" t="s">
        <v>907</v>
      </c>
      <c r="C5" s="944" t="s">
        <v>908</v>
      </c>
      <c r="D5" s="944" t="s">
        <v>909</v>
      </c>
      <c r="E5" s="944" t="s">
        <v>910</v>
      </c>
      <c r="F5" s="944" t="s">
        <v>911</v>
      </c>
      <c r="G5" s="944" t="s">
        <v>912</v>
      </c>
      <c r="H5" s="944" t="s">
        <v>913</v>
      </c>
      <c r="I5" s="944" t="s">
        <v>914</v>
      </c>
      <c r="J5" s="944" t="s">
        <v>915</v>
      </c>
      <c r="K5" s="944" t="s">
        <v>916</v>
      </c>
      <c r="L5" s="944" t="s">
        <v>917</v>
      </c>
      <c r="M5" s="944" t="s">
        <v>918</v>
      </c>
      <c r="N5" s="944" t="s">
        <v>919</v>
      </c>
      <c r="O5" s="944" t="s">
        <v>1018</v>
      </c>
      <c r="P5" s="944" t="s">
        <v>920</v>
      </c>
      <c r="Q5" s="944" t="s">
        <v>921</v>
      </c>
      <c r="R5" s="944" t="s">
        <v>922</v>
      </c>
      <c r="S5" s="944" t="s">
        <v>923</v>
      </c>
      <c r="T5" s="944" t="s">
        <v>924</v>
      </c>
      <c r="U5" s="944" t="s">
        <v>925</v>
      </c>
      <c r="V5" s="944" t="s">
        <v>926</v>
      </c>
      <c r="W5" s="922" t="s">
        <v>927</v>
      </c>
      <c r="X5" s="922" t="s">
        <v>928</v>
      </c>
      <c r="Y5" s="922" t="s">
        <v>929</v>
      </c>
      <c r="Z5" s="944" t="s">
        <v>930</v>
      </c>
      <c r="AA5" s="944" t="s">
        <v>931</v>
      </c>
      <c r="AB5" s="944" t="s">
        <v>932</v>
      </c>
      <c r="AC5" s="944" t="s">
        <v>934</v>
      </c>
      <c r="AD5" s="944" t="s">
        <v>935</v>
      </c>
      <c r="AE5" s="944" t="s">
        <v>936</v>
      </c>
      <c r="AF5" s="944" t="s">
        <v>557</v>
      </c>
      <c r="AG5" s="944" t="s">
        <v>933</v>
      </c>
      <c r="AH5" s="944" t="s">
        <v>934</v>
      </c>
      <c r="AI5" s="944" t="s">
        <v>935</v>
      </c>
      <c r="AJ5" s="944" t="s">
        <v>936</v>
      </c>
      <c r="AK5" s="944" t="s">
        <v>937</v>
      </c>
      <c r="AL5" s="944" t="s">
        <v>938</v>
      </c>
      <c r="AM5" s="944" t="s">
        <v>939</v>
      </c>
      <c r="AN5" s="944" t="s">
        <v>940</v>
      </c>
      <c r="AO5" s="944" t="s">
        <v>941</v>
      </c>
      <c r="AP5" s="944" t="s">
        <v>942</v>
      </c>
      <c r="AQ5" s="944" t="s">
        <v>943</v>
      </c>
      <c r="AR5" s="944" t="s">
        <v>944</v>
      </c>
      <c r="AS5" s="944" t="s">
        <v>945</v>
      </c>
      <c r="AT5" s="944" t="s">
        <v>946</v>
      </c>
      <c r="AU5" s="944" t="s">
        <v>947</v>
      </c>
      <c r="AV5" s="944" t="s">
        <v>948</v>
      </c>
      <c r="AW5" s="944" t="s">
        <v>949</v>
      </c>
      <c r="AX5" s="944" t="s">
        <v>950</v>
      </c>
      <c r="AY5" s="944" t="s">
        <v>951</v>
      </c>
      <c r="AZ5" s="945" t="s">
        <v>952</v>
      </c>
      <c r="BA5" s="945" t="s">
        <v>953</v>
      </c>
      <c r="BB5" s="945" t="s">
        <v>954</v>
      </c>
      <c r="BC5" s="945" t="s">
        <v>955</v>
      </c>
      <c r="BD5" s="946" t="s">
        <v>956</v>
      </c>
      <c r="BE5" s="946" t="s">
        <v>957</v>
      </c>
      <c r="BF5" s="945" t="s">
        <v>958</v>
      </c>
      <c r="BG5" s="945" t="s">
        <v>959</v>
      </c>
      <c r="BH5" s="945" t="s">
        <v>960</v>
      </c>
      <c r="BI5" s="945" t="s">
        <v>961</v>
      </c>
      <c r="BJ5" s="945" t="s">
        <v>962</v>
      </c>
      <c r="BK5" s="945" t="s">
        <v>963</v>
      </c>
      <c r="BL5" s="945" t="s">
        <v>964</v>
      </c>
      <c r="BM5" s="945" t="s">
        <v>965</v>
      </c>
      <c r="BN5" s="945" t="s">
        <v>966</v>
      </c>
      <c r="BO5" s="945" t="s">
        <v>967</v>
      </c>
      <c r="BP5" s="945" t="s">
        <v>968</v>
      </c>
      <c r="BQ5" s="945" t="s">
        <v>969</v>
      </c>
      <c r="BR5" s="945" t="s">
        <v>969</v>
      </c>
      <c r="BS5" s="945" t="s">
        <v>970</v>
      </c>
      <c r="BT5" s="945" t="s">
        <v>971</v>
      </c>
      <c r="BU5" s="945" t="s">
        <v>972</v>
      </c>
      <c r="BV5" s="922" t="s">
        <v>973</v>
      </c>
      <c r="BW5" s="922" t="s">
        <v>974</v>
      </c>
      <c r="BX5" s="945" t="s">
        <v>975</v>
      </c>
      <c r="BY5" s="945" t="s">
        <v>976</v>
      </c>
      <c r="BZ5" s="945" t="s">
        <v>977</v>
      </c>
      <c r="CA5" s="945" t="s">
        <v>978</v>
      </c>
      <c r="CB5" s="945" t="s">
        <v>979</v>
      </c>
      <c r="CC5" s="945" t="s">
        <v>980</v>
      </c>
      <c r="CD5" s="945" t="s">
        <v>981</v>
      </c>
      <c r="CE5" s="945" t="s">
        <v>982</v>
      </c>
      <c r="CF5" s="945" t="s">
        <v>983</v>
      </c>
      <c r="CG5" s="922" t="s">
        <v>984</v>
      </c>
      <c r="CH5" s="945" t="s">
        <v>985</v>
      </c>
      <c r="CI5" s="945" t="s">
        <v>986</v>
      </c>
      <c r="CJ5" s="945" t="s">
        <v>986</v>
      </c>
      <c r="CK5" s="916" t="s">
        <v>902</v>
      </c>
      <c r="CL5" s="916" t="s">
        <v>903</v>
      </c>
      <c r="CM5" s="916" t="s">
        <v>904</v>
      </c>
      <c r="CN5" s="916" t="s">
        <v>551</v>
      </c>
      <c r="CO5" s="916" t="s">
        <v>552</v>
      </c>
      <c r="CP5" s="916" t="s">
        <v>553</v>
      </c>
      <c r="CQ5" s="916" t="s">
        <v>554</v>
      </c>
      <c r="CR5" s="916" t="s">
        <v>555</v>
      </c>
      <c r="CS5" s="916" t="s">
        <v>556</v>
      </c>
      <c r="CT5" s="916" t="s">
        <v>905</v>
      </c>
      <c r="CU5" s="944" t="s">
        <v>1020</v>
      </c>
      <c r="CV5" s="944" t="s">
        <v>1021</v>
      </c>
      <c r="CW5" s="944" t="s">
        <v>1022</v>
      </c>
      <c r="CX5" s="944" t="s">
        <v>1023</v>
      </c>
      <c r="CY5" s="944" t="s">
        <v>1024</v>
      </c>
      <c r="CZ5" s="944" t="s">
        <v>1019</v>
      </c>
      <c r="DA5" s="944" t="s">
        <v>1025</v>
      </c>
      <c r="DB5" s="944" t="s">
        <v>1026</v>
      </c>
      <c r="DC5" s="944" t="s">
        <v>1029</v>
      </c>
      <c r="DD5" s="944" t="s">
        <v>1028</v>
      </c>
      <c r="DE5" s="944" t="s">
        <v>1030</v>
      </c>
      <c r="DF5" s="944" t="s">
        <v>1031</v>
      </c>
      <c r="DG5" s="944" t="s">
        <v>1027</v>
      </c>
    </row>
    <row r="6" spans="1:384" x14ac:dyDescent="0.2">
      <c r="A6" s="995">
        <f>B_PH_Ergebnis!F16</f>
        <v>0</v>
      </c>
      <c r="B6" s="989">
        <f>B_PH_Ergebnis!F17</f>
        <v>0</v>
      </c>
      <c r="C6" s="989">
        <f>B_PH_Ergebnis!F18</f>
        <v>0</v>
      </c>
      <c r="D6" s="989">
        <f>B_PH_Ergebnis!F19</f>
        <v>0</v>
      </c>
      <c r="E6" s="989">
        <f>B_PH_Ergebnis!F20</f>
        <v>0</v>
      </c>
      <c r="F6" s="989">
        <f>B_PH_Ergebnis!I16</f>
        <v>0</v>
      </c>
      <c r="G6" s="989">
        <f>B_PH_Ergebnis!I17</f>
        <v>0</v>
      </c>
      <c r="H6" s="989">
        <f>B_PH_Ergebnis!I18</f>
        <v>0</v>
      </c>
      <c r="I6" s="989">
        <f>B_PH_Ergebnis!I19</f>
        <v>0</v>
      </c>
      <c r="J6" s="989">
        <f>B_PH_Ergebnis!I20</f>
        <v>0</v>
      </c>
      <c r="K6" s="104"/>
      <c r="L6" s="104"/>
      <c r="M6" s="104"/>
      <c r="N6" s="104"/>
      <c r="O6" s="104"/>
      <c r="P6" s="104"/>
      <c r="Q6" s="104"/>
      <c r="R6" s="104"/>
      <c r="S6" s="104"/>
      <c r="T6" s="990">
        <f>B_PH_Ergebnis!F36</f>
        <v>0</v>
      </c>
      <c r="U6" s="990">
        <f>B_PH_Ergebnis!F37</f>
        <v>0</v>
      </c>
      <c r="V6" s="990">
        <f>B_PH_Ergebnis!F38</f>
        <v>0</v>
      </c>
      <c r="W6" s="104"/>
      <c r="X6" s="104"/>
      <c r="Y6" s="104"/>
      <c r="Z6" s="990">
        <f>B_PH_Ergebnis!F31</f>
        <v>0</v>
      </c>
      <c r="AA6" s="990">
        <f>B_PH_Ergebnis!F32</f>
        <v>0</v>
      </c>
      <c r="AB6" s="990">
        <f>B_PH_Ergebnis!F33</f>
        <v>0</v>
      </c>
      <c r="AC6" s="223"/>
      <c r="AD6" s="104"/>
      <c r="AE6" s="104"/>
      <c r="AF6" s="990">
        <f>B_PH_Ergebnis!F44</f>
        <v>0</v>
      </c>
      <c r="AG6" s="99" t="str">
        <f>B_PH_Ergebnis!L46</f>
        <v/>
      </c>
      <c r="AH6" s="104"/>
      <c r="AI6" s="104"/>
      <c r="AJ6" s="104"/>
      <c r="AK6" s="99" t="str">
        <f>B_PH_Ergebnis!L48</f>
        <v/>
      </c>
      <c r="AL6" s="99" t="str">
        <f>B_PH_Ergebnis!L50</f>
        <v/>
      </c>
      <c r="AM6" s="99">
        <f>B_PH_Ergebnis!F53</f>
        <v>0</v>
      </c>
      <c r="AN6" s="992">
        <f>B_PH_Ergebnis!N31</f>
        <v>0</v>
      </c>
      <c r="AO6" s="992">
        <f>B_PH_Ergebnis!N32</f>
        <v>0</v>
      </c>
      <c r="AP6" s="992">
        <f>B_PH_Ergebnis!N33</f>
        <v>0</v>
      </c>
      <c r="AQ6" s="992">
        <f>B_PH_Ergebnis!N36</f>
        <v>0</v>
      </c>
      <c r="AR6" s="992">
        <f>B_PH_Ergebnis!N37</f>
        <v>0</v>
      </c>
      <c r="AS6" s="992">
        <f>B_PH_Ergebnis!N38</f>
        <v>0</v>
      </c>
      <c r="AT6" s="992">
        <f>B_PH_Ergebnis!N42</f>
        <v>0</v>
      </c>
      <c r="AU6" s="992">
        <f>B_PH_Ergebnis!N44</f>
        <v>0</v>
      </c>
      <c r="AV6" s="992">
        <f>B_PH_Ergebnis!N46</f>
        <v>0</v>
      </c>
      <c r="AW6" s="992">
        <f>B_PH_Ergebnis!N48</f>
        <v>0</v>
      </c>
      <c r="AX6" s="992">
        <f>B_PH_Ergebnis!N50</f>
        <v>0</v>
      </c>
      <c r="AY6" s="992">
        <f>B_PH_Ergebnis!N53</f>
        <v>0</v>
      </c>
      <c r="AZ6" s="104"/>
      <c r="BA6" s="104"/>
      <c r="BB6" s="104"/>
      <c r="BC6" s="104"/>
      <c r="BD6" s="104"/>
      <c r="BE6" s="104"/>
      <c r="BF6" s="104"/>
      <c r="BG6" s="104"/>
      <c r="BH6" s="104"/>
      <c r="BI6" s="104"/>
      <c r="BJ6" s="104"/>
      <c r="BK6" s="104"/>
      <c r="BL6" s="104"/>
      <c r="BM6" s="104"/>
      <c r="BN6" s="104"/>
      <c r="BO6" s="104"/>
      <c r="BP6" s="104"/>
      <c r="BQ6" s="104"/>
      <c r="BR6" s="104"/>
      <c r="BS6" s="99" t="str">
        <f>B_PH_Kalkulation!M36</f>
        <v/>
      </c>
      <c r="BT6" s="99" t="str">
        <f>B_PH_Kalkulation!M37</f>
        <v/>
      </c>
      <c r="BU6" s="99" t="str">
        <f>B_PH_Kalkulation!M38</f>
        <v/>
      </c>
      <c r="BV6" s="104"/>
      <c r="BW6" s="104"/>
      <c r="BX6" s="99" t="str">
        <f>B_PH_Kalkulation!M39</f>
        <v/>
      </c>
      <c r="BY6" s="99" t="str">
        <f>B_PH_Kalkulation!M40</f>
        <v/>
      </c>
      <c r="BZ6" s="99" t="str">
        <f>B_PH_Kalkulation!M41</f>
        <v/>
      </c>
      <c r="CA6" s="99" t="str">
        <f>B_PH_Kalkulation!M42</f>
        <v/>
      </c>
      <c r="CB6" s="99" t="str">
        <f>B_PH_Kalkulation!M43</f>
        <v/>
      </c>
      <c r="CC6" s="99" t="str">
        <f>B_PH_Kalkulation!M47</f>
        <v/>
      </c>
      <c r="CD6" s="99" t="str">
        <f>B_PH_Kalkulation!M48</f>
        <v/>
      </c>
      <c r="CE6" s="99" t="str">
        <f>B_PH_Kalkulation!M49</f>
        <v/>
      </c>
      <c r="CF6" s="99" t="str">
        <f>B_PH_Kalkulation!M50</f>
        <v/>
      </c>
      <c r="CG6" s="104"/>
      <c r="CH6" s="99" t="str">
        <f>B_PH_Kalkulation!M51</f>
        <v/>
      </c>
      <c r="CI6" s="99" t="str">
        <f>B_PH_Kalkulation!M52</f>
        <v/>
      </c>
      <c r="CJ6" s="99" t="str">
        <f>B_PH_Kalkulation!M53</f>
        <v/>
      </c>
      <c r="CK6" s="992" t="str">
        <f>B_PH_Gesamtkalkulation!D16</f>
        <v/>
      </c>
      <c r="CL6" s="992">
        <f>IFERROR(B_PH_Gesamtkalkulation!D16-B_PH_Gesamtkalkulation!D23-B_PH_Gesamtkalkulation!D24,0)</f>
        <v>0</v>
      </c>
      <c r="CM6" s="992">
        <f>B_PH_Kalkulation!L57</f>
        <v>0</v>
      </c>
      <c r="CN6" s="991">
        <f>B_PH_Kalkulation!L58</f>
        <v>0</v>
      </c>
      <c r="CO6" s="992">
        <f>B_PH_Kalkulation!M58</f>
        <v>0</v>
      </c>
      <c r="CP6" s="99">
        <f>B_PH_Kalkulation!L60</f>
        <v>0</v>
      </c>
      <c r="CQ6" s="992">
        <f>B_PH_Kalkulation!M60</f>
        <v>0</v>
      </c>
      <c r="CR6" s="99">
        <f>B_PH_Kalkulation!J60</f>
        <v>0.75</v>
      </c>
      <c r="CS6" s="992">
        <f>B_PH_Kalkulation!K60</f>
        <v>98662</v>
      </c>
      <c r="CT6" s="992">
        <f>B_PH_Kalkulation!M61</f>
        <v>0</v>
      </c>
      <c r="CU6" s="994" t="str">
        <f>B_PH_Ergebnis!F78</f>
        <v/>
      </c>
      <c r="CV6" s="994" t="str">
        <f>B_PH_Ergebnis!F80</f>
        <v/>
      </c>
      <c r="CW6" s="994" t="str">
        <f>B_PH_Ergebnis!F82</f>
        <v/>
      </c>
      <c r="CX6" s="994" t="str">
        <f>B_PH_Ergebnis!F84</f>
        <v/>
      </c>
      <c r="CY6" s="994" t="str">
        <f>B_PH_Ergebnis!F86</f>
        <v/>
      </c>
      <c r="CZ6" s="994" t="str">
        <f>B_PH_Ergebnis!F74</f>
        <v/>
      </c>
      <c r="DA6" s="994" t="str">
        <f>B_PH_Ergebnis!F92</f>
        <v/>
      </c>
      <c r="DB6" s="994" t="str">
        <f>B_PH_Ergebnis!F94</f>
        <v/>
      </c>
      <c r="DC6" s="994" t="str">
        <f>B_PH_Ergebnis!F88</f>
        <v/>
      </c>
      <c r="DD6" s="994" t="str">
        <f>B_PH_Ergebnis!L78</f>
        <v/>
      </c>
      <c r="DE6" s="994" t="str">
        <f>B_PH_Ergebnis!L92</f>
        <v/>
      </c>
      <c r="DF6" s="994" t="str">
        <f>B_PH_Ergebnis!L94</f>
        <v/>
      </c>
      <c r="DG6" s="994" t="str">
        <f>B_PH_Ergebnis!L88</f>
        <v/>
      </c>
    </row>
    <row r="7" spans="1:384" x14ac:dyDescent="0.2">
      <c r="CL7" t="s">
        <v>1016</v>
      </c>
    </row>
    <row r="8" spans="1:384" x14ac:dyDescent="0.2">
      <c r="A8" t="s">
        <v>523</v>
      </c>
    </row>
    <row r="9" spans="1:384" s="925" customFormat="1" ht="72" x14ac:dyDescent="0.2">
      <c r="A9" s="1097" t="s">
        <v>1047</v>
      </c>
      <c r="B9" s="1098" t="s">
        <v>1048</v>
      </c>
      <c r="C9" s="1098" t="s">
        <v>549</v>
      </c>
      <c r="D9" s="1099" t="s">
        <v>1049</v>
      </c>
      <c r="E9" s="1099" t="s">
        <v>1050</v>
      </c>
      <c r="F9" s="1100" t="s">
        <v>550</v>
      </c>
      <c r="G9" s="1100" t="s">
        <v>1051</v>
      </c>
      <c r="H9" s="1101" t="s">
        <v>1052</v>
      </c>
      <c r="I9" s="1101" t="s">
        <v>1053</v>
      </c>
      <c r="J9" s="1101" t="s">
        <v>1054</v>
      </c>
      <c r="K9" s="1101" t="s">
        <v>1055</v>
      </c>
      <c r="L9" s="1101" t="s">
        <v>1056</v>
      </c>
      <c r="M9" s="1101" t="s">
        <v>1057</v>
      </c>
      <c r="N9" s="1101" t="s">
        <v>1058</v>
      </c>
      <c r="O9" s="1101" t="s">
        <v>1059</v>
      </c>
      <c r="P9" s="1101" t="s">
        <v>1060</v>
      </c>
      <c r="Q9" s="1101" t="s">
        <v>1061</v>
      </c>
      <c r="R9" s="1101" t="s">
        <v>1062</v>
      </c>
      <c r="S9" s="1101" t="s">
        <v>1063</v>
      </c>
      <c r="T9" s="1317" t="s">
        <v>1064</v>
      </c>
      <c r="U9" s="1317" t="s">
        <v>1065</v>
      </c>
      <c r="V9" s="1318" t="s">
        <v>1066</v>
      </c>
      <c r="W9" s="1319" t="s">
        <v>1067</v>
      </c>
      <c r="X9" s="1102" t="s">
        <v>1068</v>
      </c>
      <c r="Y9" s="1102" t="s">
        <v>1069</v>
      </c>
      <c r="Z9" s="1102" t="s">
        <v>1070</v>
      </c>
      <c r="AA9" s="1102" t="s">
        <v>1071</v>
      </c>
      <c r="AB9" s="1102" t="s">
        <v>1072</v>
      </c>
      <c r="AC9" s="1102" t="s">
        <v>1073</v>
      </c>
      <c r="AD9" s="1102" t="s">
        <v>1074</v>
      </c>
      <c r="AE9" s="1102" t="s">
        <v>1075</v>
      </c>
      <c r="AF9" s="1102" t="s">
        <v>1076</v>
      </c>
      <c r="AG9" s="1102" t="s">
        <v>1077</v>
      </c>
      <c r="AH9" s="1103" t="s">
        <v>1078</v>
      </c>
      <c r="AI9" s="1104" t="s">
        <v>1079</v>
      </c>
      <c r="AJ9" s="1104" t="s">
        <v>1080</v>
      </c>
      <c r="AK9" s="1104" t="s">
        <v>1081</v>
      </c>
      <c r="AL9" s="1104" t="s">
        <v>1082</v>
      </c>
      <c r="AM9" s="1104" t="s">
        <v>1083</v>
      </c>
      <c r="AN9" s="1104" t="s">
        <v>1084</v>
      </c>
      <c r="AO9" s="1104" t="s">
        <v>1085</v>
      </c>
      <c r="AP9" s="1105" t="s">
        <v>1086</v>
      </c>
      <c r="AQ9" s="1106" t="s">
        <v>1087</v>
      </c>
      <c r="AR9" s="1106" t="s">
        <v>1088</v>
      </c>
      <c r="AS9" s="1106" t="s">
        <v>1089</v>
      </c>
      <c r="AT9" s="1106" t="s">
        <v>1090</v>
      </c>
      <c r="AU9" s="1106" t="s">
        <v>1091</v>
      </c>
      <c r="AV9" s="1106" t="s">
        <v>1092</v>
      </c>
      <c r="AW9" s="1106" t="s">
        <v>1093</v>
      </c>
      <c r="AX9" s="1107" t="s">
        <v>1094</v>
      </c>
      <c r="AY9" s="1108" t="s">
        <v>1095</v>
      </c>
      <c r="AZ9" s="1108" t="s">
        <v>1096</v>
      </c>
      <c r="BA9" s="1108" t="s">
        <v>1097</v>
      </c>
      <c r="BB9" s="1105" t="s">
        <v>1098</v>
      </c>
      <c r="BC9" s="1106" t="s">
        <v>1099</v>
      </c>
      <c r="BD9" s="1106" t="s">
        <v>1100</v>
      </c>
      <c r="BE9" s="1109" t="s">
        <v>1101</v>
      </c>
      <c r="BF9" s="1110" t="s">
        <v>1102</v>
      </c>
      <c r="BG9" s="1111" t="s">
        <v>1103</v>
      </c>
      <c r="BH9" s="1111" t="s">
        <v>1104</v>
      </c>
      <c r="BI9" s="1111" t="s">
        <v>1105</v>
      </c>
      <c r="BJ9" s="1112" t="s">
        <v>1106</v>
      </c>
      <c r="BK9" s="1113" t="s">
        <v>1107</v>
      </c>
      <c r="BL9" s="1113" t="s">
        <v>1108</v>
      </c>
      <c r="BM9" s="1113" t="s">
        <v>1109</v>
      </c>
      <c r="BN9" s="1114" t="s">
        <v>1110</v>
      </c>
      <c r="BO9" s="1114" t="s">
        <v>1111</v>
      </c>
      <c r="BP9" s="1114" t="s">
        <v>1112</v>
      </c>
      <c r="BQ9" s="1115" t="s">
        <v>1113</v>
      </c>
      <c r="BR9" s="1115" t="s">
        <v>1114</v>
      </c>
      <c r="BS9" s="1115" t="s">
        <v>1115</v>
      </c>
      <c r="BT9" s="1116" t="s">
        <v>1116</v>
      </c>
      <c r="BU9" s="1116" t="s">
        <v>1117</v>
      </c>
      <c r="BV9" s="1116" t="s">
        <v>1118</v>
      </c>
      <c r="BW9" s="1116" t="s">
        <v>1119</v>
      </c>
      <c r="BX9" s="1117" t="s">
        <v>1120</v>
      </c>
      <c r="BY9" s="1118" t="s">
        <v>1121</v>
      </c>
      <c r="BZ9" s="1118" t="s">
        <v>1122</v>
      </c>
      <c r="CA9" s="1118" t="s">
        <v>1123</v>
      </c>
      <c r="CB9" s="1309" t="s">
        <v>1124</v>
      </c>
      <c r="CC9" s="1310" t="s">
        <v>1125</v>
      </c>
      <c r="CD9" s="1310" t="s">
        <v>1126</v>
      </c>
      <c r="CE9" s="1311" t="s">
        <v>1127</v>
      </c>
      <c r="CF9" s="1311" t="s">
        <v>1128</v>
      </c>
      <c r="CG9" s="1310" t="s">
        <v>1129</v>
      </c>
      <c r="CH9" s="1310" t="s">
        <v>1130</v>
      </c>
      <c r="CI9" s="1311" t="s">
        <v>1131</v>
      </c>
      <c r="CJ9" s="1310" t="s">
        <v>1132</v>
      </c>
      <c r="CK9" s="1312" t="s">
        <v>1133</v>
      </c>
      <c r="CL9" s="1119" t="s">
        <v>551</v>
      </c>
      <c r="CM9" s="1119" t="s">
        <v>552</v>
      </c>
      <c r="CN9" s="1119" t="s">
        <v>553</v>
      </c>
      <c r="CO9" s="1119" t="s">
        <v>554</v>
      </c>
      <c r="CP9" s="1119" t="s">
        <v>555</v>
      </c>
      <c r="CQ9" s="1119" t="s">
        <v>556</v>
      </c>
      <c r="CR9" s="1119" t="s">
        <v>1134</v>
      </c>
      <c r="CS9" s="1115" t="s">
        <v>557</v>
      </c>
      <c r="CT9" s="1120" t="s">
        <v>1135</v>
      </c>
      <c r="CU9" s="1120" t="s">
        <v>1135</v>
      </c>
      <c r="CV9" s="1121" t="s">
        <v>1136</v>
      </c>
      <c r="CW9" s="1121" t="s">
        <v>1137</v>
      </c>
      <c r="CX9" s="1121" t="s">
        <v>1138</v>
      </c>
      <c r="CY9" s="1121" t="s">
        <v>1139</v>
      </c>
      <c r="CZ9" s="1121" t="s">
        <v>1140</v>
      </c>
      <c r="DA9" s="1121" t="s">
        <v>1141</v>
      </c>
      <c r="DB9" s="1121" t="s">
        <v>1142</v>
      </c>
      <c r="DC9" s="1121" t="s">
        <v>1143</v>
      </c>
      <c r="DD9" s="1121" t="s">
        <v>1144</v>
      </c>
      <c r="DE9" s="1121" t="s">
        <v>1145</v>
      </c>
      <c r="DF9" s="1121" t="s">
        <v>1146</v>
      </c>
      <c r="DG9" s="1121" t="s">
        <v>1147</v>
      </c>
      <c r="DH9" s="1121" t="s">
        <v>1148</v>
      </c>
      <c r="DI9" s="1121" t="s">
        <v>1149</v>
      </c>
      <c r="DJ9" s="1121" t="s">
        <v>1150</v>
      </c>
      <c r="DK9" s="1121" t="s">
        <v>1151</v>
      </c>
      <c r="DL9" s="1121" t="s">
        <v>1152</v>
      </c>
      <c r="DM9" s="1121" t="s">
        <v>1153</v>
      </c>
      <c r="DN9" s="1093" t="s">
        <v>1293</v>
      </c>
      <c r="DO9" s="1093" t="s">
        <v>1290</v>
      </c>
      <c r="DP9" s="1093" t="s">
        <v>1291</v>
      </c>
      <c r="DQ9" s="1093" t="s">
        <v>1292</v>
      </c>
      <c r="DR9" s="1093" t="s">
        <v>1294</v>
      </c>
      <c r="DS9" s="1093" t="s">
        <v>1297</v>
      </c>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row>
    <row r="10" spans="1:384" s="943" customFormat="1" x14ac:dyDescent="0.2">
      <c r="A10" s="1122">
        <f ca="1">TODAY()</f>
        <v>46317</v>
      </c>
      <c r="B10" s="1123">
        <f>'B_PH_Allgemeine Angaben'!L47</f>
        <v>0</v>
      </c>
      <c r="C10" s="1124">
        <f>'B_PH_Allgemeine Angaben'!L48</f>
        <v>0</v>
      </c>
      <c r="D10" s="1124">
        <f>'B_PH_Allgemeine Angaben'!L7</f>
        <v>0</v>
      </c>
      <c r="E10" s="1139" t="str">
        <f>IF('B_PH_Allgemeine Angaben'!L7&gt;0,"angebundene KZP",IF(AND('B_PH_Allgemeine Angaben'!L7="",'B_PH_Allgemeine Angaben'!L48&gt;0),"integrierte KZP","ohne angebundene / integrierte KZP"))</f>
        <v>ohne angebundene / integrierte KZP</v>
      </c>
      <c r="F10" s="1125">
        <f>B_PH_Kalkulation!D7/100</f>
        <v>0</v>
      </c>
      <c r="G10" s="1126">
        <f>IF('B_PH_Allgemeine Angaben'!L48=0,0%,80%)</f>
        <v>0</v>
      </c>
      <c r="H10" s="1127">
        <f>B_PH_Ergebnis!N31</f>
        <v>0</v>
      </c>
      <c r="I10" s="1127">
        <f>B_PH_Ergebnis!N32</f>
        <v>0</v>
      </c>
      <c r="J10" s="1127">
        <f>B_PH_Ergebnis!N33</f>
        <v>0</v>
      </c>
      <c r="K10" s="1127">
        <f>B_PH_Ergebnis!N36</f>
        <v>0</v>
      </c>
      <c r="L10" s="1127">
        <f>B_PH_Ergebnis!N37</f>
        <v>0</v>
      </c>
      <c r="M10" s="1127">
        <f>B_PH_Ergebnis!N38</f>
        <v>0</v>
      </c>
      <c r="N10" s="1127">
        <f>B_PH_Ergebnis!N42</f>
        <v>0</v>
      </c>
      <c r="O10" s="1127">
        <f>B_PH_Ergebnis!N44</f>
        <v>0</v>
      </c>
      <c r="P10" s="1127">
        <f>B_PH_Ergebnis!N46</f>
        <v>0</v>
      </c>
      <c r="Q10" s="1127">
        <f>B_PH_Ergebnis!N48</f>
        <v>0</v>
      </c>
      <c r="R10" s="1127">
        <f>B_PH_Ergebnis!N50</f>
        <v>0</v>
      </c>
      <c r="S10" s="1127">
        <f>B_PH_Ergebnis!N53</f>
        <v>0</v>
      </c>
      <c r="T10" s="1316"/>
      <c r="U10" s="1316"/>
      <c r="V10" s="1316"/>
      <c r="W10" s="1316"/>
      <c r="X10" s="1123" t="str">
        <f>B_PH_Kalkulation!M36</f>
        <v/>
      </c>
      <c r="Y10" s="1123" t="str">
        <f>B_PH_Kalkulation!M37</f>
        <v/>
      </c>
      <c r="Z10" s="1123" t="str">
        <f>B_PH_Kalkulation!M38</f>
        <v/>
      </c>
      <c r="AA10" s="1128"/>
      <c r="AB10" s="1128"/>
      <c r="AC10" s="1123" t="str">
        <f>B_PH_Kalkulation!M39</f>
        <v/>
      </c>
      <c r="AD10" s="1123" t="str">
        <f>B_PH_Kalkulation!M40</f>
        <v/>
      </c>
      <c r="AE10" s="1123" t="str">
        <f>B_PH_Kalkulation!M41</f>
        <v/>
      </c>
      <c r="AF10" s="1123" t="str">
        <f>B_PH_Kalkulation!M42</f>
        <v/>
      </c>
      <c r="AG10" s="1123" t="str">
        <f>B_PH_Kalkulation!M43</f>
        <v/>
      </c>
      <c r="AH10" s="1123" t="str">
        <f>B_PH_Kalkulation!M47</f>
        <v/>
      </c>
      <c r="AI10" s="1123" t="str">
        <f>B_PH_Kalkulation!M48</f>
        <v/>
      </c>
      <c r="AJ10" s="1123" t="str">
        <f>B_PH_Kalkulation!M49</f>
        <v/>
      </c>
      <c r="AK10" s="1123" t="str">
        <f>B_PH_Kalkulation!M50</f>
        <v/>
      </c>
      <c r="AL10" s="1128"/>
      <c r="AM10" s="1123" t="str">
        <f>B_PH_Kalkulation!M51</f>
        <v/>
      </c>
      <c r="AN10" s="1123" t="str">
        <f>B_PH_Kalkulation!M52</f>
        <v/>
      </c>
      <c r="AO10" s="1123" t="str">
        <f>B_PH_Kalkulation!M53</f>
        <v/>
      </c>
      <c r="AP10" s="1129" t="str">
        <f>B_PH_Gesamtkalkulation!J57</f>
        <v/>
      </c>
      <c r="AQ10" s="1129" t="e">
        <f>B_PH_Gesamtkalkulation!L57</f>
        <v>#VALUE!</v>
      </c>
      <c r="AR10" s="1129" t="e">
        <f>B_PH_Gesamtkalkulation!N57</f>
        <v>#VALUE!</v>
      </c>
      <c r="AS10" s="1129" t="e">
        <f>B_PH_Gesamtkalkulation!P57</f>
        <v>#VALUE!</v>
      </c>
      <c r="AT10" s="1129" t="e">
        <f>B_PH_Gesamtkalkulation!R57</f>
        <v>#VALUE!</v>
      </c>
      <c r="AU10" s="1129" t="e">
        <f>B_PH_Gesamtkalkulation!J59</f>
        <v>#VALUE!</v>
      </c>
      <c r="AV10" s="1129" t="e">
        <f>B_PH_Gesamtkalkulation!T57</f>
        <v>#VALUE!</v>
      </c>
      <c r="AW10" s="1129" t="e">
        <f>B_PH_Gesamtkalkulation!V57</f>
        <v>#VALUE!</v>
      </c>
      <c r="AX10" s="1129"/>
      <c r="AY10" s="1122" t="str">
        <f>B_PH_Ergebnis!F11</f>
        <v/>
      </c>
      <c r="AZ10" s="1122">
        <f>B_PH_Ergebnis!I11</f>
        <v>0</v>
      </c>
      <c r="BA10" s="1130">
        <f>IF(B_PH_Ergebnis!B99="AOK PLUS","pauschal SAC B AOK",IF(B_PH_Ergebnis!B99="KSV","pauschal SAC B KSV",IF(B_PH_Ergebnis!B99="vdek","pauschal SAC B vdek",0)))</f>
        <v>0</v>
      </c>
      <c r="BB10" s="1131" t="str">
        <f>IF('B_PH_Allgemeine Angaben'!L48&gt;0,B_PH_Gesamtkalkulation!J61,"")</f>
        <v/>
      </c>
      <c r="BC10" s="1123" t="str">
        <f>IF('B_PH_Allgemeine Angaben'!L48&gt;0,B_PH_Gesamtkalkulation!T61,"")</f>
        <v/>
      </c>
      <c r="BD10" s="1123" t="str">
        <f>IF('B_PH_Allgemeine Angaben'!L48&gt;0,B_PH_Gesamtkalkulation!V61,"")</f>
        <v/>
      </c>
      <c r="BE10" s="1132"/>
      <c r="BF10" s="1124">
        <f>B_PH_Ergebnis!F16</f>
        <v>0</v>
      </c>
      <c r="BG10" s="1124">
        <f>B_PH_Ergebnis!F17</f>
        <v>0</v>
      </c>
      <c r="BH10" s="1124">
        <f>B_PH_Ergebnis!F18</f>
        <v>0</v>
      </c>
      <c r="BI10" s="1124">
        <f>B_PH_Ergebnis!F19</f>
        <v>0</v>
      </c>
      <c r="BJ10" s="1124">
        <f>B_PH_Ergebnis!F20</f>
        <v>0</v>
      </c>
      <c r="BK10" s="1133">
        <f>B_PH_Ergebnis!F31</f>
        <v>0</v>
      </c>
      <c r="BL10" s="1133">
        <f>B_PH_Ergebnis!F32</f>
        <v>0</v>
      </c>
      <c r="BM10" s="1133">
        <f>B_PH_Ergebnis!F33</f>
        <v>0</v>
      </c>
      <c r="BN10" s="1133">
        <f>B_PH_Ergebnis!F36</f>
        <v>0</v>
      </c>
      <c r="BO10" s="1133">
        <f>B_PH_Ergebnis!F37</f>
        <v>0</v>
      </c>
      <c r="BP10" s="1133">
        <f>B_PH_Ergebnis!F38</f>
        <v>0</v>
      </c>
      <c r="BQ10" s="1320">
        <f>B_PH_Ergebnis!J36</f>
        <v>0</v>
      </c>
      <c r="BR10" s="1320">
        <f>B_PH_Ergebnis!J37</f>
        <v>0</v>
      </c>
      <c r="BS10" s="1320">
        <f>B_PH_Ergebnis!J38</f>
        <v>0</v>
      </c>
      <c r="BT10" s="1128"/>
      <c r="BU10" s="1134" t="str">
        <f>B_PH_Ergebnis!L46</f>
        <v/>
      </c>
      <c r="BV10" s="1134" t="str">
        <f>B_PH_Ergebnis!L48</f>
        <v/>
      </c>
      <c r="BW10" s="1134" t="str">
        <f>B_PH_Ergebnis!L50</f>
        <v/>
      </c>
      <c r="BX10" s="1134">
        <f>B_PH_Ergebnis!F53</f>
        <v>0</v>
      </c>
      <c r="BY10" s="1123">
        <f>'B_PH_Allgemeine Angaben'!H56</f>
        <v>0</v>
      </c>
      <c r="BZ10" s="1135">
        <f>'B_PH_Allgemeine Angaben'!H57</f>
        <v>0</v>
      </c>
      <c r="CA10" s="1123">
        <f>'B_PH_Allgemeine Angaben'!H58</f>
        <v>0</v>
      </c>
      <c r="CB10" s="1313"/>
      <c r="CC10" s="1313"/>
      <c r="CD10" s="1314"/>
      <c r="CE10" s="1313"/>
      <c r="CF10" s="1315"/>
      <c r="CG10" s="1315"/>
      <c r="CH10" s="1315"/>
      <c r="CI10" s="1313"/>
      <c r="CJ10" s="1313"/>
      <c r="CK10" s="1313"/>
      <c r="CL10" s="1136">
        <f>B_PH_Kalkulation!L58</f>
        <v>0</v>
      </c>
      <c r="CM10" s="1137">
        <f>B_PH_Kalkulation!M58</f>
        <v>0</v>
      </c>
      <c r="CN10" s="1131">
        <f>B_PH_Kalkulation!L60</f>
        <v>0</v>
      </c>
      <c r="CO10" s="1137">
        <f>B_PH_Kalkulation!M60</f>
        <v>0</v>
      </c>
      <c r="CP10" s="1123">
        <f>B_PH_Kalkulation!J60</f>
        <v>0.75</v>
      </c>
      <c r="CQ10" s="1137">
        <f>B_PH_Kalkulation!K60</f>
        <v>98662</v>
      </c>
      <c r="CR10" s="1138" t="e">
        <f>B_PH_Kalkulation!M61/B_PH_Gesamtkalkulation!P6</f>
        <v>#VALUE!</v>
      </c>
      <c r="CS10" s="1123">
        <f>B_PH_Ergebnis!F44</f>
        <v>0</v>
      </c>
      <c r="CT10" s="1123"/>
      <c r="CU10" s="1123"/>
      <c r="CV10" s="1132"/>
      <c r="CW10" s="1132"/>
      <c r="CX10" s="1132"/>
      <c r="CY10" s="1322">
        <f>KAT!N35</f>
        <v>0</v>
      </c>
      <c r="CZ10" s="1133">
        <f>KAT!N36</f>
        <v>0</v>
      </c>
      <c r="DA10" s="1133">
        <f>KAT!N37</f>
        <v>0</v>
      </c>
      <c r="DB10" s="1133">
        <f>KAT!N38</f>
        <v>0</v>
      </c>
      <c r="DC10" s="1133">
        <f>KAT!N39</f>
        <v>0</v>
      </c>
      <c r="DD10" s="1133">
        <f>KAT!O35</f>
        <v>0</v>
      </c>
      <c r="DE10" s="1133">
        <f>KAT!O36</f>
        <v>0</v>
      </c>
      <c r="DF10" s="1133">
        <f>KAT!O37</f>
        <v>0</v>
      </c>
      <c r="DG10" s="1133">
        <f>KAT!O38</f>
        <v>0</v>
      </c>
      <c r="DH10" s="1133">
        <f>KAT!O39</f>
        <v>0</v>
      </c>
      <c r="DI10" s="1133">
        <f>KAT!P35</f>
        <v>0</v>
      </c>
      <c r="DJ10" s="1133">
        <f>KAT!P36</f>
        <v>0</v>
      </c>
      <c r="DK10" s="1133">
        <f>KAT!P37</f>
        <v>0</v>
      </c>
      <c r="DL10" s="1133">
        <f>KAT!P38</f>
        <v>0</v>
      </c>
      <c r="DM10" s="1133">
        <f>KAT!P39</f>
        <v>0</v>
      </c>
      <c r="DN10" s="1323" t="e">
        <f>SUMPRODUCT(B_PH_Kalkulation!L21:L32,B_PH_Kalkulation!J21:J32)/SUMPRODUCT(B_PH_Kalkulation!F21:F32,B_PH_Kalkulation!D21:D32)-1</f>
        <v>#DIV/0!</v>
      </c>
      <c r="DO10" s="1323" t="e">
        <f>(SUMPRODUCT(B_PH_Kalkulation!L21:L31,B_PH_Kalkulation!J21:J31)/SUM(B_PH_Kalkulation!J21:J31))/(SUMPRODUCT(B_PH_Kalkulation!F21:F31,B_PH_Kalkulation!D21:D31)/SUM(B_PH_Kalkulation!D21:D31))-1</f>
        <v>#DIV/0!</v>
      </c>
      <c r="DP10" s="1324">
        <f>B_PH_Kalkulation!M35</f>
        <v>0</v>
      </c>
      <c r="DQ10" s="1324">
        <f>B_PH_Kalkulation!M46</f>
        <v>0</v>
      </c>
      <c r="DR10" s="1325" t="e">
        <f>B_PH_Gesamtkalkulation!D16+B_PH_Gesamtkalkulation!D30+B_PH_Gesamtkalkulation!D40+B_PH_Gesamtkalkulation!D49</f>
        <v>#VALUE!</v>
      </c>
      <c r="DS10" s="1325" t="e">
        <f>DR10-B_PH_Gesamtkalkulation!D23</f>
        <v>#VALUE!</v>
      </c>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row>
    <row r="11" spans="1:384" ht="112.5" x14ac:dyDescent="0.2">
      <c r="A11" s="1327" t="s">
        <v>1414</v>
      </c>
      <c r="H11" s="1091" t="s">
        <v>1212</v>
      </c>
      <c r="I11" s="1091" t="s">
        <v>1213</v>
      </c>
      <c r="J11" s="1091" t="s">
        <v>1214</v>
      </c>
      <c r="K11" s="1091" t="s">
        <v>1215</v>
      </c>
      <c r="L11" s="1091" t="s">
        <v>1216</v>
      </c>
      <c r="M11" s="1091" t="s">
        <v>1217</v>
      </c>
      <c r="N11" s="1091" t="s">
        <v>1218</v>
      </c>
      <c r="O11" s="1091" t="s">
        <v>1219</v>
      </c>
      <c r="P11" s="1091" t="s">
        <v>1220</v>
      </c>
      <c r="Q11" s="1091" t="s">
        <v>1221</v>
      </c>
      <c r="R11" s="1091" t="s">
        <v>1222</v>
      </c>
      <c r="S11" s="1091" t="s">
        <v>1223</v>
      </c>
      <c r="T11" s="48" t="s">
        <v>1425</v>
      </c>
      <c r="U11" s="48" t="s">
        <v>1425</v>
      </c>
      <c r="V11" s="48" t="s">
        <v>1425</v>
      </c>
      <c r="W11" s="48" t="s">
        <v>1425</v>
      </c>
      <c r="X11" s="1091" t="s">
        <v>1224</v>
      </c>
      <c r="Y11" s="1091" t="s">
        <v>1225</v>
      </c>
      <c r="Z11" s="1091" t="s">
        <v>1226</v>
      </c>
      <c r="AA11" s="1365" t="s">
        <v>1156</v>
      </c>
      <c r="AB11" s="1365"/>
      <c r="AC11" s="1091" t="s">
        <v>1227</v>
      </c>
      <c r="AD11" s="1091" t="s">
        <v>1228</v>
      </c>
      <c r="AE11" s="1091" t="s">
        <v>1229</v>
      </c>
      <c r="AF11" s="1091" t="s">
        <v>1230</v>
      </c>
      <c r="AG11" s="1091" t="s">
        <v>1231</v>
      </c>
      <c r="AH11" s="1091" t="s">
        <v>1232</v>
      </c>
      <c r="AI11" s="1091" t="s">
        <v>1233</v>
      </c>
      <c r="AJ11" s="1091" t="s">
        <v>1234</v>
      </c>
      <c r="AK11" s="1091" t="s">
        <v>1235</v>
      </c>
      <c r="AL11" s="1326" t="str">
        <f>AA11</f>
        <v>gibt es nicht mehr, VW-Budget</v>
      </c>
      <c r="AM11" s="1091" t="s">
        <v>1236</v>
      </c>
      <c r="AN11" s="1091" t="s">
        <v>1237</v>
      </c>
      <c r="AO11" s="1091" t="s">
        <v>1238</v>
      </c>
      <c r="AP11" s="1091" t="s">
        <v>1239</v>
      </c>
      <c r="AQ11" s="1091" t="s">
        <v>1240</v>
      </c>
      <c r="AR11" s="1091" t="s">
        <v>1241</v>
      </c>
      <c r="AS11" s="1091" t="s">
        <v>1242</v>
      </c>
      <c r="AT11" s="1091" t="s">
        <v>1243</v>
      </c>
      <c r="AU11" s="1091" t="s">
        <v>1244</v>
      </c>
      <c r="AV11" s="1091" t="s">
        <v>1245</v>
      </c>
      <c r="AW11" s="1091" t="s">
        <v>1246</v>
      </c>
      <c r="AY11" s="1091" t="s">
        <v>1247</v>
      </c>
      <c r="AZ11" s="1091" t="s">
        <v>1248</v>
      </c>
      <c r="BA11" s="1091" t="s">
        <v>1016</v>
      </c>
      <c r="BB11" s="1308" t="s">
        <v>1426</v>
      </c>
      <c r="BC11" s="1308" t="s">
        <v>1427</v>
      </c>
      <c r="BD11" s="1308" t="s">
        <v>1428</v>
      </c>
      <c r="BF11" s="1091" t="s">
        <v>1249</v>
      </c>
      <c r="BG11" s="1091" t="s">
        <v>1250</v>
      </c>
      <c r="BH11" s="1091" t="s">
        <v>1251</v>
      </c>
      <c r="BI11" s="1091" t="s">
        <v>1252</v>
      </c>
      <c r="BJ11" s="1091" t="s">
        <v>1253</v>
      </c>
      <c r="BK11" s="1091" t="s">
        <v>1254</v>
      </c>
      <c r="BL11" s="1091" t="s">
        <v>1255</v>
      </c>
      <c r="BM11" s="1091" t="s">
        <v>1256</v>
      </c>
      <c r="BN11" s="1091" t="s">
        <v>1257</v>
      </c>
      <c r="BO11" s="1091" t="s">
        <v>1258</v>
      </c>
      <c r="BP11" s="1091" t="s">
        <v>1259</v>
      </c>
      <c r="BQ11" s="1091" t="s">
        <v>1260</v>
      </c>
      <c r="BR11" s="1091" t="s">
        <v>1261</v>
      </c>
      <c r="BS11" s="1091" t="s">
        <v>1262</v>
      </c>
      <c r="BT11" s="1092" t="s">
        <v>1156</v>
      </c>
      <c r="BU11" s="1091" t="s">
        <v>1263</v>
      </c>
      <c r="BV11" s="1091" t="s">
        <v>1264</v>
      </c>
      <c r="BW11" s="1091" t="s">
        <v>1265</v>
      </c>
      <c r="BX11" s="1091" t="s">
        <v>1266</v>
      </c>
      <c r="BY11" s="1091" t="s">
        <v>1267</v>
      </c>
      <c r="BZ11" s="1091" t="s">
        <v>1268</v>
      </c>
      <c r="CA11" s="1091" t="s">
        <v>1269</v>
      </c>
      <c r="CB11" s="1308" t="s">
        <v>1415</v>
      </c>
      <c r="CC11" s="1308" t="s">
        <v>1416</v>
      </c>
      <c r="CD11" s="1308" t="s">
        <v>1417</v>
      </c>
      <c r="CE11" s="1308" t="s">
        <v>1418</v>
      </c>
      <c r="CF11" s="1308" t="s">
        <v>1419</v>
      </c>
      <c r="CG11" s="1308" t="s">
        <v>1420</v>
      </c>
      <c r="CH11" s="1308" t="s">
        <v>1421</v>
      </c>
      <c r="CI11" s="1308" t="s">
        <v>1422</v>
      </c>
      <c r="CJ11" s="1308" t="s">
        <v>1423</v>
      </c>
      <c r="CK11" s="1308" t="s">
        <v>1424</v>
      </c>
      <c r="CL11" s="1091" t="s">
        <v>1270</v>
      </c>
      <c r="CM11" s="1091" t="s">
        <v>1271</v>
      </c>
      <c r="CN11" s="1091" t="s">
        <v>1272</v>
      </c>
      <c r="CO11" s="1091" t="s">
        <v>1273</v>
      </c>
      <c r="CP11" s="1091" t="s">
        <v>1274</v>
      </c>
      <c r="CQ11" s="1091" t="s">
        <v>1275</v>
      </c>
      <c r="CR11" s="1091" t="s">
        <v>1016</v>
      </c>
      <c r="CS11" s="1091" t="s">
        <v>1276</v>
      </c>
      <c r="CV11" s="1321" t="s">
        <v>1431</v>
      </c>
      <c r="CW11" s="1321" t="s">
        <v>1431</v>
      </c>
      <c r="CX11" s="1321" t="s">
        <v>1431</v>
      </c>
      <c r="CY11" s="1091" t="s">
        <v>1277</v>
      </c>
      <c r="CZ11" s="1091" t="s">
        <v>1278</v>
      </c>
      <c r="DA11" s="1091" t="s">
        <v>1216</v>
      </c>
      <c r="DB11" s="1091" t="s">
        <v>1217</v>
      </c>
      <c r="DC11" s="1091" t="s">
        <v>1279</v>
      </c>
      <c r="DD11" s="1091" t="s">
        <v>1280</v>
      </c>
      <c r="DE11" s="1091" t="s">
        <v>1281</v>
      </c>
      <c r="DF11" s="1091" t="s">
        <v>1282</v>
      </c>
      <c r="DG11" s="1091" t="s">
        <v>1283</v>
      </c>
      <c r="DH11" s="1091" t="s">
        <v>1284</v>
      </c>
      <c r="DI11" s="1091" t="s">
        <v>1285</v>
      </c>
      <c r="DJ11" s="1091" t="s">
        <v>1286</v>
      </c>
      <c r="DK11" s="1091" t="s">
        <v>1287</v>
      </c>
      <c r="DL11" s="1091" t="s">
        <v>1288</v>
      </c>
      <c r="DM11" s="1091" t="s">
        <v>1289</v>
      </c>
      <c r="DN11" s="1091" t="s">
        <v>1016</v>
      </c>
      <c r="DO11" s="1091" t="s">
        <v>1016</v>
      </c>
      <c r="DP11" s="1091" t="s">
        <v>1295</v>
      </c>
      <c r="DQ11" s="1091" t="s">
        <v>1296</v>
      </c>
      <c r="DR11" s="1091" t="s">
        <v>1016</v>
      </c>
    </row>
    <row r="12" spans="1:384" x14ac:dyDescent="0.2">
      <c r="BA12" s="1056"/>
    </row>
    <row r="13" spans="1:384" x14ac:dyDescent="0.2">
      <c r="A13" t="s">
        <v>987</v>
      </c>
      <c r="B13" t="s">
        <v>988</v>
      </c>
      <c r="G13" s="1140" t="s">
        <v>1155</v>
      </c>
      <c r="H13" s="1141"/>
      <c r="I13" s="1141" t="s">
        <v>1187</v>
      </c>
      <c r="J13" s="1141"/>
      <c r="K13" s="1141"/>
      <c r="L13" s="1141"/>
      <c r="M13" s="1141"/>
      <c r="N13" s="1141"/>
      <c r="O13" s="1141"/>
      <c r="P13" s="1142" t="s">
        <v>1298</v>
      </c>
    </row>
    <row r="14" spans="1:384" x14ac:dyDescent="0.2">
      <c r="A14" t="s">
        <v>1017</v>
      </c>
      <c r="B14" t="s">
        <v>989</v>
      </c>
      <c r="G14" s="1143" t="s">
        <v>1300</v>
      </c>
      <c r="H14" s="1144"/>
      <c r="I14" s="1144" t="s">
        <v>1154</v>
      </c>
      <c r="J14" s="1144"/>
      <c r="K14" s="1144"/>
      <c r="L14" s="1144"/>
      <c r="M14" s="1144"/>
      <c r="N14" s="1144"/>
      <c r="O14" s="1144"/>
      <c r="P14" s="1145" t="s">
        <v>1299</v>
      </c>
    </row>
    <row r="15" spans="1:384" x14ac:dyDescent="0.2">
      <c r="A15" t="s">
        <v>1046</v>
      </c>
      <c r="B15" t="s">
        <v>1014</v>
      </c>
      <c r="G15" s="1143"/>
      <c r="H15" s="1144"/>
      <c r="I15" s="1144" t="s">
        <v>1188</v>
      </c>
      <c r="J15" s="1144"/>
      <c r="K15" s="1144"/>
      <c r="L15" s="1144"/>
      <c r="M15" s="1144"/>
      <c r="N15" s="1144"/>
      <c r="O15" s="1144"/>
      <c r="P15" s="1145" t="s">
        <v>1298</v>
      </c>
    </row>
    <row r="16" spans="1:384" x14ac:dyDescent="0.2">
      <c r="G16" s="1143"/>
      <c r="H16" s="1144"/>
      <c r="I16" s="1144" t="s">
        <v>1157</v>
      </c>
      <c r="J16" s="1144"/>
      <c r="K16" s="1144"/>
      <c r="L16" s="1144"/>
      <c r="M16" s="1144"/>
      <c r="N16" s="1144"/>
      <c r="O16" s="1144"/>
      <c r="P16" s="1145" t="s">
        <v>1298</v>
      </c>
    </row>
    <row r="17" spans="7:16" x14ac:dyDescent="0.2">
      <c r="G17" s="1143"/>
      <c r="H17" s="1144"/>
      <c r="I17" s="1144" t="s">
        <v>1161</v>
      </c>
      <c r="J17" s="1144"/>
      <c r="K17" s="1144"/>
      <c r="L17" s="1144"/>
      <c r="M17" s="1144"/>
      <c r="N17" s="1144"/>
      <c r="O17" s="1144"/>
      <c r="P17" s="1145" t="s">
        <v>1299</v>
      </c>
    </row>
    <row r="18" spans="7:16" x14ac:dyDescent="0.2">
      <c r="G18" s="1143"/>
      <c r="H18" s="1144"/>
      <c r="I18" s="1144" t="s">
        <v>1189</v>
      </c>
      <c r="J18" s="1144"/>
      <c r="K18" s="1144"/>
      <c r="L18" s="1144"/>
      <c r="M18" s="1144"/>
      <c r="N18" s="1144"/>
      <c r="O18" s="1144"/>
      <c r="P18" s="1145" t="s">
        <v>1298</v>
      </c>
    </row>
    <row r="19" spans="7:16" x14ac:dyDescent="0.2">
      <c r="G19" s="1143"/>
      <c r="H19" s="1144"/>
      <c r="I19" s="1144" t="s">
        <v>1190</v>
      </c>
      <c r="J19" s="1144"/>
      <c r="K19" s="1144"/>
      <c r="L19" s="1144"/>
      <c r="M19" s="1144"/>
      <c r="N19" s="1144"/>
      <c r="O19" s="1144"/>
      <c r="P19" s="1145" t="s">
        <v>1298</v>
      </c>
    </row>
    <row r="20" spans="7:16" x14ac:dyDescent="0.2">
      <c r="G20" s="1143"/>
      <c r="H20" s="1144"/>
      <c r="I20" s="1144" t="s">
        <v>1191</v>
      </c>
      <c r="J20" s="1144"/>
      <c r="K20" s="1144"/>
      <c r="L20" s="1144"/>
      <c r="M20" s="1144"/>
      <c r="N20" s="1144"/>
      <c r="O20" s="1144"/>
      <c r="P20" s="1145" t="s">
        <v>1298</v>
      </c>
    </row>
    <row r="21" spans="7:16" x14ac:dyDescent="0.2">
      <c r="G21" s="1146"/>
      <c r="H21" s="1147"/>
      <c r="I21" s="1147" t="s">
        <v>1162</v>
      </c>
      <c r="J21" s="1147"/>
      <c r="K21" s="1147"/>
      <c r="L21" s="1147"/>
      <c r="M21" s="1147"/>
      <c r="N21" s="1147"/>
      <c r="O21" s="1147"/>
      <c r="P21" s="1148" t="s">
        <v>1298</v>
      </c>
    </row>
  </sheetData>
  <sheetProtection algorithmName="SHA-512" hashValue="djdAj4jHs3Glg5B4VbOMn1UgGAKOStR4QlUx7kU/xl7dOVk4SvDOQjt1UIf/pz+cIPNh0DIxtgGAcjDzaj36GQ==" saltValue="OdjcnRVoH3i3agTQJa3M7Q==" spinCount="100000" sheet="1" selectLockedCells="1"/>
  <mergeCells count="1">
    <mergeCell ref="AA11:AB11"/>
  </mergeCells>
  <phoneticPr fontId="71" type="noConversion"/>
  <pageMargins left="0.7" right="0.7" top="0.78740157499999996" bottom="0.78740157499999996" header="0.3" footer="0.3"/>
  <pageSetup paperSize="9" orientation="portrait"/>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9"/>
  <dimension ref="A1:R127"/>
  <sheetViews>
    <sheetView topLeftCell="A102" workbookViewId="0">
      <selection activeCell="A124" sqref="A124"/>
    </sheetView>
  </sheetViews>
  <sheetFormatPr baseColWidth="10" defaultColWidth="11.25" defaultRowHeight="12.75" x14ac:dyDescent="0.2"/>
  <cols>
    <col min="1" max="1" width="16.875" style="611" customWidth="1"/>
    <col min="2" max="2" width="13.625" style="611" customWidth="1"/>
    <col min="3" max="3" width="14" style="611" customWidth="1"/>
    <col min="4" max="4" width="11.25" style="611"/>
    <col min="5" max="5" width="19.125" style="611" customWidth="1"/>
    <col min="6" max="10" width="11.25" style="611"/>
    <col min="11" max="11" width="12.75" style="611" customWidth="1"/>
    <col min="12" max="12" width="11.75" style="611" customWidth="1"/>
    <col min="13" max="14" width="11.25" style="611"/>
    <col min="15" max="16" width="17.375" style="611" customWidth="1"/>
    <col min="17" max="17" width="15.25" style="611" customWidth="1"/>
    <col min="18" max="16384" width="11.25" style="611"/>
  </cols>
  <sheetData>
    <row r="1" spans="1:12" s="127" customFormat="1" x14ac:dyDescent="0.2">
      <c r="A1" s="100" t="s">
        <v>108</v>
      </c>
      <c r="B1" s="176" t="s">
        <v>109</v>
      </c>
      <c r="C1" s="176" t="s">
        <v>66</v>
      </c>
      <c r="D1" s="176" t="s">
        <v>110</v>
      </c>
      <c r="E1" s="654" t="s">
        <v>111</v>
      </c>
      <c r="F1" s="176" t="s">
        <v>112</v>
      </c>
      <c r="G1" s="176" t="s">
        <v>411</v>
      </c>
      <c r="H1" s="655" t="s">
        <v>1192</v>
      </c>
      <c r="J1" s="864" t="s">
        <v>115</v>
      </c>
    </row>
    <row r="2" spans="1:12" x14ac:dyDescent="0.2">
      <c r="A2" s="656" t="s">
        <v>113</v>
      </c>
      <c r="B2" s="1084" t="s">
        <v>114</v>
      </c>
      <c r="C2" s="1083">
        <v>30.42</v>
      </c>
      <c r="D2" s="1083">
        <v>365</v>
      </c>
      <c r="E2" s="1085">
        <v>1</v>
      </c>
      <c r="F2" s="1083" t="s">
        <v>115</v>
      </c>
      <c r="G2" s="1083" t="s">
        <v>271</v>
      </c>
      <c r="H2" s="1086" t="s">
        <v>19</v>
      </c>
      <c r="J2" s="865"/>
      <c r="K2" s="614"/>
    </row>
    <row r="3" spans="1:12" x14ac:dyDescent="0.2">
      <c r="A3" s="735" t="s">
        <v>422</v>
      </c>
      <c r="B3" s="1083"/>
      <c r="C3" s="1083"/>
      <c r="D3" s="1083"/>
      <c r="E3" s="1085">
        <v>0.99</v>
      </c>
      <c r="F3" s="1083" t="s">
        <v>117</v>
      </c>
      <c r="G3" s="1083" t="s">
        <v>269</v>
      </c>
      <c r="H3" s="1086" t="s">
        <v>1193</v>
      </c>
      <c r="K3" s="615"/>
    </row>
    <row r="4" spans="1:12" x14ac:dyDescent="0.2">
      <c r="A4" s="656" t="s">
        <v>28</v>
      </c>
      <c r="C4" s="1083"/>
      <c r="D4" s="1083"/>
      <c r="E4" s="1085">
        <v>0.98</v>
      </c>
      <c r="F4" s="1083"/>
      <c r="G4" s="1083" t="s">
        <v>270</v>
      </c>
      <c r="H4" s="1086" t="s">
        <v>20</v>
      </c>
      <c r="J4" s="876" t="s">
        <v>526</v>
      </c>
    </row>
    <row r="5" spans="1:12" x14ac:dyDescent="0.2">
      <c r="A5" s="656" t="s">
        <v>116</v>
      </c>
      <c r="C5" s="1083"/>
      <c r="D5" s="1083"/>
      <c r="E5" s="1085">
        <v>0.97</v>
      </c>
      <c r="G5" s="1083" t="s">
        <v>410</v>
      </c>
      <c r="H5" s="619"/>
      <c r="J5" s="653">
        <v>1</v>
      </c>
      <c r="K5" s="910" t="s">
        <v>541</v>
      </c>
      <c r="L5" s="248"/>
    </row>
    <row r="6" spans="1:12" x14ac:dyDescent="0.2">
      <c r="A6" s="618"/>
      <c r="E6" s="1085">
        <v>0.96</v>
      </c>
      <c r="H6" s="619"/>
      <c r="J6" s="653">
        <v>2</v>
      </c>
      <c r="K6" s="910" t="s">
        <v>539</v>
      </c>
    </row>
    <row r="7" spans="1:12" x14ac:dyDescent="0.2">
      <c r="A7" s="656" t="s">
        <v>346</v>
      </c>
      <c r="H7" s="619"/>
      <c r="J7" s="653">
        <v>3</v>
      </c>
      <c r="K7" s="910" t="s">
        <v>540</v>
      </c>
    </row>
    <row r="8" spans="1:12" ht="13.5" thickBot="1" x14ac:dyDescent="0.25">
      <c r="A8" s="736" t="s">
        <v>347</v>
      </c>
      <c r="B8" s="623"/>
      <c r="C8" s="623"/>
      <c r="D8" s="623"/>
      <c r="E8" s="623"/>
      <c r="F8" s="623"/>
      <c r="G8" s="623"/>
      <c r="H8" s="624"/>
      <c r="J8" s="877">
        <f>IF('B_PH_Allgemeine Angaben'!L48=0,3,IF(AND('B_PH_Allgemeine Angaben'!L48&gt;0,'B_PH_Allgemeine Angaben'!L6&lt;&gt;'B_PH_Allgemeine Angaben'!L7),2,IF(AND('B_PH_Allgemeine Angaben'!L48&gt;0,'B_PH_Allgemeine Angaben'!L7='B_PH_Allgemeine Angaben'!L6),1)))</f>
        <v>3</v>
      </c>
      <c r="K8" s="878" t="s">
        <v>527</v>
      </c>
    </row>
    <row r="9" spans="1:12" ht="13.5" thickTop="1" x14ac:dyDescent="0.2"/>
    <row r="11" spans="1:12" x14ac:dyDescent="0.2">
      <c r="A11" s="100" t="s">
        <v>460</v>
      </c>
      <c r="B11" s="616"/>
      <c r="C11" s="616"/>
      <c r="D11" s="616"/>
      <c r="E11" s="616"/>
      <c r="F11" s="617"/>
    </row>
    <row r="12" spans="1:12" x14ac:dyDescent="0.2">
      <c r="A12" s="408"/>
      <c r="F12" s="619"/>
    </row>
    <row r="13" spans="1:12" x14ac:dyDescent="0.2">
      <c r="A13" s="408" t="s">
        <v>461</v>
      </c>
      <c r="F13" s="619"/>
    </row>
    <row r="14" spans="1:12" ht="13.5" thickBot="1" x14ac:dyDescent="0.25">
      <c r="A14" s="665" t="s">
        <v>218</v>
      </c>
      <c r="B14" s="666" t="s">
        <v>219</v>
      </c>
      <c r="C14" s="666" t="s">
        <v>220</v>
      </c>
      <c r="D14" s="680" t="s">
        <v>221</v>
      </c>
      <c r="F14" s="619"/>
    </row>
    <row r="15" spans="1:12" ht="13.5" thickBot="1" x14ac:dyDescent="0.25">
      <c r="A15" s="648">
        <v>1</v>
      </c>
      <c r="B15" s="648">
        <v>40</v>
      </c>
      <c r="C15" s="678">
        <v>0.75</v>
      </c>
      <c r="D15" s="621">
        <f>IF('B_PH_Allgemeine Angaben'!L47&lt;A16,C15,IF('B_PH_Allgemeine Angaben'!L47&lt;A17,C16,IF('B_PH_Allgemeine Angaben'!L47&lt;A18,C17,C18)))</f>
        <v>0.75</v>
      </c>
      <c r="F15" s="619"/>
      <c r="J15" s="237"/>
    </row>
    <row r="16" spans="1:12" x14ac:dyDescent="0.2">
      <c r="A16" s="648">
        <v>41</v>
      </c>
      <c r="B16" s="648">
        <v>80</v>
      </c>
      <c r="C16" s="679">
        <v>1</v>
      </c>
      <c r="F16" s="619"/>
    </row>
    <row r="17" spans="1:18" x14ac:dyDescent="0.2">
      <c r="A17" s="648">
        <v>81</v>
      </c>
      <c r="B17" s="648">
        <v>150</v>
      </c>
      <c r="C17" s="679">
        <v>1.25</v>
      </c>
      <c r="F17" s="619"/>
    </row>
    <row r="18" spans="1:18" x14ac:dyDescent="0.2">
      <c r="A18" s="648">
        <v>151</v>
      </c>
      <c r="B18" s="648" t="s">
        <v>222</v>
      </c>
      <c r="C18" s="679">
        <v>2</v>
      </c>
      <c r="F18" s="619"/>
    </row>
    <row r="19" spans="1:18" ht="13.5" thickBot="1" x14ac:dyDescent="0.25">
      <c r="A19" s="618"/>
      <c r="F19" s="619"/>
    </row>
    <row r="20" spans="1:18" ht="13.5" thickBot="1" x14ac:dyDescent="0.25">
      <c r="A20" s="780" t="s">
        <v>423</v>
      </c>
      <c r="B20" s="620"/>
      <c r="C20" s="620"/>
      <c r="D20" s="621">
        <v>0.5</v>
      </c>
      <c r="F20" s="619"/>
    </row>
    <row r="21" spans="1:18" ht="13.5" thickBot="1" x14ac:dyDescent="0.25">
      <c r="A21" s="780" t="s">
        <v>424</v>
      </c>
      <c r="B21" s="620"/>
      <c r="C21" s="620"/>
      <c r="D21" s="621">
        <v>0.25</v>
      </c>
      <c r="F21" s="619"/>
    </row>
    <row r="22" spans="1:18" x14ac:dyDescent="0.2">
      <c r="A22" s="622"/>
      <c r="B22" s="623"/>
      <c r="C22" s="623"/>
      <c r="D22" s="623"/>
      <c r="E22" s="623"/>
      <c r="F22" s="624"/>
    </row>
    <row r="24" spans="1:18" ht="13.5" thickBot="1" x14ac:dyDescent="0.25">
      <c r="A24" s="100" t="s">
        <v>463</v>
      </c>
      <c r="B24" s="616"/>
      <c r="C24" s="616"/>
      <c r="D24" s="616"/>
      <c r="E24" s="616"/>
      <c r="F24" s="617"/>
    </row>
    <row r="25" spans="1:18" ht="13.5" thickBot="1" x14ac:dyDescent="0.25">
      <c r="A25" s="786" t="s">
        <v>271</v>
      </c>
      <c r="B25" s="784">
        <v>0.75</v>
      </c>
      <c r="E25" s="789" t="s">
        <v>464</v>
      </c>
      <c r="F25" s="619"/>
    </row>
    <row r="26" spans="1:18" ht="13.5" thickBot="1" x14ac:dyDescent="0.25">
      <c r="A26" s="787" t="s">
        <v>462</v>
      </c>
      <c r="B26" s="785">
        <v>0.7</v>
      </c>
      <c r="E26" s="788" t="e">
        <f>(B_PH_Kalkulation!J25+B_PH_Kalkulation!J26)/(KAT!F40+KAT!H40)</f>
        <v>#DIV/0!</v>
      </c>
      <c r="F26" s="619"/>
    </row>
    <row r="27" spans="1:18" x14ac:dyDescent="0.2">
      <c r="A27" s="622"/>
      <c r="B27" s="623"/>
      <c r="C27" s="623"/>
      <c r="D27" s="623"/>
      <c r="E27" s="623"/>
      <c r="F27" s="624"/>
    </row>
    <row r="31" spans="1:18" ht="13.5" thickBot="1" x14ac:dyDescent="0.25"/>
    <row r="32" spans="1:18" ht="13.9" customHeight="1" x14ac:dyDescent="0.2">
      <c r="A32" s="1369" t="s">
        <v>380</v>
      </c>
      <c r="B32" s="1370"/>
      <c r="C32" s="1370"/>
      <c r="D32" s="1370"/>
      <c r="E32" s="1370"/>
      <c r="F32" s="1370"/>
      <c r="G32" s="1370"/>
      <c r="H32" s="1370"/>
      <c r="I32" s="1370"/>
      <c r="J32" s="1370"/>
      <c r="K32" s="1371"/>
      <c r="L32" s="1390" t="s">
        <v>381</v>
      </c>
      <c r="M32" s="1390"/>
      <c r="N32" s="1384" t="s">
        <v>1177</v>
      </c>
      <c r="O32" s="1385"/>
      <c r="P32" s="1385"/>
      <c r="Q32" s="1385" t="s">
        <v>1183</v>
      </c>
      <c r="R32" s="1388"/>
    </row>
    <row r="33" spans="1:18" ht="63.75" x14ac:dyDescent="0.2">
      <c r="A33" s="626"/>
      <c r="B33" s="627" t="s">
        <v>382</v>
      </c>
      <c r="C33" s="628" t="s">
        <v>377</v>
      </c>
      <c r="D33" s="629" t="s">
        <v>383</v>
      </c>
      <c r="E33" s="628" t="s">
        <v>378</v>
      </c>
      <c r="F33" s="629" t="s">
        <v>384</v>
      </c>
      <c r="G33" s="628" t="s">
        <v>379</v>
      </c>
      <c r="H33" s="629" t="s">
        <v>385</v>
      </c>
      <c r="I33" s="1392" t="s">
        <v>386</v>
      </c>
      <c r="J33" s="1394" t="s">
        <v>387</v>
      </c>
      <c r="K33" s="1395"/>
      <c r="L33" s="1391"/>
      <c r="M33" s="1391"/>
      <c r="N33" s="1386"/>
      <c r="O33" s="1387"/>
      <c r="P33" s="1387"/>
      <c r="Q33" s="1387"/>
      <c r="R33" s="1389"/>
    </row>
    <row r="34" spans="1:18" ht="39" thickBot="1" x14ac:dyDescent="0.25">
      <c r="A34" s="630"/>
      <c r="D34" s="631"/>
      <c r="E34" s="620"/>
      <c r="F34" s="620"/>
      <c r="G34" s="620"/>
      <c r="H34" s="632"/>
      <c r="I34" s="1393"/>
      <c r="J34" s="584" t="s">
        <v>416</v>
      </c>
      <c r="K34" s="633" t="s">
        <v>388</v>
      </c>
      <c r="L34" s="634" t="s">
        <v>389</v>
      </c>
      <c r="M34" s="1067" t="s">
        <v>390</v>
      </c>
      <c r="N34" s="1068" t="s">
        <v>1178</v>
      </c>
      <c r="O34" s="1069" t="s">
        <v>1178</v>
      </c>
      <c r="P34" s="1069" t="s">
        <v>1179</v>
      </c>
      <c r="Q34" s="1069" t="s">
        <v>1180</v>
      </c>
      <c r="R34" s="1070" t="s">
        <v>1181</v>
      </c>
    </row>
    <row r="35" spans="1:18" x14ac:dyDescent="0.2">
      <c r="A35" s="635" t="s">
        <v>50</v>
      </c>
      <c r="B35" s="636">
        <f>B_PH_Kalkulation!H15</f>
        <v>0</v>
      </c>
      <c r="C35" s="637">
        <v>7.6999999999999999E-2</v>
      </c>
      <c r="D35" s="657">
        <f>C35*B35</f>
        <v>0</v>
      </c>
      <c r="E35" s="638">
        <v>5.6399999999999999E-2</v>
      </c>
      <c r="F35" s="657">
        <f>E35*B35</f>
        <v>0</v>
      </c>
      <c r="G35" s="638">
        <v>8.72E-2</v>
      </c>
      <c r="H35" s="657">
        <f>G35*B35</f>
        <v>0</v>
      </c>
      <c r="I35" s="639">
        <f>H35+F35+D35</f>
        <v>0</v>
      </c>
      <c r="J35" s="585" t="e">
        <f>I35/I$40*J$40</f>
        <v>#DIV/0!</v>
      </c>
      <c r="K35" s="640">
        <f>IFERROR(J35/$J$40,0)</f>
        <v>0</v>
      </c>
      <c r="L35" s="641">
        <f>G35+E35+C35</f>
        <v>0.22060000000000002</v>
      </c>
      <c r="M35" s="1066">
        <f>ROUND(L35/L36,4)</f>
        <v>0.75700000000000001</v>
      </c>
      <c r="N35" s="1071">
        <f>$N$40*$R35</f>
        <v>0</v>
      </c>
      <c r="O35" s="1072">
        <f>$O$40*$R35</f>
        <v>0</v>
      </c>
      <c r="P35" s="1072">
        <f>$P$40*$R35</f>
        <v>0</v>
      </c>
      <c r="Q35" s="1072">
        <f>IFERROR(I35*$Q$40/$I$40,0)</f>
        <v>0</v>
      </c>
      <c r="R35" s="1073">
        <f>IFERROR(Q35/$Q$40,0)</f>
        <v>0</v>
      </c>
    </row>
    <row r="36" spans="1:18" x14ac:dyDescent="0.2">
      <c r="A36" s="635" t="s">
        <v>51</v>
      </c>
      <c r="B36" s="636">
        <f>B_PH_Kalkulation!I15</f>
        <v>0</v>
      </c>
      <c r="C36" s="637">
        <v>0.1037</v>
      </c>
      <c r="D36" s="657">
        <f>C36*B36</f>
        <v>0</v>
      </c>
      <c r="E36" s="637">
        <v>6.7500000000000004E-2</v>
      </c>
      <c r="F36" s="657">
        <f>E36*B36</f>
        <v>0</v>
      </c>
      <c r="G36" s="637">
        <v>0.1202</v>
      </c>
      <c r="H36" s="657">
        <f>G36*B36</f>
        <v>0</v>
      </c>
      <c r="I36" s="642">
        <f>H36+F36+D36</f>
        <v>0</v>
      </c>
      <c r="J36" s="585" t="e">
        <f t="shared" ref="J36:J39" si="0">I36/I$40*J$40</f>
        <v>#DIV/0!</v>
      </c>
      <c r="K36" s="640">
        <f t="shared" ref="K36:K39" si="1">IFERROR(J36/$J$40,0)</f>
        <v>0</v>
      </c>
      <c r="L36" s="641">
        <f>G36+E36+C36</f>
        <v>0.29139999999999999</v>
      </c>
      <c r="N36" s="1071">
        <f t="shared" ref="N36:N39" si="2">$N$40*$R36</f>
        <v>0</v>
      </c>
      <c r="O36" s="1072">
        <f t="shared" ref="O36:O39" si="3">$O$40*$R36</f>
        <v>0</v>
      </c>
      <c r="P36" s="1072">
        <f t="shared" ref="P36:P39" si="4">$P$40*$R36</f>
        <v>0</v>
      </c>
      <c r="Q36" s="1072">
        <f t="shared" ref="Q36:Q39" si="5">IFERROR(I36*$Q$40/$I$40,0)</f>
        <v>0</v>
      </c>
      <c r="R36" s="1073">
        <f t="shared" ref="R36:R39" si="6">IFERROR(Q36/$Q$40,0)</f>
        <v>0</v>
      </c>
    </row>
    <row r="37" spans="1:18" x14ac:dyDescent="0.2">
      <c r="A37" s="635" t="s">
        <v>52</v>
      </c>
      <c r="B37" s="636">
        <f>B_PH_Kalkulation!J15</f>
        <v>0</v>
      </c>
      <c r="C37" s="637">
        <v>0.15509999999999999</v>
      </c>
      <c r="D37" s="657">
        <f>C37*B37</f>
        <v>0</v>
      </c>
      <c r="E37" s="637">
        <v>0.1074</v>
      </c>
      <c r="F37" s="657">
        <f>E37*B37</f>
        <v>0</v>
      </c>
      <c r="G37" s="806">
        <v>0.1449</v>
      </c>
      <c r="H37" s="657">
        <f>G37*B37</f>
        <v>0</v>
      </c>
      <c r="I37" s="642">
        <f>H37+F37+D37</f>
        <v>0</v>
      </c>
      <c r="J37" s="585" t="e">
        <f t="shared" si="0"/>
        <v>#DIV/0!</v>
      </c>
      <c r="K37" s="640">
        <f t="shared" si="1"/>
        <v>0</v>
      </c>
      <c r="N37" s="1071">
        <f t="shared" si="2"/>
        <v>0</v>
      </c>
      <c r="O37" s="1072">
        <f t="shared" si="3"/>
        <v>0</v>
      </c>
      <c r="P37" s="1072">
        <f t="shared" si="4"/>
        <v>0</v>
      </c>
      <c r="Q37" s="1072">
        <f t="shared" si="5"/>
        <v>0</v>
      </c>
      <c r="R37" s="1073">
        <f t="shared" si="6"/>
        <v>0</v>
      </c>
    </row>
    <row r="38" spans="1:18" x14ac:dyDescent="0.2">
      <c r="A38" s="635" t="s">
        <v>53</v>
      </c>
      <c r="B38" s="636">
        <f>B_PH_Kalkulation!K15</f>
        <v>0</v>
      </c>
      <c r="C38" s="637">
        <v>0.24629999999999999</v>
      </c>
      <c r="D38" s="657">
        <f>C38*B38</f>
        <v>0</v>
      </c>
      <c r="E38" s="637">
        <v>0.14130000000000001</v>
      </c>
      <c r="F38" s="657">
        <f>E38*B38</f>
        <v>0</v>
      </c>
      <c r="G38" s="637">
        <v>0.16270000000000001</v>
      </c>
      <c r="H38" s="657">
        <f>G38*B38</f>
        <v>0</v>
      </c>
      <c r="I38" s="642">
        <f>H38+F38+D38</f>
        <v>0</v>
      </c>
      <c r="J38" s="585" t="e">
        <f t="shared" si="0"/>
        <v>#DIV/0!</v>
      </c>
      <c r="K38" s="640">
        <f t="shared" si="1"/>
        <v>0</v>
      </c>
      <c r="N38" s="1071">
        <f t="shared" si="2"/>
        <v>0</v>
      </c>
      <c r="O38" s="1072">
        <f t="shared" si="3"/>
        <v>0</v>
      </c>
      <c r="P38" s="1072">
        <f t="shared" si="4"/>
        <v>0</v>
      </c>
      <c r="Q38" s="1072">
        <f t="shared" si="5"/>
        <v>0</v>
      </c>
      <c r="R38" s="1073">
        <f t="shared" si="6"/>
        <v>0</v>
      </c>
    </row>
    <row r="39" spans="1:18" x14ac:dyDescent="0.2">
      <c r="A39" s="643" t="s">
        <v>54</v>
      </c>
      <c r="B39" s="644">
        <f>B_PH_Kalkulation!L15</f>
        <v>0</v>
      </c>
      <c r="C39" s="645">
        <v>0.38419999999999999</v>
      </c>
      <c r="D39" s="657">
        <f>C39*B39</f>
        <v>0</v>
      </c>
      <c r="E39" s="645">
        <v>0.11020000000000001</v>
      </c>
      <c r="F39" s="657">
        <f>E39*B39</f>
        <v>0</v>
      </c>
      <c r="G39" s="645">
        <v>0.17580000000000001</v>
      </c>
      <c r="H39" s="657">
        <f>G39*B39</f>
        <v>0</v>
      </c>
      <c r="I39" s="642">
        <f>H39+F39+D39</f>
        <v>0</v>
      </c>
      <c r="J39" s="585" t="e">
        <f t="shared" si="0"/>
        <v>#DIV/0!</v>
      </c>
      <c r="K39" s="640">
        <f t="shared" si="1"/>
        <v>0</v>
      </c>
      <c r="N39" s="1071">
        <f t="shared" si="2"/>
        <v>0</v>
      </c>
      <c r="O39" s="1072">
        <f t="shared" si="3"/>
        <v>0</v>
      </c>
      <c r="P39" s="1072">
        <f t="shared" si="4"/>
        <v>0</v>
      </c>
      <c r="Q39" s="1072">
        <f t="shared" si="5"/>
        <v>0</v>
      </c>
      <c r="R39" s="1073">
        <f t="shared" si="6"/>
        <v>0</v>
      </c>
    </row>
    <row r="40" spans="1:18" ht="13.5" thickBot="1" x14ac:dyDescent="0.25">
      <c r="A40" s="658" t="s">
        <v>224</v>
      </c>
      <c r="B40" s="659">
        <f>SUM(B35:B39)</f>
        <v>0</v>
      </c>
      <c r="C40" s="660"/>
      <c r="D40" s="661">
        <f>ROUND(SUM(D35:D39),4)</f>
        <v>0</v>
      </c>
      <c r="E40" s="660"/>
      <c r="F40" s="661">
        <f>ROUND(SUM(F35:F39),4)</f>
        <v>0</v>
      </c>
      <c r="G40" s="660"/>
      <c r="H40" s="661">
        <f>ROUND(SUM(H35:H39),4)</f>
        <v>0</v>
      </c>
      <c r="I40" s="662">
        <f>SUM(I35:I39)</f>
        <v>0</v>
      </c>
      <c r="J40" s="663">
        <f>SUM(B_PH_Kalkulation!J24:J26)</f>
        <v>0</v>
      </c>
      <c r="K40" s="664"/>
      <c r="L40" s="625"/>
      <c r="M40" s="625"/>
      <c r="N40" s="1074">
        <f>D40</f>
        <v>0</v>
      </c>
      <c r="O40" s="1075">
        <f>F40</f>
        <v>0</v>
      </c>
      <c r="P40" s="1075">
        <f>H40</f>
        <v>0</v>
      </c>
      <c r="Q40" s="1075">
        <f>SUM(N40:P40)</f>
        <v>0</v>
      </c>
      <c r="R40" s="1073">
        <f>SUM(R35:R39)</f>
        <v>0</v>
      </c>
    </row>
    <row r="41" spans="1:18" ht="13.5" thickBot="1" x14ac:dyDescent="0.25">
      <c r="N41" s="1076" t="str">
        <f>IFERROR(ROUND(N40/D40,4),"")</f>
        <v/>
      </c>
      <c r="O41" s="1077" t="str">
        <f>IFERROR(ROUND(O40/F40,4),"")</f>
        <v/>
      </c>
      <c r="P41" s="1077" t="str">
        <f>IFERROR(ROUND(P40/H40,4),"")</f>
        <v/>
      </c>
      <c r="Q41" s="1078" t="s">
        <v>1182</v>
      </c>
      <c r="R41" s="1079"/>
    </row>
    <row r="42" spans="1:18" x14ac:dyDescent="0.2">
      <c r="A42" s="100" t="s">
        <v>397</v>
      </c>
      <c r="B42" s="616"/>
      <c r="C42" s="616"/>
      <c r="D42" s="616"/>
      <c r="E42" s="617"/>
    </row>
    <row r="43" spans="1:18" x14ac:dyDescent="0.2">
      <c r="A43" s="618"/>
      <c r="E43" s="619"/>
    </row>
    <row r="44" spans="1:18" x14ac:dyDescent="0.2">
      <c r="A44" s="665" t="s">
        <v>398</v>
      </c>
      <c r="B44" s="666"/>
      <c r="C44" s="666"/>
      <c r="D44" s="667"/>
      <c r="E44" s="619"/>
    </row>
    <row r="45" spans="1:18" x14ac:dyDescent="0.2">
      <c r="A45" s="676" t="s">
        <v>218</v>
      </c>
      <c r="B45" s="676" t="s">
        <v>219</v>
      </c>
      <c r="C45" s="676" t="s">
        <v>220</v>
      </c>
      <c r="D45" s="677" t="s">
        <v>399</v>
      </c>
      <c r="E45" s="619"/>
    </row>
    <row r="46" spans="1:18" x14ac:dyDescent="0.2">
      <c r="A46" s="668">
        <v>1</v>
      </c>
      <c r="B46" s="669">
        <v>40</v>
      </c>
      <c r="C46" s="670">
        <v>0.75</v>
      </c>
      <c r="D46" s="646">
        <f>IF('B_PH_Allgemeine Angaben'!L47&lt;A47,C46,IF('B_PH_Allgemeine Angaben'!L47&lt;A48,C47,IF('B_PH_Allgemeine Angaben'!L47&lt;A49,C48,C49)))</f>
        <v>0.75</v>
      </c>
      <c r="E46" s="619"/>
    </row>
    <row r="47" spans="1:18" x14ac:dyDescent="0.2">
      <c r="A47" s="668">
        <v>41</v>
      </c>
      <c r="B47" s="671">
        <v>80</v>
      </c>
      <c r="C47" s="672">
        <v>1</v>
      </c>
      <c r="D47" s="619"/>
      <c r="E47" s="619"/>
    </row>
    <row r="48" spans="1:18" x14ac:dyDescent="0.2">
      <c r="A48" s="668">
        <v>81</v>
      </c>
      <c r="B48" s="671">
        <v>150</v>
      </c>
      <c r="C48" s="672">
        <v>1.5</v>
      </c>
      <c r="D48" s="619"/>
      <c r="E48" s="619"/>
    </row>
    <row r="49" spans="1:15" x14ac:dyDescent="0.2">
      <c r="A49" s="673">
        <v>151</v>
      </c>
      <c r="B49" s="674"/>
      <c r="C49" s="675">
        <v>2</v>
      </c>
      <c r="D49" s="624"/>
      <c r="E49" s="619"/>
    </row>
    <row r="50" spans="1:15" x14ac:dyDescent="0.2">
      <c r="A50" s="618"/>
      <c r="E50" s="619"/>
    </row>
    <row r="51" spans="1:15" x14ac:dyDescent="0.2">
      <c r="A51" s="737" t="s">
        <v>412</v>
      </c>
      <c r="B51" s="738"/>
      <c r="C51" s="738"/>
      <c r="D51" s="738"/>
      <c r="E51" s="739"/>
    </row>
    <row r="52" spans="1:15" x14ac:dyDescent="0.2">
      <c r="A52" s="737"/>
      <c r="B52" s="740"/>
      <c r="C52" s="738"/>
      <c r="D52" s="738"/>
      <c r="E52" s="739"/>
    </row>
    <row r="53" spans="1:15" x14ac:dyDescent="0.2">
      <c r="A53" s="737" t="s">
        <v>413</v>
      </c>
      <c r="B53" s="738"/>
      <c r="C53" s="738"/>
      <c r="D53" s="741">
        <v>7.0000000000000007E-2</v>
      </c>
      <c r="E53" s="739"/>
    </row>
    <row r="54" spans="1:15" x14ac:dyDescent="0.2">
      <c r="A54" s="742" t="s">
        <v>414</v>
      </c>
      <c r="B54" s="743"/>
      <c r="C54" s="743"/>
      <c r="D54" s="1151">
        <v>98662</v>
      </c>
      <c r="E54" s="1267" t="s">
        <v>1331</v>
      </c>
    </row>
    <row r="56" spans="1:15" s="1218" customFormat="1" x14ac:dyDescent="0.2">
      <c r="A56" s="1256" t="s">
        <v>240</v>
      </c>
      <c r="B56" s="1257"/>
      <c r="C56" s="1257"/>
      <c r="D56" s="1257"/>
      <c r="E56" s="1257"/>
      <c r="F56" s="1257"/>
      <c r="G56" s="1215"/>
      <c r="H56" s="1215"/>
      <c r="I56" s="1215"/>
      <c r="J56" s="1215"/>
      <c r="K56" s="1215"/>
      <c r="L56" s="1215"/>
      <c r="M56" s="1215"/>
      <c r="N56" s="1215"/>
      <c r="O56" s="1216"/>
    </row>
    <row r="57" spans="1:15" s="1218" customFormat="1" ht="25.5" x14ac:dyDescent="0.2">
      <c r="A57" s="1258" t="s">
        <v>228</v>
      </c>
      <c r="B57" s="1380" t="s">
        <v>349</v>
      </c>
      <c r="C57" s="1381"/>
      <c r="D57" s="1259" t="s">
        <v>228</v>
      </c>
      <c r="E57" s="1382" t="s">
        <v>348</v>
      </c>
      <c r="F57" s="1383"/>
      <c r="G57" s="1228" t="s">
        <v>330</v>
      </c>
      <c r="O57" s="1220"/>
    </row>
    <row r="58" spans="1:15" s="1218" customFormat="1" ht="14.25" customHeight="1" x14ac:dyDescent="0.2">
      <c r="A58" s="1258"/>
      <c r="B58" s="1260" t="s">
        <v>242</v>
      </c>
      <c r="C58" s="1260"/>
      <c r="D58" s="1259"/>
      <c r="E58" s="1260" t="s">
        <v>242</v>
      </c>
      <c r="F58" s="1260"/>
      <c r="G58" s="1228" t="s">
        <v>332</v>
      </c>
      <c r="O58" s="1220"/>
    </row>
    <row r="59" spans="1:15" s="1218" customFormat="1" x14ac:dyDescent="0.2">
      <c r="A59" s="1261" t="s">
        <v>477</v>
      </c>
      <c r="B59" s="1262">
        <v>8.5000000000000006E-2</v>
      </c>
      <c r="C59" s="1262"/>
      <c r="D59" s="1263" t="s">
        <v>306</v>
      </c>
      <c r="E59" s="1264">
        <v>5.1499999999999997E-2</v>
      </c>
      <c r="F59" s="1265"/>
      <c r="G59" s="1228" t="s">
        <v>331</v>
      </c>
      <c r="O59" s="1220"/>
    </row>
    <row r="60" spans="1:15" s="1218" customFormat="1" ht="25.5" x14ac:dyDescent="0.2">
      <c r="A60" s="1266" t="s">
        <v>241</v>
      </c>
      <c r="B60" s="1262">
        <v>4.1500000000000002E-2</v>
      </c>
      <c r="C60" s="1262"/>
      <c r="D60" s="1263" t="s">
        <v>307</v>
      </c>
      <c r="E60" s="1264">
        <v>5.1499999999999997E-2</v>
      </c>
      <c r="F60" s="1265"/>
      <c r="G60" s="1218" t="s">
        <v>359</v>
      </c>
      <c r="O60" s="1220"/>
    </row>
    <row r="61" spans="1:15" s="1218" customFormat="1" x14ac:dyDescent="0.2">
      <c r="A61" s="1263" t="s">
        <v>313</v>
      </c>
      <c r="B61" s="1264">
        <v>0.02</v>
      </c>
      <c r="C61" s="1265"/>
      <c r="D61" s="1263" t="s">
        <v>308</v>
      </c>
      <c r="E61" s="1264">
        <v>4.1000000000000002E-2</v>
      </c>
      <c r="F61" s="1265"/>
      <c r="O61" s="1220"/>
    </row>
    <row r="62" spans="1:15" x14ac:dyDescent="0.2">
      <c r="O62" s="619"/>
    </row>
    <row r="63" spans="1:15" ht="13.5" thickBot="1" x14ac:dyDescent="0.25">
      <c r="A63" s="744"/>
      <c r="O63" s="619"/>
    </row>
    <row r="64" spans="1:15" ht="31.5" customHeight="1" thickBot="1" x14ac:dyDescent="0.25">
      <c r="A64" s="1188" t="s">
        <v>252</v>
      </c>
      <c r="B64" s="1374">
        <v>2026</v>
      </c>
      <c r="C64" s="1375"/>
      <c r="D64" s="1376"/>
      <c r="F64" s="1377" t="s">
        <v>312</v>
      </c>
      <c r="G64" s="1378"/>
      <c r="H64" s="1378"/>
      <c r="I64" s="1378"/>
      <c r="J64" s="1378"/>
      <c r="K64" s="1378"/>
      <c r="L64" s="1379"/>
      <c r="O64" s="619"/>
    </row>
    <row r="65" spans="1:15" ht="13.5" thickBot="1" x14ac:dyDescent="0.25">
      <c r="A65" s="1189" t="s">
        <v>253</v>
      </c>
      <c r="B65" s="1190" t="s">
        <v>254</v>
      </c>
      <c r="C65" s="1191" t="s">
        <v>255</v>
      </c>
      <c r="D65" s="1192" t="s">
        <v>256</v>
      </c>
      <c r="L65" s="808" t="s">
        <v>479</v>
      </c>
      <c r="O65" s="619"/>
    </row>
    <row r="66" spans="1:15" ht="25.5" x14ac:dyDescent="0.2">
      <c r="A66" s="1193" t="s">
        <v>257</v>
      </c>
      <c r="B66" s="1194">
        <f>14.6%+3.1%</f>
        <v>0.17699999999999999</v>
      </c>
      <c r="C66" s="1195">
        <f>B66/2</f>
        <v>8.8499999999999995E-2</v>
      </c>
      <c r="D66" s="1196">
        <f>C66</f>
        <v>8.8499999999999995E-2</v>
      </c>
      <c r="I66" s="1281" t="s">
        <v>1333</v>
      </c>
      <c r="J66" s="1186" t="s">
        <v>376</v>
      </c>
      <c r="K66" s="1187" t="s">
        <v>1318</v>
      </c>
      <c r="L66" s="810" t="str">
        <f>IF(OR('B_PH_Allgemeine Angaben'!$H$56="ja",'B_PH_Allgemeine Angaben'!H57="Tarifanlehnung"),KAT!K66,KAT!J66)</f>
        <v>rüE</v>
      </c>
      <c r="O66" s="619"/>
    </row>
    <row r="67" spans="1:15" x14ac:dyDescent="0.2">
      <c r="A67" s="1197" t="s">
        <v>258</v>
      </c>
      <c r="B67" s="1198">
        <f>C67*2</f>
        <v>0.186</v>
      </c>
      <c r="C67" s="1195">
        <v>9.2999999999999999E-2</v>
      </c>
      <c r="D67" s="1196">
        <f t="shared" ref="D67:D68" si="7">C67</f>
        <v>9.2999999999999999E-2</v>
      </c>
      <c r="F67" s="773" t="s">
        <v>450</v>
      </c>
      <c r="G67" s="774"/>
      <c r="H67" s="648" t="s">
        <v>311</v>
      </c>
      <c r="I67" s="647"/>
      <c r="J67" s="1252">
        <v>0.03</v>
      </c>
      <c r="K67" s="1252">
        <v>0.05</v>
      </c>
      <c r="L67" s="805">
        <f>INDEX(I67:K67,MATCH($L$66,I$66:$K$66,0))</f>
        <v>0.03</v>
      </c>
      <c r="O67" s="619"/>
    </row>
    <row r="68" spans="1:15" x14ac:dyDescent="0.2">
      <c r="A68" s="1197" t="s">
        <v>259</v>
      </c>
      <c r="B68" s="1198">
        <f>C68*2</f>
        <v>2.5999999999999999E-2</v>
      </c>
      <c r="C68" s="1195">
        <v>1.2999999999999999E-2</v>
      </c>
      <c r="D68" s="1196">
        <f t="shared" si="7"/>
        <v>1.2999999999999999E-2</v>
      </c>
      <c r="F68" s="1277" t="s">
        <v>119</v>
      </c>
      <c r="G68" s="809"/>
      <c r="H68" s="648" t="s">
        <v>311</v>
      </c>
      <c r="I68" s="647"/>
      <c r="J68" s="1252">
        <v>3.4200000000000001E-2</v>
      </c>
      <c r="K68" s="1252">
        <v>0.05</v>
      </c>
      <c r="L68" s="805">
        <f>INDEX(I68:K68,MATCH($L$66,I$66:$K$66,0))</f>
        <v>3.4200000000000001E-2</v>
      </c>
      <c r="O68" s="619"/>
    </row>
    <row r="69" spans="1:15" ht="21" customHeight="1" thickBot="1" x14ac:dyDescent="0.25">
      <c r="A69" s="1197" t="s">
        <v>260</v>
      </c>
      <c r="B69" s="1199">
        <f>3.4%+0.2%</f>
        <v>3.6000000000000004E-2</v>
      </c>
      <c r="C69" s="1195">
        <f>1.2%+0.1%</f>
        <v>1.3000000000000001E-2</v>
      </c>
      <c r="D69" s="1200">
        <f>2.2%+0.1%</f>
        <v>2.3000000000000003E-2</v>
      </c>
      <c r="F69" s="650" t="s">
        <v>183</v>
      </c>
      <c r="G69" s="651"/>
      <c r="H69" s="648" t="s">
        <v>311</v>
      </c>
      <c r="I69" s="652"/>
      <c r="J69" s="1253">
        <v>0.03</v>
      </c>
      <c r="K69" s="1253">
        <v>0.05</v>
      </c>
      <c r="L69" s="805">
        <f>INDEX(I69:K69,MATCH($L$66,I$66:$K$66,0))</f>
        <v>0.03</v>
      </c>
      <c r="O69" s="619"/>
    </row>
    <row r="70" spans="1:15" ht="22.5" customHeight="1" thickBot="1" x14ac:dyDescent="0.25">
      <c r="A70" s="1201" t="s">
        <v>261</v>
      </c>
      <c r="B70" s="1202"/>
      <c r="C70" s="1203">
        <f>(C69+C68+C67+C66)</f>
        <v>0.20749999999999999</v>
      </c>
      <c r="D70" s="1204"/>
      <c r="F70" s="650" t="s">
        <v>184</v>
      </c>
      <c r="G70" s="651"/>
      <c r="H70" s="648" t="s">
        <v>311</v>
      </c>
      <c r="I70" s="652"/>
      <c r="J70" s="1253">
        <v>0.03</v>
      </c>
      <c r="K70" s="1253">
        <v>0.05</v>
      </c>
      <c r="L70" s="805">
        <f>INDEX(I70:K70,MATCH($L$66,I$66:$K$66,0))</f>
        <v>0.03</v>
      </c>
      <c r="O70" s="619"/>
    </row>
    <row r="71" spans="1:15" ht="13.5" thickBot="1" x14ac:dyDescent="0.25">
      <c r="A71" s="1205" t="s">
        <v>262</v>
      </c>
      <c r="B71" s="1206" t="s">
        <v>263</v>
      </c>
      <c r="C71" s="1207">
        <v>4.4000000000000003E-3</v>
      </c>
      <c r="D71" s="1208"/>
      <c r="F71" s="771" t="s">
        <v>185</v>
      </c>
      <c r="G71" s="772"/>
      <c r="H71" s="648" t="s">
        <v>311</v>
      </c>
      <c r="I71" s="807"/>
      <c r="J71" s="1254">
        <v>0.03</v>
      </c>
      <c r="K71" s="1254">
        <v>0.05</v>
      </c>
      <c r="L71" s="805">
        <f>INDEX(I71:K71,MATCH($L$66,I$66:$K$66,0))</f>
        <v>0.03</v>
      </c>
      <c r="O71" s="619"/>
    </row>
    <row r="72" spans="1:15" ht="13.5" thickBot="1" x14ac:dyDescent="0.25">
      <c r="A72" s="1205" t="s">
        <v>265</v>
      </c>
      <c r="B72" s="1206" t="s">
        <v>266</v>
      </c>
      <c r="C72" s="1207">
        <v>2.1499999999999998E-2</v>
      </c>
      <c r="D72" s="1209"/>
      <c r="F72" s="650" t="s">
        <v>191</v>
      </c>
      <c r="G72" s="772"/>
      <c r="H72" s="649" t="s">
        <v>311</v>
      </c>
      <c r="I72" s="807"/>
      <c r="J72" s="1254">
        <v>0.04</v>
      </c>
      <c r="K72" s="1254">
        <v>0.04</v>
      </c>
      <c r="L72" s="805">
        <f>INDEX(I72:K72,MATCH($L$66,I$66:$K$66,0))</f>
        <v>0.04</v>
      </c>
      <c r="O72" s="619"/>
    </row>
    <row r="73" spans="1:15" ht="13.5" thickBot="1" x14ac:dyDescent="0.25">
      <c r="A73" s="1210" t="s">
        <v>267</v>
      </c>
      <c r="B73" s="1190"/>
      <c r="C73" s="1211">
        <v>1.5E-3</v>
      </c>
      <c r="D73" s="1209"/>
      <c r="I73" s="248"/>
      <c r="K73" s="248"/>
      <c r="N73" s="468"/>
      <c r="O73" s="619"/>
    </row>
    <row r="74" spans="1:15" ht="13.5" thickBot="1" x14ac:dyDescent="0.25">
      <c r="A74" s="1372" t="s">
        <v>264</v>
      </c>
      <c r="B74" s="1373"/>
      <c r="C74" s="1212">
        <f>(C70+C71+C73)</f>
        <v>0.21339999999999998</v>
      </c>
      <c r="D74" s="1209"/>
      <c r="F74" s="650" t="s">
        <v>290</v>
      </c>
      <c r="G74" s="651"/>
      <c r="H74" s="648" t="s">
        <v>292</v>
      </c>
      <c r="I74" s="1150"/>
      <c r="J74" s="811">
        <v>0.03</v>
      </c>
      <c r="K74" s="811">
        <f>J74</f>
        <v>0.03</v>
      </c>
      <c r="L74" s="805">
        <f>INDEX(I74:K74,MATCH($L$66,I$66:$K$66,0))</f>
        <v>0.03</v>
      </c>
      <c r="N74" s="468"/>
      <c r="O74" s="619"/>
    </row>
    <row r="75" spans="1:15" ht="13.5" thickBot="1" x14ac:dyDescent="0.25">
      <c r="A75" s="1372" t="s">
        <v>268</v>
      </c>
      <c r="B75" s="1373"/>
      <c r="C75" s="1212">
        <f>C74+C72</f>
        <v>0.23489999999999997</v>
      </c>
      <c r="D75" s="1213"/>
      <c r="E75" s="623"/>
      <c r="F75" s="650" t="s">
        <v>291</v>
      </c>
      <c r="G75" s="651"/>
      <c r="H75" s="648" t="s">
        <v>292</v>
      </c>
      <c r="I75" s="652"/>
      <c r="J75" s="811">
        <v>0.05</v>
      </c>
      <c r="K75" s="811">
        <v>0.05</v>
      </c>
      <c r="L75" s="805">
        <f>INDEX(I75:K75,MATCH($L$66,I$66:$K$66,0))</f>
        <v>0.05</v>
      </c>
      <c r="M75" s="623"/>
      <c r="N75" s="623"/>
      <c r="O75" s="624"/>
    </row>
    <row r="77" spans="1:15" x14ac:dyDescent="0.2">
      <c r="A77" s="1214" t="s">
        <v>434</v>
      </c>
      <c r="B77" s="1215"/>
      <c r="C77" s="1215"/>
      <c r="D77" s="1215"/>
      <c r="E77" s="1215"/>
      <c r="F77" s="1216"/>
    </row>
    <row r="78" spans="1:15" x14ac:dyDescent="0.2">
      <c r="A78" s="1217"/>
      <c r="B78" s="1218"/>
      <c r="C78" s="1218"/>
      <c r="D78" s="1218"/>
      <c r="E78" s="1219" t="s">
        <v>1303</v>
      </c>
      <c r="F78" s="1220"/>
    </row>
    <row r="79" spans="1:15" x14ac:dyDescent="0.2">
      <c r="A79" s="1221" t="s">
        <v>376</v>
      </c>
      <c r="B79" s="1222"/>
      <c r="C79" s="1222"/>
      <c r="D79" s="1223"/>
      <c r="E79" s="1224">
        <v>24.02</v>
      </c>
      <c r="F79" s="1220"/>
    </row>
    <row r="80" spans="1:15" x14ac:dyDescent="0.2">
      <c r="A80" s="1221" t="s">
        <v>409</v>
      </c>
      <c r="B80" s="1222"/>
      <c r="C80" s="1222"/>
      <c r="D80" s="1223"/>
      <c r="E80" s="1224">
        <v>27.18</v>
      </c>
      <c r="F80" s="1220"/>
    </row>
    <row r="81" spans="1:6" x14ac:dyDescent="0.2">
      <c r="A81" s="1221" t="s">
        <v>407</v>
      </c>
      <c r="B81" s="1222"/>
      <c r="C81" s="1222"/>
      <c r="D81" s="1223"/>
      <c r="E81" s="1224">
        <v>22.52</v>
      </c>
      <c r="F81" s="1220"/>
    </row>
    <row r="82" spans="1:6" x14ac:dyDescent="0.2">
      <c r="A82" s="1221" t="s">
        <v>408</v>
      </c>
      <c r="B82" s="1222"/>
      <c r="C82" s="1222"/>
      <c r="D82" s="1223"/>
      <c r="E82" s="1224">
        <v>20.88</v>
      </c>
      <c r="F82" s="1220"/>
    </row>
    <row r="83" spans="1:6" x14ac:dyDescent="0.2">
      <c r="A83" s="1225"/>
      <c r="B83" s="1226"/>
      <c r="C83" s="1226"/>
      <c r="D83" s="1226"/>
      <c r="E83" s="1219" t="s">
        <v>478</v>
      </c>
      <c r="F83" s="1220"/>
    </row>
    <row r="84" spans="1:6" x14ac:dyDescent="0.2">
      <c r="A84" s="1221" t="s">
        <v>435</v>
      </c>
      <c r="B84" s="1222"/>
      <c r="C84" s="1222"/>
      <c r="D84" s="1223"/>
      <c r="E84" s="1224">
        <v>14.6</v>
      </c>
      <c r="F84" s="1220"/>
    </row>
    <row r="85" spans="1:6" x14ac:dyDescent="0.2">
      <c r="A85" s="1225"/>
      <c r="B85" s="1226"/>
      <c r="C85" s="1226"/>
      <c r="D85" s="1226"/>
      <c r="E85" s="1226"/>
      <c r="F85" s="1227"/>
    </row>
    <row r="87" spans="1:6" ht="13.5" thickBot="1" x14ac:dyDescent="0.25"/>
    <row r="88" spans="1:6" ht="41.25" customHeight="1" x14ac:dyDescent="0.2">
      <c r="A88" s="1366" t="s">
        <v>1319</v>
      </c>
      <c r="B88" s="1367"/>
      <c r="C88" s="1368"/>
      <c r="D88" s="1228"/>
      <c r="E88" s="1218"/>
      <c r="F88" s="1229"/>
    </row>
    <row r="89" spans="1:6" x14ac:dyDescent="0.2">
      <c r="A89" s="1230" t="s">
        <v>296</v>
      </c>
      <c r="B89" s="1231">
        <f>E84</f>
        <v>14.6</v>
      </c>
      <c r="C89" s="1232"/>
      <c r="D89" s="1218"/>
      <c r="E89" s="1218"/>
      <c r="F89" s="1229"/>
    </row>
    <row r="90" spans="1:6" x14ac:dyDescent="0.2">
      <c r="A90" s="1230" t="s">
        <v>297</v>
      </c>
      <c r="B90" s="1233">
        <f>8*5*13/3*12</f>
        <v>2080</v>
      </c>
      <c r="C90" s="1232" t="s">
        <v>298</v>
      </c>
      <c r="D90" s="1218"/>
      <c r="E90" s="1218"/>
      <c r="F90" s="1229"/>
    </row>
    <row r="91" spans="1:6" x14ac:dyDescent="0.2">
      <c r="A91" s="1230" t="s">
        <v>299</v>
      </c>
      <c r="B91" s="1234">
        <f>B90*B89</f>
        <v>30368</v>
      </c>
      <c r="C91" s="1232"/>
      <c r="D91" s="1218"/>
      <c r="E91" s="1218"/>
      <c r="F91" s="1229"/>
    </row>
    <row r="92" spans="1:6" x14ac:dyDescent="0.2">
      <c r="A92" s="1230" t="s">
        <v>300</v>
      </c>
      <c r="B92" s="1234">
        <f>B91*C92</f>
        <v>6480.5311999999994</v>
      </c>
      <c r="C92" s="1235">
        <f>MAX('B_PH_Berechnung rüE'!$H$13,C74)</f>
        <v>0.21339999999999998</v>
      </c>
      <c r="D92" s="1218"/>
      <c r="E92" s="1234"/>
      <c r="F92" s="1229"/>
    </row>
    <row r="93" spans="1:6" x14ac:dyDescent="0.2">
      <c r="A93" s="1205" t="s">
        <v>301</v>
      </c>
      <c r="B93" s="1236">
        <f>B91+B92</f>
        <v>36848.531199999998</v>
      </c>
      <c r="C93" s="1237" t="s">
        <v>302</v>
      </c>
      <c r="D93" s="1218"/>
      <c r="E93" s="1218"/>
      <c r="F93" s="1229"/>
    </row>
    <row r="94" spans="1:6" x14ac:dyDescent="0.2">
      <c r="A94" s="1230" t="s">
        <v>303</v>
      </c>
      <c r="B94" s="1234">
        <f>B91*C94</f>
        <v>1563.952</v>
      </c>
      <c r="C94" s="1238">
        <f>KAT!E59</f>
        <v>5.1499999999999997E-2</v>
      </c>
      <c r="D94" s="1218"/>
      <c r="E94" s="1218"/>
      <c r="F94" s="1229"/>
    </row>
    <row r="95" spans="1:6" ht="38.25" x14ac:dyDescent="0.2">
      <c r="A95" s="1239" t="s">
        <v>301</v>
      </c>
      <c r="B95" s="1240">
        <f>B91+B92+B94</f>
        <v>38412.483199999995</v>
      </c>
      <c r="C95" s="1241" t="s">
        <v>304</v>
      </c>
      <c r="D95" s="1218"/>
      <c r="E95" s="1218"/>
      <c r="F95" s="1229"/>
    </row>
    <row r="96" spans="1:6" x14ac:dyDescent="0.2">
      <c r="A96" s="1230" t="s">
        <v>305</v>
      </c>
      <c r="B96" s="1234">
        <f>B95/12</f>
        <v>3201.0402666666664</v>
      </c>
      <c r="C96" s="1242"/>
      <c r="D96" s="1218"/>
      <c r="E96" s="1218"/>
      <c r="F96" s="1229"/>
    </row>
    <row r="97" spans="1:6" ht="13.5" thickBot="1" x14ac:dyDescent="0.25">
      <c r="A97" s="1243" t="s">
        <v>301</v>
      </c>
      <c r="B97" s="1244">
        <f>B95+B96</f>
        <v>41613.523466666658</v>
      </c>
      <c r="C97" s="1245"/>
      <c r="D97" s="1218"/>
      <c r="E97" s="1218"/>
      <c r="F97" s="1229"/>
    </row>
    <row r="98" spans="1:6" ht="26.25" thickBot="1" x14ac:dyDescent="0.25">
      <c r="A98" s="1246" t="s">
        <v>309</v>
      </c>
      <c r="B98" s="1247">
        <f>B97*102%*102%</f>
        <v>43294.709814719994</v>
      </c>
      <c r="C98" s="1248">
        <f>ROUND(B98,-2)</f>
        <v>43300</v>
      </c>
      <c r="D98" s="1249" t="s">
        <v>310</v>
      </c>
      <c r="E98" s="1250">
        <f>C98+0.009</f>
        <v>43300.008999999998</v>
      </c>
      <c r="F98" s="1251" t="s">
        <v>306</v>
      </c>
    </row>
    <row r="99" spans="1:6" ht="13.5" thickBot="1" x14ac:dyDescent="0.25">
      <c r="A99" s="1218"/>
      <c r="B99" s="1218"/>
      <c r="C99" s="1218"/>
      <c r="D99" s="1218"/>
      <c r="E99" s="1218"/>
      <c r="F99" s="1229"/>
    </row>
    <row r="100" spans="1:6" ht="43.5" customHeight="1" x14ac:dyDescent="0.2">
      <c r="A100" s="1366" t="s">
        <v>1320</v>
      </c>
      <c r="B100" s="1367"/>
      <c r="C100" s="1368"/>
      <c r="D100" s="1228"/>
      <c r="E100" s="1218"/>
      <c r="F100" s="1229"/>
    </row>
    <row r="101" spans="1:6" x14ac:dyDescent="0.2">
      <c r="A101" s="1230" t="s">
        <v>296</v>
      </c>
      <c r="B101" s="1231">
        <f>B89</f>
        <v>14.6</v>
      </c>
      <c r="C101" s="1232"/>
      <c r="D101" s="1218"/>
      <c r="E101" s="1218"/>
      <c r="F101" s="1229"/>
    </row>
    <row r="102" spans="1:6" x14ac:dyDescent="0.2">
      <c r="A102" s="1230" t="s">
        <v>297</v>
      </c>
      <c r="B102" s="1233">
        <f>8*5*13/3*12</f>
        <v>2080</v>
      </c>
      <c r="C102" s="1232" t="s">
        <v>298</v>
      </c>
      <c r="D102" s="1218"/>
      <c r="E102" s="1218"/>
      <c r="F102" s="1229"/>
    </row>
    <row r="103" spans="1:6" x14ac:dyDescent="0.2">
      <c r="A103" s="1230" t="s">
        <v>299</v>
      </c>
      <c r="B103" s="1234">
        <f>B102*B101</f>
        <v>30368</v>
      </c>
      <c r="C103" s="1232"/>
      <c r="D103" s="1218"/>
      <c r="E103" s="1218"/>
      <c r="F103" s="1229"/>
    </row>
    <row r="104" spans="1:6" x14ac:dyDescent="0.2">
      <c r="A104" s="1230" t="s">
        <v>300</v>
      </c>
      <c r="B104" s="1234">
        <f>B103*C104</f>
        <v>6480.5311999999994</v>
      </c>
      <c r="C104" s="1235">
        <f>C92</f>
        <v>0.21339999999999998</v>
      </c>
      <c r="D104" s="1218"/>
      <c r="E104" s="1234"/>
      <c r="F104" s="1229"/>
    </row>
    <row r="105" spans="1:6" x14ac:dyDescent="0.2">
      <c r="A105" s="1205" t="s">
        <v>301</v>
      </c>
      <c r="B105" s="1236">
        <f>B103+B104</f>
        <v>36848.531199999998</v>
      </c>
      <c r="C105" s="1237" t="s">
        <v>302</v>
      </c>
      <c r="D105" s="1218"/>
      <c r="E105" s="1218"/>
      <c r="F105" s="1229"/>
    </row>
    <row r="106" spans="1:6" x14ac:dyDescent="0.2">
      <c r="A106" s="1230" t="s">
        <v>303</v>
      </c>
      <c r="B106" s="1234">
        <f>B103*C106</f>
        <v>1563.952</v>
      </c>
      <c r="C106" s="1238">
        <f>KAT!E60</f>
        <v>5.1499999999999997E-2</v>
      </c>
      <c r="D106" s="1218"/>
      <c r="E106" s="1218"/>
      <c r="F106" s="1229"/>
    </row>
    <row r="107" spans="1:6" ht="38.25" x14ac:dyDescent="0.2">
      <c r="A107" s="1239" t="s">
        <v>301</v>
      </c>
      <c r="B107" s="1240">
        <f>B103+B104+B106</f>
        <v>38412.483199999995</v>
      </c>
      <c r="C107" s="1241" t="s">
        <v>304</v>
      </c>
      <c r="D107" s="1218"/>
      <c r="E107" s="1218"/>
      <c r="F107" s="1229"/>
    </row>
    <row r="108" spans="1:6" x14ac:dyDescent="0.2">
      <c r="A108" s="1230" t="s">
        <v>305</v>
      </c>
      <c r="B108" s="1234">
        <f>B107/12</f>
        <v>3201.0402666666664</v>
      </c>
      <c r="C108" s="1242"/>
      <c r="D108" s="1218"/>
      <c r="E108" s="1218"/>
      <c r="F108" s="1229"/>
    </row>
    <row r="109" spans="1:6" ht="13.5" thickBot="1" x14ac:dyDescent="0.25">
      <c r="A109" s="1243" t="s">
        <v>301</v>
      </c>
      <c r="B109" s="1244">
        <f>B107+B108</f>
        <v>41613.523466666658</v>
      </c>
      <c r="C109" s="1245"/>
      <c r="D109" s="1218"/>
      <c r="E109" s="1218"/>
      <c r="F109" s="1229"/>
    </row>
    <row r="110" spans="1:6" ht="26.25" thickBot="1" x14ac:dyDescent="0.25">
      <c r="A110" s="1246" t="s">
        <v>309</v>
      </c>
      <c r="B110" s="1247">
        <f>B109*102%*102%</f>
        <v>43294.709814719994</v>
      </c>
      <c r="C110" s="1248">
        <f>ROUND(B110,-2)</f>
        <v>43300</v>
      </c>
      <c r="D110" s="1249" t="s">
        <v>310</v>
      </c>
      <c r="E110" s="1250">
        <f>C110+0.009</f>
        <v>43300.008999999998</v>
      </c>
      <c r="F110" s="1251" t="s">
        <v>307</v>
      </c>
    </row>
    <row r="111" spans="1:6" ht="13.5" thickBot="1" x14ac:dyDescent="0.25">
      <c r="A111" s="1218"/>
      <c r="B111" s="1218"/>
      <c r="C111" s="1218"/>
      <c r="D111" s="1218"/>
      <c r="E111" s="1218"/>
      <c r="F111" s="1229"/>
    </row>
    <row r="112" spans="1:6" ht="46.5" customHeight="1" x14ac:dyDescent="0.2">
      <c r="A112" s="1366" t="s">
        <v>1321</v>
      </c>
      <c r="B112" s="1367"/>
      <c r="C112" s="1368"/>
      <c r="D112" s="1228"/>
      <c r="E112" s="1218"/>
      <c r="F112" s="1229"/>
    </row>
    <row r="113" spans="1:6" x14ac:dyDescent="0.2">
      <c r="A113" s="1230" t="s">
        <v>296</v>
      </c>
      <c r="B113" s="1231">
        <f>B101</f>
        <v>14.6</v>
      </c>
      <c r="C113" s="1232"/>
      <c r="D113" s="1218"/>
      <c r="E113" s="1218"/>
      <c r="F113" s="1229"/>
    </row>
    <row r="114" spans="1:6" x14ac:dyDescent="0.2">
      <c r="A114" s="1230" t="s">
        <v>297</v>
      </c>
      <c r="B114" s="1233">
        <f>8*5*13/3*12</f>
        <v>2080</v>
      </c>
      <c r="C114" s="1232" t="s">
        <v>298</v>
      </c>
      <c r="D114" s="1218"/>
      <c r="E114" s="1218"/>
      <c r="F114" s="1229"/>
    </row>
    <row r="115" spans="1:6" x14ac:dyDescent="0.2">
      <c r="A115" s="1230" t="s">
        <v>299</v>
      </c>
      <c r="B115" s="1234">
        <f>B114*B113</f>
        <v>30368</v>
      </c>
      <c r="C115" s="1232"/>
      <c r="D115" s="1218"/>
      <c r="E115" s="1218"/>
      <c r="F115" s="1229"/>
    </row>
    <row r="116" spans="1:6" x14ac:dyDescent="0.2">
      <c r="A116" s="1230" t="s">
        <v>300</v>
      </c>
      <c r="B116" s="1234">
        <f>B115*C116</f>
        <v>6480.5311999999994</v>
      </c>
      <c r="C116" s="1235">
        <f>C104</f>
        <v>0.21339999999999998</v>
      </c>
      <c r="D116" s="1218"/>
      <c r="E116" s="1234"/>
      <c r="F116" s="1229"/>
    </row>
    <row r="117" spans="1:6" x14ac:dyDescent="0.2">
      <c r="A117" s="1205" t="s">
        <v>301</v>
      </c>
      <c r="B117" s="1236">
        <f>B115+B116</f>
        <v>36848.531199999998</v>
      </c>
      <c r="C117" s="1237" t="s">
        <v>302</v>
      </c>
      <c r="D117" s="1218"/>
      <c r="E117" s="1218"/>
      <c r="F117" s="1229"/>
    </row>
    <row r="118" spans="1:6" x14ac:dyDescent="0.2">
      <c r="A118" s="1230" t="s">
        <v>303</v>
      </c>
      <c r="B118" s="1234">
        <f>B115*C118</f>
        <v>1245.088</v>
      </c>
      <c r="C118" s="1238">
        <f>KAT!E61</f>
        <v>4.1000000000000002E-2</v>
      </c>
      <c r="D118" s="1218"/>
      <c r="E118" s="1218"/>
      <c r="F118" s="1229"/>
    </row>
    <row r="119" spans="1:6" ht="38.25" x14ac:dyDescent="0.2">
      <c r="A119" s="1239" t="s">
        <v>301</v>
      </c>
      <c r="B119" s="1240">
        <f>B115+B116+B118</f>
        <v>38093.619200000001</v>
      </c>
      <c r="C119" s="1241" t="s">
        <v>304</v>
      </c>
      <c r="D119" s="1218"/>
      <c r="E119" s="1218"/>
      <c r="F119" s="1229"/>
    </row>
    <row r="120" spans="1:6" x14ac:dyDescent="0.2">
      <c r="A120" s="1230" t="s">
        <v>305</v>
      </c>
      <c r="B120" s="1234">
        <f>B119/12</f>
        <v>3174.4682666666668</v>
      </c>
      <c r="C120" s="1242"/>
      <c r="D120" s="1218"/>
      <c r="E120" s="1218"/>
      <c r="F120" s="1229"/>
    </row>
    <row r="121" spans="1:6" ht="13.5" thickBot="1" x14ac:dyDescent="0.25">
      <c r="A121" s="1243" t="s">
        <v>301</v>
      </c>
      <c r="B121" s="1244">
        <f>B119+B120</f>
        <v>41268.087466666664</v>
      </c>
      <c r="C121" s="1245"/>
      <c r="D121" s="1218"/>
      <c r="E121" s="1218"/>
      <c r="F121" s="1229"/>
    </row>
    <row r="122" spans="1:6" ht="26.25" thickBot="1" x14ac:dyDescent="0.25">
      <c r="A122" s="1246" t="s">
        <v>309</v>
      </c>
      <c r="B122" s="1247">
        <f>B121*102%*102%</f>
        <v>42935.318200319998</v>
      </c>
      <c r="C122" s="1248">
        <f>ROUND(B122,-2)</f>
        <v>42900</v>
      </c>
      <c r="D122" s="1249" t="s">
        <v>310</v>
      </c>
      <c r="E122" s="1250">
        <f>C122+0.009</f>
        <v>42900.008999999998</v>
      </c>
      <c r="F122" s="1251" t="s">
        <v>308</v>
      </c>
    </row>
    <row r="125" spans="1:6" x14ac:dyDescent="0.2">
      <c r="A125" s="100" t="s">
        <v>370</v>
      </c>
      <c r="B125" s="616"/>
      <c r="C125" s="616"/>
      <c r="D125" s="616"/>
      <c r="E125" s="616"/>
      <c r="F125" s="617"/>
    </row>
    <row r="126" spans="1:6" x14ac:dyDescent="0.2">
      <c r="A126" s="745" t="s">
        <v>117</v>
      </c>
      <c r="B126" s="611" t="s">
        <v>371</v>
      </c>
      <c r="F126" s="619"/>
    </row>
    <row r="127" spans="1:6" x14ac:dyDescent="0.2">
      <c r="A127" s="622"/>
      <c r="B127" s="623"/>
      <c r="C127" s="623"/>
      <c r="D127" s="623"/>
      <c r="E127" s="623"/>
      <c r="F127" s="624"/>
    </row>
  </sheetData>
  <sheetProtection algorithmName="SHA-512" hashValue="eJtYJKxJT5e58qJYd2rzTaJKtbz0/ZLER2Py7+sh5xEFPYPzJ6RdO/BLh+cOFn99USTvx3cRio7qtfuINXOTcw==" saltValue="oBBuIPlO0q8jTsrz1zflvA==" spinCount="100000" sheet="1" selectLockedCells="1"/>
  <customSheetViews>
    <customSheetView guid="{9119B1A0-FD79-4FE4-B78E-10E0AEB8080B}" state="hidden" topLeftCell="A86">
      <selection activeCell="N94" sqref="N94"/>
      <pageMargins left="0.7" right="0.7" top="0.78740157499999996" bottom="0.78740157499999996" header="0.3" footer="0.3"/>
      <pageSetup paperSize="9" orientation="portrait"/>
    </customSheetView>
  </customSheetViews>
  <mergeCells count="15">
    <mergeCell ref="N32:P33"/>
    <mergeCell ref="Q32:R33"/>
    <mergeCell ref="L32:M33"/>
    <mergeCell ref="I33:I34"/>
    <mergeCell ref="J33:K33"/>
    <mergeCell ref="A100:C100"/>
    <mergeCell ref="A32:K32"/>
    <mergeCell ref="A112:C112"/>
    <mergeCell ref="A74:B74"/>
    <mergeCell ref="A75:B75"/>
    <mergeCell ref="B64:D64"/>
    <mergeCell ref="F64:L64"/>
    <mergeCell ref="B57:C57"/>
    <mergeCell ref="E57:F57"/>
    <mergeCell ref="A88:C88"/>
  </mergeCells>
  <phoneticPr fontId="71" type="noConversion"/>
  <dataValidations count="1">
    <dataValidation type="list" allowBlank="1" showInputMessage="1" showErrorMessage="1" sqref="A126" xr:uid="{00000000-0002-0000-0100-000000000000}">
      <formula1>"ja,nein"</formula1>
    </dataValidation>
  </dataValidations>
  <pageMargins left="0.70866141732283472" right="0.70866141732283472" top="0.78740157480314965" bottom="0.78740157480314965" header="0.31496062992125984" footer="0.31496062992125984"/>
  <pageSetup paperSize="9" orientation="portrait"/>
  <headerFooter>
    <oddFooter>&amp;C_x000D_&amp;1#&amp;"Calibri"&amp;10&amp;K000000 öffentlich</oddFooter>
  </headerFooter>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79998168889431442"/>
    <pageSetUpPr fitToPage="1"/>
  </sheetPr>
  <dimension ref="A1:P57"/>
  <sheetViews>
    <sheetView showGridLines="0" tabSelected="1" showWhiteSpace="0" zoomScaleNormal="100" workbookViewId="0">
      <selection sqref="A1:G1"/>
    </sheetView>
  </sheetViews>
  <sheetFormatPr baseColWidth="10" defaultRowHeight="14.25" x14ac:dyDescent="0.2"/>
  <cols>
    <col min="1" max="1" width="3.875" customWidth="1"/>
    <col min="2" max="2" width="18" customWidth="1"/>
    <col min="3" max="3" width="11" customWidth="1"/>
    <col min="4" max="4" width="5.25" customWidth="1"/>
    <col min="5" max="5" width="15.25" customWidth="1"/>
    <col min="6" max="6" width="17.625" customWidth="1"/>
    <col min="7" max="7" width="13.5" customWidth="1"/>
    <col min="8" max="8" width="11" style="462"/>
    <col min="9" max="16" width="11" style="138"/>
  </cols>
  <sheetData>
    <row r="1" spans="1:16" ht="72.75" customHeight="1" x14ac:dyDescent="0.2">
      <c r="A1" s="1354" t="s">
        <v>1348</v>
      </c>
      <c r="B1" s="1355"/>
      <c r="C1" s="1355"/>
      <c r="D1" s="1355"/>
      <c r="E1" s="1355"/>
      <c r="F1" s="1355"/>
      <c r="G1" s="1355"/>
      <c r="H1" s="1293"/>
    </row>
    <row r="2" spans="1:16" ht="14.25" customHeight="1" x14ac:dyDescent="0.2">
      <c r="A2" s="190"/>
      <c r="B2" s="999"/>
      <c r="C2" s="190"/>
      <c r="D2" s="190"/>
      <c r="E2" s="190"/>
      <c r="F2" s="190"/>
      <c r="G2" s="190"/>
      <c r="H2" s="1293"/>
    </row>
    <row r="3" spans="1:16" ht="48.75" customHeight="1" x14ac:dyDescent="0.2">
      <c r="A3" s="1356" t="s">
        <v>1350</v>
      </c>
      <c r="B3" s="1357"/>
      <c r="C3" s="1357"/>
      <c r="D3" s="1357"/>
      <c r="E3" s="1357"/>
      <c r="F3" s="1357"/>
      <c r="G3" s="1357"/>
      <c r="H3" s="1293"/>
    </row>
    <row r="4" spans="1:16" x14ac:dyDescent="0.2">
      <c r="A4" s="1359" t="s">
        <v>1395</v>
      </c>
      <c r="B4" s="1357"/>
      <c r="C4" s="1357"/>
      <c r="D4" s="1357"/>
      <c r="E4" s="1357"/>
      <c r="F4" s="1357"/>
      <c r="G4" s="1357"/>
      <c r="H4" s="1293"/>
    </row>
    <row r="5" spans="1:16" s="47" customFormat="1" x14ac:dyDescent="0.2">
      <c r="A5" s="1334" t="s">
        <v>1357</v>
      </c>
      <c r="B5" s="1335"/>
      <c r="C5" s="1335"/>
      <c r="D5" s="1335"/>
      <c r="E5" s="1335"/>
      <c r="F5" s="1335"/>
      <c r="G5" s="1335"/>
      <c r="H5" s="1293"/>
      <c r="I5" s="192"/>
      <c r="J5" s="192"/>
      <c r="K5" s="192"/>
      <c r="L5" s="192"/>
      <c r="M5" s="192"/>
      <c r="N5" s="192"/>
      <c r="O5" s="192"/>
      <c r="P5" s="192"/>
    </row>
    <row r="6" spans="1:16" s="47" customFormat="1" x14ac:dyDescent="0.2">
      <c r="A6" s="1334" t="s">
        <v>1353</v>
      </c>
      <c r="B6" s="1335"/>
      <c r="C6" s="1335"/>
      <c r="D6" s="1335"/>
      <c r="E6" s="1335"/>
      <c r="F6" s="1335"/>
      <c r="G6" s="1335"/>
      <c r="H6" s="1293"/>
      <c r="I6" s="192"/>
      <c r="J6" s="192"/>
      <c r="K6" s="192"/>
      <c r="L6" s="192"/>
      <c r="M6" s="192"/>
      <c r="N6" s="192"/>
      <c r="O6" s="192"/>
      <c r="P6" s="192"/>
    </row>
    <row r="7" spans="1:16" s="47" customFormat="1" x14ac:dyDescent="0.2">
      <c r="A7" s="1334" t="s">
        <v>1359</v>
      </c>
      <c r="B7" s="1335"/>
      <c r="C7" s="1335"/>
      <c r="D7" s="1335"/>
      <c r="E7" s="1335"/>
      <c r="F7" s="1335"/>
      <c r="G7" s="1335"/>
      <c r="H7" s="1293"/>
      <c r="I7" s="192"/>
      <c r="J7" s="192"/>
      <c r="K7" s="192"/>
      <c r="L7" s="192"/>
      <c r="M7" s="192"/>
      <c r="N7" s="192"/>
      <c r="O7" s="192"/>
      <c r="P7" s="192"/>
    </row>
    <row r="8" spans="1:16" s="47" customFormat="1" x14ac:dyDescent="0.2">
      <c r="A8" s="1334" t="s">
        <v>1360</v>
      </c>
      <c r="B8" s="1335"/>
      <c r="C8" s="1335"/>
      <c r="D8" s="1335"/>
      <c r="E8" s="1335"/>
      <c r="F8" s="1335"/>
      <c r="G8" s="1335"/>
      <c r="H8" s="1293"/>
      <c r="I8" s="192"/>
      <c r="J8" s="192"/>
      <c r="K8" s="192"/>
      <c r="L8" s="192"/>
      <c r="M8" s="192"/>
      <c r="N8" s="192"/>
      <c r="O8" s="192"/>
      <c r="P8" s="192"/>
    </row>
    <row r="9" spans="1:16" s="47" customFormat="1" x14ac:dyDescent="0.2">
      <c r="A9" s="1334" t="s">
        <v>1361</v>
      </c>
      <c r="B9" s="1335"/>
      <c r="C9" s="1335"/>
      <c r="D9" s="1335"/>
      <c r="E9" s="1335"/>
      <c r="F9" s="1335"/>
      <c r="G9" s="1335"/>
      <c r="H9" s="1293"/>
      <c r="I9" s="192"/>
      <c r="J9" s="192"/>
      <c r="K9" s="192"/>
      <c r="L9" s="192"/>
      <c r="M9" s="192"/>
      <c r="N9" s="192"/>
      <c r="O9" s="192"/>
      <c r="P9" s="192"/>
    </row>
    <row r="10" spans="1:16" s="47" customFormat="1" x14ac:dyDescent="0.2">
      <c r="A10" s="1334" t="s">
        <v>1390</v>
      </c>
      <c r="B10" s="1335"/>
      <c r="C10" s="1335"/>
      <c r="D10" s="1335"/>
      <c r="E10" s="1335"/>
      <c r="F10" s="1335"/>
      <c r="G10" s="1335"/>
      <c r="H10" s="1293"/>
      <c r="I10" s="192"/>
      <c r="J10" s="192"/>
      <c r="K10" s="192"/>
      <c r="L10" s="192"/>
      <c r="M10" s="192"/>
      <c r="N10" s="192"/>
      <c r="O10" s="192"/>
      <c r="P10" s="192"/>
    </row>
    <row r="11" spans="1:16" s="47" customFormat="1" x14ac:dyDescent="0.2">
      <c r="A11" s="1334" t="s">
        <v>1391</v>
      </c>
      <c r="B11" s="1335"/>
      <c r="C11" s="1335"/>
      <c r="D11" s="1335"/>
      <c r="E11" s="1335"/>
      <c r="F11" s="1335"/>
      <c r="G11" s="1335"/>
      <c r="H11" s="1293"/>
      <c r="I11" s="192"/>
      <c r="J11" s="192"/>
      <c r="K11" s="192"/>
      <c r="L11" s="192"/>
      <c r="M11" s="192"/>
      <c r="N11" s="192"/>
      <c r="O11" s="192"/>
      <c r="P11" s="192"/>
    </row>
    <row r="12" spans="1:16" ht="16.5" customHeight="1" x14ac:dyDescent="0.2">
      <c r="A12" s="1295"/>
      <c r="B12" s="1296"/>
      <c r="C12" s="1296"/>
      <c r="D12" s="1296"/>
      <c r="E12" s="1296"/>
      <c r="F12" s="1296"/>
      <c r="G12" s="1296"/>
      <c r="H12" s="1293"/>
    </row>
    <row r="13" spans="1:16" ht="223.5" customHeight="1" x14ac:dyDescent="0.2">
      <c r="A13" s="1356" t="s">
        <v>1396</v>
      </c>
      <c r="B13" s="1358"/>
      <c r="C13" s="1358"/>
      <c r="D13" s="1358"/>
      <c r="E13" s="1358"/>
      <c r="F13" s="1358"/>
      <c r="G13" s="1358"/>
      <c r="H13" s="1353" t="s">
        <v>1362</v>
      </c>
    </row>
    <row r="14" spans="1:16" ht="78.75" customHeight="1" x14ac:dyDescent="0.2">
      <c r="A14" s="1352" t="s">
        <v>1351</v>
      </c>
      <c r="B14" s="1333"/>
      <c r="C14" s="1333"/>
      <c r="D14" s="1333"/>
      <c r="E14" s="1333"/>
      <c r="F14" s="1333"/>
      <c r="G14" s="1333"/>
      <c r="H14" s="1353"/>
    </row>
    <row r="15" spans="1:16" ht="237" customHeight="1" x14ac:dyDescent="0.2">
      <c r="A15" s="1352" t="s">
        <v>1392</v>
      </c>
      <c r="B15" s="1333"/>
      <c r="C15" s="1333"/>
      <c r="D15" s="1333"/>
      <c r="E15" s="1333"/>
      <c r="F15" s="1333"/>
      <c r="G15" s="1333"/>
      <c r="H15" s="1353"/>
    </row>
    <row r="16" spans="1:16" ht="150" customHeight="1" x14ac:dyDescent="0.2">
      <c r="A16" s="1352" t="s">
        <v>1352</v>
      </c>
      <c r="B16" s="1333"/>
      <c r="C16" s="1333"/>
      <c r="D16" s="1333"/>
      <c r="E16" s="1333"/>
      <c r="F16" s="1333"/>
      <c r="G16" s="1333"/>
      <c r="H16" s="1353"/>
    </row>
    <row r="17" spans="1:8" ht="9" customHeight="1" x14ac:dyDescent="0.2">
      <c r="A17" s="1297"/>
      <c r="B17" s="1298"/>
      <c r="C17" s="1299"/>
      <c r="D17" s="1299"/>
      <c r="E17" s="1299"/>
      <c r="F17" s="1299"/>
      <c r="G17" s="1299"/>
      <c r="H17" s="1293"/>
    </row>
    <row r="18" spans="1:8" ht="51.75" customHeight="1" x14ac:dyDescent="0.2">
      <c r="A18" s="1351" t="s">
        <v>1354</v>
      </c>
      <c r="B18" s="1339"/>
      <c r="C18" s="1339"/>
      <c r="D18" s="1339"/>
      <c r="E18" s="1339"/>
      <c r="F18" s="1339"/>
      <c r="G18" s="1339"/>
      <c r="H18" s="1291" t="s">
        <v>1362</v>
      </c>
    </row>
    <row r="19" spans="1:8" ht="9" customHeight="1" x14ac:dyDescent="0.2">
      <c r="A19" s="1300"/>
      <c r="B19" s="1301"/>
      <c r="C19" s="1301"/>
      <c r="D19" s="1301"/>
      <c r="E19" s="1301"/>
      <c r="F19" s="1301"/>
      <c r="G19" s="1301"/>
      <c r="H19" s="1294"/>
    </row>
    <row r="20" spans="1:8" ht="298.5" customHeight="1" x14ac:dyDescent="0.2">
      <c r="A20" s="1348" t="s">
        <v>1355</v>
      </c>
      <c r="B20" s="1343"/>
      <c r="C20" s="1343"/>
      <c r="D20" s="1343"/>
      <c r="E20" s="1343"/>
      <c r="F20" s="1343"/>
      <c r="G20" s="1343"/>
      <c r="H20" s="1345" t="s">
        <v>1362</v>
      </c>
    </row>
    <row r="21" spans="1:8" ht="204.75" customHeight="1" x14ac:dyDescent="0.2">
      <c r="A21" s="1349" t="s">
        <v>1356</v>
      </c>
      <c r="B21" s="1333"/>
      <c r="C21" s="1333"/>
      <c r="D21" s="1333"/>
      <c r="E21" s="1333"/>
      <c r="F21" s="1333"/>
      <c r="G21" s="1333"/>
      <c r="H21" s="1346"/>
    </row>
    <row r="22" spans="1:8" x14ac:dyDescent="0.2">
      <c r="A22" s="1298"/>
    </row>
    <row r="23" spans="1:8" ht="324.75" customHeight="1" x14ac:dyDescent="0.2">
      <c r="A23" s="1349" t="s">
        <v>1358</v>
      </c>
      <c r="B23" s="1333"/>
      <c r="C23" s="1333"/>
      <c r="D23" s="1333"/>
      <c r="E23" s="1333"/>
      <c r="F23" s="1333"/>
      <c r="G23" s="1333"/>
      <c r="H23" s="1346" t="s">
        <v>1362</v>
      </c>
    </row>
    <row r="24" spans="1:8" ht="386.25" customHeight="1" x14ac:dyDescent="0.2">
      <c r="A24" s="1350" t="s">
        <v>1397</v>
      </c>
      <c r="B24" s="1339"/>
      <c r="C24" s="1339"/>
      <c r="D24" s="1339"/>
      <c r="E24" s="1339"/>
      <c r="F24" s="1339"/>
      <c r="G24" s="1339"/>
      <c r="H24" s="1346"/>
    </row>
    <row r="25" spans="1:8" ht="381.75" customHeight="1" x14ac:dyDescent="0.2">
      <c r="A25" s="1344" t="s">
        <v>1432</v>
      </c>
      <c r="B25" s="1343"/>
      <c r="C25" s="1343"/>
      <c r="D25" s="1343"/>
      <c r="E25" s="1343"/>
      <c r="F25" s="1343"/>
      <c r="G25" s="1343"/>
      <c r="H25" s="1346"/>
    </row>
    <row r="26" spans="1:8" ht="194.25" customHeight="1" x14ac:dyDescent="0.2">
      <c r="A26" s="1342" t="s">
        <v>1363</v>
      </c>
      <c r="B26" s="1343"/>
      <c r="C26" s="1343"/>
      <c r="D26" s="1343"/>
      <c r="E26" s="1343"/>
      <c r="F26" s="1343"/>
      <c r="G26" s="1343"/>
      <c r="H26" s="1346"/>
    </row>
    <row r="27" spans="1:8" ht="165" customHeight="1" x14ac:dyDescent="0.2">
      <c r="A27" s="1342" t="s">
        <v>1364</v>
      </c>
      <c r="B27" s="1343"/>
      <c r="C27" s="1343"/>
      <c r="D27" s="1343"/>
      <c r="E27" s="1343"/>
      <c r="F27" s="1343"/>
      <c r="G27" s="1343"/>
      <c r="H27" s="1346"/>
    </row>
    <row r="28" spans="1:8" ht="42.75" x14ac:dyDescent="0.2">
      <c r="B28" s="1302"/>
      <c r="E28" s="1288" t="s">
        <v>1365</v>
      </c>
      <c r="F28" s="1288" t="s">
        <v>1366</v>
      </c>
      <c r="H28" s="1346"/>
    </row>
    <row r="29" spans="1:8" x14ac:dyDescent="0.2">
      <c r="B29" s="1340" t="s">
        <v>387</v>
      </c>
      <c r="C29" s="1337"/>
      <c r="D29" s="1337"/>
      <c r="E29" s="1289" t="s">
        <v>1367</v>
      </c>
      <c r="F29" s="1289" t="s">
        <v>1368</v>
      </c>
      <c r="H29" s="1346"/>
    </row>
    <row r="30" spans="1:8" x14ac:dyDescent="0.2">
      <c r="B30" s="1340" t="s">
        <v>1369</v>
      </c>
      <c r="C30" s="1337"/>
      <c r="D30" s="1337"/>
      <c r="E30" s="1289" t="s">
        <v>1367</v>
      </c>
      <c r="F30" s="1289" t="s">
        <v>1368</v>
      </c>
      <c r="H30" s="1346"/>
    </row>
    <row r="31" spans="1:8" x14ac:dyDescent="0.2">
      <c r="B31" s="1340" t="s">
        <v>119</v>
      </c>
      <c r="C31" s="1337"/>
      <c r="D31" s="1337"/>
      <c r="E31" s="1289" t="s">
        <v>1367</v>
      </c>
      <c r="F31" s="1289" t="s">
        <v>1370</v>
      </c>
      <c r="H31" s="1346"/>
    </row>
    <row r="32" spans="1:8" x14ac:dyDescent="0.2">
      <c r="B32" s="1340" t="s">
        <v>55</v>
      </c>
      <c r="C32" s="1337"/>
      <c r="D32" s="1337"/>
      <c r="E32" s="1289" t="s">
        <v>1367</v>
      </c>
      <c r="F32" s="1289" t="s">
        <v>1368</v>
      </c>
      <c r="H32" s="1346"/>
    </row>
    <row r="33" spans="1:8" x14ac:dyDescent="0.2">
      <c r="B33" s="1340" t="s">
        <v>30</v>
      </c>
      <c r="C33" s="1337"/>
      <c r="D33" s="1337"/>
      <c r="E33" s="1289" t="s">
        <v>1367</v>
      </c>
      <c r="F33" s="1289" t="s">
        <v>1368</v>
      </c>
      <c r="H33" s="1346"/>
    </row>
    <row r="34" spans="1:8" x14ac:dyDescent="0.2">
      <c r="B34" s="1340" t="s">
        <v>31</v>
      </c>
      <c r="C34" s="1337"/>
      <c r="D34" s="1337"/>
      <c r="E34" s="1289" t="s">
        <v>1367</v>
      </c>
      <c r="F34" s="1289" t="s">
        <v>1368</v>
      </c>
      <c r="H34" s="1346"/>
    </row>
    <row r="35" spans="1:8" x14ac:dyDescent="0.2">
      <c r="B35" s="1340" t="s">
        <v>1371</v>
      </c>
      <c r="C35" s="1337"/>
      <c r="D35" s="1337"/>
      <c r="E35" s="1289" t="s">
        <v>1372</v>
      </c>
      <c r="F35" s="1289" t="s">
        <v>1372</v>
      </c>
      <c r="H35" s="1346"/>
    </row>
    <row r="36" spans="1:8" x14ac:dyDescent="0.2">
      <c r="H36" s="1346"/>
    </row>
    <row r="37" spans="1:8" ht="266.25" customHeight="1" x14ac:dyDescent="0.2">
      <c r="A37" s="1342" t="s">
        <v>1373</v>
      </c>
      <c r="B37" s="1343"/>
      <c r="C37" s="1343"/>
      <c r="D37" s="1343"/>
      <c r="E37" s="1343"/>
      <c r="F37" s="1343"/>
      <c r="G37" s="1343"/>
      <c r="H37" s="1346"/>
    </row>
    <row r="38" spans="1:8" ht="178.5" customHeight="1" x14ac:dyDescent="0.2">
      <c r="A38" s="1342" t="s">
        <v>1374</v>
      </c>
      <c r="B38" s="1343"/>
      <c r="C38" s="1343"/>
      <c r="D38" s="1343"/>
      <c r="E38" s="1343"/>
      <c r="F38" s="1343"/>
      <c r="G38" s="1343"/>
      <c r="H38" s="1346"/>
    </row>
    <row r="39" spans="1:8" ht="54" customHeight="1" x14ac:dyDescent="0.2">
      <c r="B39" s="1336" t="s">
        <v>1378</v>
      </c>
      <c r="C39" s="1340"/>
      <c r="D39" s="1337"/>
      <c r="E39" s="1337"/>
      <c r="F39" s="1337"/>
      <c r="H39" s="1346"/>
    </row>
    <row r="40" spans="1:8" ht="30" customHeight="1" x14ac:dyDescent="0.2">
      <c r="B40" s="1336" t="s">
        <v>1386</v>
      </c>
      <c r="C40" s="1337"/>
      <c r="D40" s="1337"/>
      <c r="E40" s="1337"/>
      <c r="F40" s="1287" t="s">
        <v>1375</v>
      </c>
      <c r="H40" s="1346"/>
    </row>
    <row r="41" spans="1:8" ht="33" customHeight="1" x14ac:dyDescent="0.2">
      <c r="B41" s="1336" t="s">
        <v>1385</v>
      </c>
      <c r="C41" s="1337"/>
      <c r="D41" s="1337"/>
      <c r="E41" s="1337"/>
      <c r="F41" s="1287" t="s">
        <v>1376</v>
      </c>
      <c r="H41" s="1346"/>
    </row>
    <row r="42" spans="1:8" ht="35.25" customHeight="1" x14ac:dyDescent="0.2">
      <c r="B42" s="1336" t="s">
        <v>1384</v>
      </c>
      <c r="C42" s="1337"/>
      <c r="D42" s="1337"/>
      <c r="E42" s="1337"/>
      <c r="F42" s="1287" t="s">
        <v>1377</v>
      </c>
      <c r="H42" s="1346"/>
    </row>
    <row r="43" spans="1:8" x14ac:dyDescent="0.2">
      <c r="B43" s="1341"/>
      <c r="C43" s="1341"/>
      <c r="D43" s="1337"/>
      <c r="E43" s="1337"/>
      <c r="F43" s="1337"/>
      <c r="H43" s="1346"/>
    </row>
    <row r="44" spans="1:8" ht="63.75" customHeight="1" x14ac:dyDescent="0.2">
      <c r="B44" s="1336" t="s">
        <v>1379</v>
      </c>
      <c r="C44" s="1340"/>
      <c r="D44" s="1337"/>
      <c r="E44" s="1337"/>
      <c r="F44" s="1337"/>
      <c r="H44" s="1346"/>
    </row>
    <row r="45" spans="1:8" ht="41.25" customHeight="1" x14ac:dyDescent="0.2">
      <c r="B45" s="1336" t="s">
        <v>1380</v>
      </c>
      <c r="C45" s="1337"/>
      <c r="D45" s="1337"/>
      <c r="E45" s="1337"/>
      <c r="F45" s="1290">
        <v>0.23</v>
      </c>
      <c r="H45" s="1346"/>
    </row>
    <row r="46" spans="1:8" ht="35.25" customHeight="1" x14ac:dyDescent="0.2">
      <c r="B46" s="1336" t="s">
        <v>1381</v>
      </c>
      <c r="C46" s="1337"/>
      <c r="D46" s="1337"/>
      <c r="E46" s="1337"/>
      <c r="F46" s="1290">
        <v>0.3</v>
      </c>
      <c r="H46" s="1346"/>
    </row>
    <row r="47" spans="1:8" ht="50.25" customHeight="1" x14ac:dyDescent="0.2">
      <c r="B47" s="1336" t="s">
        <v>1382</v>
      </c>
      <c r="C47" s="1337"/>
      <c r="D47" s="1337"/>
      <c r="E47" s="1337"/>
      <c r="F47" s="1290">
        <v>0.35</v>
      </c>
      <c r="H47" s="1346"/>
    </row>
    <row r="48" spans="1:8" ht="56.25" customHeight="1" x14ac:dyDescent="0.2">
      <c r="B48" s="1336" t="s">
        <v>1383</v>
      </c>
      <c r="C48" s="1337"/>
      <c r="D48" s="1337"/>
      <c r="E48" s="1337"/>
      <c r="F48" s="1290">
        <v>1.33</v>
      </c>
      <c r="H48" s="1346"/>
    </row>
    <row r="49" spans="1:8" x14ac:dyDescent="0.2">
      <c r="H49" s="1346"/>
    </row>
    <row r="50" spans="1:8" ht="360.75" customHeight="1" x14ac:dyDescent="0.2">
      <c r="A50" s="1338" t="s">
        <v>1398</v>
      </c>
      <c r="B50" s="1339"/>
      <c r="C50" s="1339"/>
      <c r="D50" s="1339"/>
      <c r="E50" s="1339"/>
      <c r="F50" s="1339"/>
      <c r="G50" s="1339"/>
      <c r="H50" s="1346"/>
    </row>
    <row r="51" spans="1:8" ht="166.5" customHeight="1" x14ac:dyDescent="0.2">
      <c r="A51" s="1342" t="s">
        <v>1399</v>
      </c>
      <c r="B51" s="1343"/>
      <c r="C51" s="1343"/>
      <c r="D51" s="1343"/>
      <c r="E51" s="1343"/>
      <c r="F51" s="1343"/>
      <c r="G51" s="1343"/>
      <c r="H51" s="1347"/>
    </row>
    <row r="53" spans="1:8" ht="46.5" customHeight="1" x14ac:dyDescent="0.2">
      <c r="A53" s="1332" t="s">
        <v>1387</v>
      </c>
      <c r="B53" s="1333"/>
      <c r="C53" s="1333"/>
      <c r="D53" s="1333"/>
      <c r="E53" s="1333"/>
      <c r="F53" s="1333"/>
      <c r="G53" s="1333"/>
      <c r="H53" s="1291" t="s">
        <v>1362</v>
      </c>
    </row>
    <row r="55" spans="1:8" ht="112.5" customHeight="1" x14ac:dyDescent="0.2">
      <c r="A55" s="1332" t="s">
        <v>1388</v>
      </c>
      <c r="B55" s="1333"/>
      <c r="C55" s="1333"/>
      <c r="D55" s="1333"/>
      <c r="E55" s="1333"/>
      <c r="F55" s="1333"/>
      <c r="G55" s="1333"/>
      <c r="H55" s="1292" t="s">
        <v>1362</v>
      </c>
    </row>
    <row r="57" spans="1:8" ht="106.5" customHeight="1" x14ac:dyDescent="0.2">
      <c r="A57" s="1332" t="s">
        <v>1389</v>
      </c>
      <c r="B57" s="1333"/>
      <c r="C57" s="1333"/>
      <c r="D57" s="1333"/>
      <c r="E57" s="1333"/>
      <c r="F57" s="1333"/>
      <c r="G57" s="1333"/>
      <c r="H57" s="1292" t="s">
        <v>1362</v>
      </c>
    </row>
  </sheetData>
  <sheetProtection algorithmName="SHA-512" hashValue="jrNhn8ldIhLKPN8/1LNLKWySuMAe5jtIxWsLmYkDSO9aC6D1dAOQIj2TUgICdjMsYm53vLrQnJCqplf5U0gDAg==" saltValue="ukCOTVgQ/e7BtVpwTN/cQQ==" spinCount="100000" sheet="1" objects="1" scenarios="1"/>
  <customSheetViews>
    <customSheetView guid="{9119B1A0-FD79-4FE4-B78E-10E0AEB8080B}" scale="130" showGridLines="0">
      <selection sqref="A1:G2"/>
      <pageMargins left="0.70866141732283472" right="0.70866141732283472" top="0.78740157480314965" bottom="0.78740157480314965" header="0.31496062992125984" footer="0.31496062992125984"/>
      <pageSetup paperSize="9" orientation="portrait"/>
      <headerFooter>
        <oddFooter xml:space="preserve">&amp;L&amp;8Version: 14.06.2022&amp;C&amp;8Verhandlungsunterlagen SGB XI (vereinfacht B1)&amp;R&amp;8PSK-Beschluss Nr. x-2022 vom xx </oddFooter>
      </headerFooter>
    </customSheetView>
  </customSheetViews>
  <mergeCells count="49">
    <mergeCell ref="A1:G1"/>
    <mergeCell ref="A3:G3"/>
    <mergeCell ref="A13:G13"/>
    <mergeCell ref="A8:G8"/>
    <mergeCell ref="A9:G9"/>
    <mergeCell ref="A4:G4"/>
    <mergeCell ref="A5:G5"/>
    <mergeCell ref="A7:G7"/>
    <mergeCell ref="A6:G6"/>
    <mergeCell ref="A18:G18"/>
    <mergeCell ref="A16:G16"/>
    <mergeCell ref="A14:G14"/>
    <mergeCell ref="A15:G15"/>
    <mergeCell ref="H13:H16"/>
    <mergeCell ref="H20:H21"/>
    <mergeCell ref="H23:H51"/>
    <mergeCell ref="A20:G20"/>
    <mergeCell ref="A21:G21"/>
    <mergeCell ref="A23:G23"/>
    <mergeCell ref="A24:G24"/>
    <mergeCell ref="B44:F44"/>
    <mergeCell ref="B35:D35"/>
    <mergeCell ref="A37:G37"/>
    <mergeCell ref="A38:G38"/>
    <mergeCell ref="B30:D30"/>
    <mergeCell ref="B31:D31"/>
    <mergeCell ref="B34:D34"/>
    <mergeCell ref="A51:G51"/>
    <mergeCell ref="A53:G53"/>
    <mergeCell ref="A26:G26"/>
    <mergeCell ref="A25:G25"/>
    <mergeCell ref="A27:G27"/>
    <mergeCell ref="B29:D29"/>
    <mergeCell ref="A55:G55"/>
    <mergeCell ref="A57:G57"/>
    <mergeCell ref="A10:G10"/>
    <mergeCell ref="A11:G11"/>
    <mergeCell ref="B45:E45"/>
    <mergeCell ref="B46:E46"/>
    <mergeCell ref="B47:E47"/>
    <mergeCell ref="B48:E48"/>
    <mergeCell ref="A50:G50"/>
    <mergeCell ref="B39:F39"/>
    <mergeCell ref="B40:E40"/>
    <mergeCell ref="B41:E41"/>
    <mergeCell ref="B42:E42"/>
    <mergeCell ref="B43:F43"/>
    <mergeCell ref="B32:D32"/>
    <mergeCell ref="B33:D33"/>
  </mergeCells>
  <hyperlinks>
    <hyperlink ref="A5:G5" location="B_PH_Hinweise!A13" display="1. Allgemeine Hinweise" xr:uid="{4CCDBF96-70C1-45BD-ADF4-3D2A5D01D348}"/>
    <hyperlink ref="H13:H16" location="B_PH_Hinweise!A4" display="zurück" xr:uid="{C13454B0-BCD4-4233-B119-92C2B19662D9}"/>
    <hyperlink ref="A6:G6" location="B_PH_Hinweise!A18" display="2. Aufforderungsunterlagen" xr:uid="{3E3E3B72-84E8-4112-AFDD-CF2CC68597B3}"/>
    <hyperlink ref="H18" location="B_PH_Hinweise!A4" display="zurück" xr:uid="{4973ED80-E53E-454A-B4A0-F1447EDE8EEE}"/>
    <hyperlink ref="H20:H21" location="B_PH_Hinweise!A4" display="zurück" xr:uid="{3802F69D-6671-4DE7-AFD5-B8F62FC0F32D}"/>
    <hyperlink ref="A7:G7" location="B_PH_Hinweise!A20" display="2.1. Allgemeine Angaben" xr:uid="{DDC22335-BE65-4056-A6CE-4085C8D49E0D}"/>
    <hyperlink ref="H23:H51" location="B_PH_Hinweise!A4" display="zurück" xr:uid="{4EE35071-082E-4C75-AC1A-D5A7AC132362}"/>
    <hyperlink ref="A8:G8" location="B_PH_Hinweise!A23" display="2.2.Kalkulation" xr:uid="{E196B4EB-18B3-428E-B4EB-CF40BA50E870}"/>
    <hyperlink ref="H53" location="B_PH_Hinweise!A4" display="zurück" xr:uid="{5D32B0A6-04A9-426A-A71F-6CB369C0C9CE}"/>
    <hyperlink ref="A9:G9" location="B_PH_Hinweise!A53" display="2.3.Bewohnervertretung" xr:uid="{2C45433C-D106-4448-93FC-A5E4B39E8C47}"/>
    <hyperlink ref="H55" location="B_PH_Hinweise!A4" display="zurück" xr:uid="{7F346385-2A8E-43F6-B5D8-101C103AC8AF}"/>
    <hyperlink ref="A10:G10" location="B_PH_Hinweise!A55" display="2.4. Ergebnis" xr:uid="{FA444A13-C7D7-434E-86AA-2296AD26F391}"/>
    <hyperlink ref="H57" location="B_PH_Hinweise!A4" display="zurück" xr:uid="{913D7579-22FF-42C6-8B52-446D3EB7F724}"/>
    <hyperlink ref="A11:G11" location="B_PH_Hinweise!A57" display="2.5. Gesamtkalkulation" xr:uid="{E92FEA4F-C4CE-4F58-AD1A-D3FDF9797906}"/>
  </hyperlinks>
  <pageMargins left="0.70866141732283472" right="0.70866141732283472" top="0.78740157480314965" bottom="0.78740157480314965" header="0.31496062992125984" footer="0.31496062992125984"/>
  <pageSetup paperSize="9" scale="95" fitToHeight="0" orientation="portrait"/>
  <headerFooter>
    <oddHeader>&amp;C&amp;9&amp;A Seite &amp;P</oddHeader>
    <oddFooter xml:space="preserve">&amp;L&amp;8Version: 19.10.2026&amp;C&amp;8Verhandlungsunterlagen SGB XI (vereinfacht PH)&amp;R&amp;8PSK-Beschluss vom 08.10.2026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U83"/>
  <sheetViews>
    <sheetView showGridLines="0" zoomScaleNormal="100" workbookViewId="0">
      <selection activeCell="L4" sqref="L4:M4"/>
    </sheetView>
  </sheetViews>
  <sheetFormatPr baseColWidth="10" defaultRowHeight="14.25" x14ac:dyDescent="0.2"/>
  <cols>
    <col min="1" max="1" width="4.625" style="3" customWidth="1"/>
    <col min="2" max="2" width="2.375" style="3" customWidth="1"/>
    <col min="3" max="3" width="14.25" style="3" customWidth="1"/>
    <col min="4" max="4" width="10.625" style="3" customWidth="1"/>
    <col min="5" max="7" width="3.125" style="3" customWidth="1"/>
    <col min="8" max="8" width="11" style="3"/>
    <col min="9" max="10" width="2.375" style="3" customWidth="1"/>
    <col min="11" max="11" width="12.625" style="3" customWidth="1"/>
    <col min="12" max="12" width="7.625" style="3" customWidth="1"/>
    <col min="13" max="13" width="10.75" style="3" customWidth="1"/>
    <col min="14" max="14" width="4.625" style="3" customWidth="1"/>
    <col min="15" max="15" width="46.25" customWidth="1"/>
    <col min="16" max="20" width="11" style="3" customWidth="1"/>
    <col min="21" max="27" width="11" customWidth="1"/>
  </cols>
  <sheetData>
    <row r="1" spans="1:20" ht="52.5" customHeight="1" x14ac:dyDescent="0.2">
      <c r="A1" s="1421" t="s">
        <v>1349</v>
      </c>
      <c r="B1" s="1422"/>
      <c r="C1" s="1422"/>
      <c r="D1" s="1422"/>
      <c r="E1" s="1422"/>
      <c r="F1" s="1422"/>
      <c r="G1" s="1422"/>
      <c r="H1" s="1422"/>
      <c r="I1" s="1422"/>
      <c r="J1" s="1422"/>
      <c r="K1" s="1422"/>
      <c r="L1" s="1422"/>
      <c r="M1" s="1422"/>
      <c r="N1" s="1423"/>
      <c r="O1" s="233"/>
      <c r="P1"/>
      <c r="Q1" s="98"/>
      <c r="R1" s="234"/>
      <c r="S1" s="235"/>
      <c r="T1"/>
    </row>
    <row r="2" spans="1:20" ht="15" customHeight="1" x14ac:dyDescent="0.25">
      <c r="A2" s="1424" t="s">
        <v>0</v>
      </c>
      <c r="B2" s="1425"/>
      <c r="C2" s="1425"/>
      <c r="D2" s="1425"/>
      <c r="E2" s="1425"/>
      <c r="F2" s="1425"/>
      <c r="G2" s="1425"/>
      <c r="H2" s="1425"/>
      <c r="I2" s="1425"/>
      <c r="J2" s="1425"/>
      <c r="K2" s="1425"/>
      <c r="L2" s="1425"/>
      <c r="M2" s="1425"/>
      <c r="N2" s="1426"/>
      <c r="O2" s="236"/>
      <c r="P2"/>
      <c r="Q2"/>
      <c r="R2"/>
      <c r="S2"/>
      <c r="T2"/>
    </row>
    <row r="3" spans="1:20" ht="15" x14ac:dyDescent="0.25">
      <c r="A3" s="1424" t="str">
        <f>IF('B_PH_Allgemeine Angaben'!D12&gt;0,CONCATENATE(D12,", ",'B_PH_Allgemeine Angaben'!D16," ",'B_PH_Allgemeine Angaben'!J16),"")</f>
        <v/>
      </c>
      <c r="B3" s="1425"/>
      <c r="C3" s="1425"/>
      <c r="D3" s="1425"/>
      <c r="E3" s="1425"/>
      <c r="F3" s="1425"/>
      <c r="G3" s="1425"/>
      <c r="H3" s="1425"/>
      <c r="I3" s="1425"/>
      <c r="J3" s="1425"/>
      <c r="K3" s="1425"/>
      <c r="L3" s="1425"/>
      <c r="M3" s="1425"/>
      <c r="N3" s="1426"/>
      <c r="O3" s="37"/>
      <c r="P3"/>
      <c r="Q3"/>
      <c r="R3"/>
      <c r="S3"/>
      <c r="T3"/>
    </row>
    <row r="4" spans="1:20" x14ac:dyDescent="0.2">
      <c r="A4" s="860" t="str">
        <f>IF(L6&gt;0,"IK  "&amp;TEXT(L6,"000  000  000"),"")</f>
        <v/>
      </c>
      <c r="B4" s="895"/>
      <c r="C4" s="895"/>
      <c r="D4" s="94"/>
      <c r="E4" s="94"/>
      <c r="F4" s="94"/>
      <c r="G4" s="94"/>
      <c r="H4" s="94"/>
      <c r="I4" s="94"/>
      <c r="J4" s="94"/>
      <c r="K4" s="191" t="s">
        <v>227</v>
      </c>
      <c r="L4" s="1432"/>
      <c r="M4" s="1433"/>
      <c r="N4" s="95"/>
      <c r="O4" s="50"/>
      <c r="P4"/>
      <c r="Q4"/>
      <c r="R4"/>
      <c r="S4"/>
      <c r="T4"/>
    </row>
    <row r="5" spans="1:20" ht="12.75" customHeight="1" thickBot="1" x14ac:dyDescent="0.25">
      <c r="A5" s="1430">
        <v>46314</v>
      </c>
      <c r="B5" s="1431"/>
      <c r="C5" s="861"/>
      <c r="N5" s="4"/>
      <c r="P5"/>
      <c r="Q5"/>
      <c r="R5"/>
      <c r="S5"/>
      <c r="T5"/>
    </row>
    <row r="6" spans="1:20" ht="15" thickBot="1" x14ac:dyDescent="0.25">
      <c r="A6" s="2"/>
      <c r="B6" s="5" t="s">
        <v>1</v>
      </c>
      <c r="D6" s="1427"/>
      <c r="E6" s="1428"/>
      <c r="F6" s="1428"/>
      <c r="G6" s="1429"/>
      <c r="I6" s="5"/>
      <c r="J6" s="5"/>
      <c r="K6" s="6" t="s">
        <v>249</v>
      </c>
      <c r="L6" s="1419"/>
      <c r="M6" s="1420"/>
      <c r="N6" s="4"/>
      <c r="O6" s="1"/>
      <c r="P6"/>
      <c r="Q6"/>
      <c r="R6"/>
      <c r="S6"/>
      <c r="T6"/>
    </row>
    <row r="7" spans="1:20" ht="14.45" customHeight="1" x14ac:dyDescent="0.2">
      <c r="A7" s="2"/>
      <c r="B7" s="7"/>
      <c r="C7" s="8"/>
      <c r="D7" s="471"/>
      <c r="E7" s="472" t="b">
        <f>IF(D6&gt;0,IF(D6="Wohnpflegeheim","WPH",""))</f>
        <v>0</v>
      </c>
      <c r="F7" s="473" t="str">
        <f>IF(D6="4. Generation","4.","")</f>
        <v/>
      </c>
      <c r="K7" s="265" t="s">
        <v>466</v>
      </c>
      <c r="L7" s="1419"/>
      <c r="M7" s="1420"/>
      <c r="N7" s="4"/>
      <c r="O7" s="237"/>
      <c r="P7"/>
      <c r="Q7"/>
      <c r="R7"/>
      <c r="S7"/>
      <c r="T7"/>
    </row>
    <row r="8" spans="1:20" ht="12.75" customHeight="1" x14ac:dyDescent="0.2">
      <c r="A8" s="2"/>
      <c r="B8" s="7"/>
      <c r="C8" s="8"/>
      <c r="D8" s="10"/>
      <c r="N8" s="4"/>
      <c r="O8" s="237"/>
      <c r="P8"/>
      <c r="Q8"/>
      <c r="R8"/>
      <c r="S8"/>
      <c r="T8"/>
    </row>
    <row r="9" spans="1:20" ht="12.75" customHeight="1" x14ac:dyDescent="0.2">
      <c r="A9" s="2"/>
      <c r="B9" s="7"/>
      <c r="C9" s="8"/>
      <c r="N9" s="4"/>
      <c r="P9"/>
      <c r="Q9"/>
      <c r="R9"/>
      <c r="S9"/>
      <c r="T9"/>
    </row>
    <row r="10" spans="1:20" x14ac:dyDescent="0.2">
      <c r="A10" s="2"/>
      <c r="B10" s="39" t="s">
        <v>3</v>
      </c>
      <c r="C10" s="38"/>
      <c r="D10" s="38"/>
      <c r="E10" s="38"/>
      <c r="F10" s="38"/>
      <c r="G10" s="38"/>
      <c r="H10" s="38"/>
      <c r="I10" s="38"/>
      <c r="J10" s="38"/>
      <c r="K10" s="38"/>
      <c r="L10" s="38"/>
      <c r="M10" s="38"/>
      <c r="N10" s="4"/>
      <c r="O10" s="238"/>
      <c r="P10"/>
      <c r="Q10"/>
      <c r="R10"/>
      <c r="S10"/>
      <c r="T10"/>
    </row>
    <row r="11" spans="1:20" ht="12.75" customHeight="1" x14ac:dyDescent="0.2">
      <c r="A11" s="2"/>
      <c r="D11" s="474" t="str">
        <f>IF(AND(D6=0,D12&lt;&gt;0),"bitte wählen Sie noch die Art der Einrichtung aus","")</f>
        <v/>
      </c>
      <c r="N11" s="4"/>
      <c r="O11" s="239"/>
      <c r="P11"/>
      <c r="Q11"/>
      <c r="R11"/>
      <c r="S11"/>
      <c r="T11"/>
    </row>
    <row r="12" spans="1:20" x14ac:dyDescent="0.2">
      <c r="A12" s="2"/>
      <c r="B12" s="11" t="s">
        <v>118</v>
      </c>
      <c r="D12" s="1403"/>
      <c r="E12" s="1402"/>
      <c r="F12" s="1402"/>
      <c r="G12" s="1402"/>
      <c r="H12" s="1402"/>
      <c r="I12" s="1402"/>
      <c r="J12" s="1402"/>
      <c r="K12" s="1402"/>
      <c r="L12" s="1402"/>
      <c r="M12" s="1402"/>
      <c r="N12" s="12"/>
      <c r="O12" s="240"/>
      <c r="P12"/>
      <c r="Q12"/>
      <c r="R12"/>
      <c r="S12"/>
      <c r="T12"/>
    </row>
    <row r="13" spans="1:20" x14ac:dyDescent="0.2">
      <c r="A13" s="2"/>
      <c r="D13" s="13" t="s">
        <v>4</v>
      </c>
      <c r="E13" s="13"/>
      <c r="J13" s="13"/>
      <c r="K13" s="13"/>
      <c r="L13" s="13"/>
      <c r="M13" s="13"/>
      <c r="N13" s="14"/>
      <c r="P13"/>
      <c r="Q13"/>
      <c r="R13"/>
      <c r="S13"/>
      <c r="T13"/>
    </row>
    <row r="14" spans="1:20" x14ac:dyDescent="0.2">
      <c r="A14" s="2"/>
      <c r="D14" s="1403"/>
      <c r="E14" s="1402"/>
      <c r="F14" s="1402"/>
      <c r="G14" s="1402"/>
      <c r="H14" s="1402"/>
      <c r="I14" s="1402"/>
      <c r="J14" s="1402"/>
      <c r="K14" s="1402"/>
      <c r="L14" s="1402"/>
      <c r="M14" s="1402"/>
      <c r="N14" s="4"/>
      <c r="P14"/>
      <c r="Q14"/>
      <c r="R14"/>
      <c r="S14"/>
      <c r="T14"/>
    </row>
    <row r="15" spans="1:20" x14ac:dyDescent="0.2">
      <c r="A15" s="2"/>
      <c r="D15" s="13" t="s">
        <v>5</v>
      </c>
      <c r="E15" s="13"/>
      <c r="N15" s="4"/>
      <c r="O15" s="241"/>
      <c r="P15"/>
      <c r="Q15"/>
      <c r="R15"/>
      <c r="S15"/>
      <c r="T15"/>
    </row>
    <row r="16" spans="1:20" x14ac:dyDescent="0.2">
      <c r="A16" s="2"/>
      <c r="D16" s="1400"/>
      <c r="E16" s="1401"/>
      <c r="F16" s="1401"/>
      <c r="G16" s="1401"/>
      <c r="H16" s="1401"/>
      <c r="I16"/>
      <c r="J16" s="1406"/>
      <c r="K16" s="1407"/>
      <c r="L16" s="1407"/>
      <c r="M16" s="1407"/>
      <c r="N16" s="4"/>
      <c r="O16" s="242"/>
      <c r="P16"/>
      <c r="Q16"/>
      <c r="R16"/>
      <c r="S16"/>
      <c r="T16"/>
    </row>
    <row r="17" spans="1:20" x14ac:dyDescent="0.2">
      <c r="A17" s="2"/>
      <c r="D17" s="13" t="s">
        <v>428</v>
      </c>
      <c r="E17" s="13"/>
      <c r="J17" s="748" t="s">
        <v>429</v>
      </c>
      <c r="N17" s="4"/>
      <c r="P17"/>
      <c r="Q17"/>
      <c r="R17"/>
      <c r="S17"/>
      <c r="T17"/>
    </row>
    <row r="18" spans="1:20" x14ac:dyDescent="0.2">
      <c r="A18" s="2"/>
      <c r="D18" s="1400"/>
      <c r="E18" s="1401"/>
      <c r="F18" s="1401"/>
      <c r="G18" s="1401"/>
      <c r="H18" s="1402"/>
      <c r="J18" s="1396"/>
      <c r="K18" s="1397"/>
      <c r="L18" s="1397"/>
      <c r="M18" s="1397"/>
      <c r="N18" s="4"/>
      <c r="O18" s="243"/>
      <c r="P18"/>
      <c r="Q18"/>
      <c r="R18"/>
      <c r="S18"/>
      <c r="T18"/>
    </row>
    <row r="19" spans="1:20" x14ac:dyDescent="0.2">
      <c r="A19" s="2"/>
      <c r="D19" s="13" t="s">
        <v>6</v>
      </c>
      <c r="E19" s="13"/>
      <c r="J19" s="13" t="s">
        <v>7</v>
      </c>
      <c r="K19" s="13"/>
      <c r="L19" s="13"/>
      <c r="N19" s="4"/>
      <c r="P19"/>
      <c r="Q19"/>
      <c r="R19"/>
      <c r="S19"/>
      <c r="T19"/>
    </row>
    <row r="20" spans="1:20" x14ac:dyDescent="0.2">
      <c r="A20" s="2"/>
      <c r="D20" s="1404"/>
      <c r="E20" s="1401"/>
      <c r="F20" s="1401"/>
      <c r="G20" s="1401"/>
      <c r="H20" s="1402"/>
      <c r="J20" s="1405"/>
      <c r="K20" s="1397"/>
      <c r="L20" s="1397"/>
      <c r="M20" s="1397"/>
      <c r="N20" s="4"/>
      <c r="P20"/>
      <c r="Q20"/>
      <c r="R20" s="89"/>
      <c r="S20"/>
      <c r="T20"/>
    </row>
    <row r="21" spans="1:20" x14ac:dyDescent="0.2">
      <c r="A21" s="2"/>
      <c r="D21" s="13" t="s">
        <v>8</v>
      </c>
      <c r="E21" s="13"/>
      <c r="J21" s="15" t="s">
        <v>120</v>
      </c>
      <c r="N21" s="4"/>
      <c r="P21"/>
      <c r="Q21"/>
      <c r="R21"/>
      <c r="S21"/>
      <c r="T21"/>
    </row>
    <row r="22" spans="1:20" ht="14.25" customHeight="1" x14ac:dyDescent="0.2">
      <c r="A22" s="2"/>
      <c r="D22" s="1400"/>
      <c r="E22" s="1401"/>
      <c r="F22" s="1401"/>
      <c r="G22" s="1401"/>
      <c r="H22" s="1402"/>
      <c r="J22" s="1396"/>
      <c r="K22" s="1397"/>
      <c r="L22" s="1397"/>
      <c r="M22" s="1397"/>
      <c r="N22" s="4"/>
      <c r="P22"/>
      <c r="Q22"/>
      <c r="R22"/>
      <c r="S22"/>
      <c r="T22"/>
    </row>
    <row r="23" spans="1:20" x14ac:dyDescent="0.2">
      <c r="A23" s="2"/>
      <c r="D23" s="13" t="s">
        <v>119</v>
      </c>
      <c r="E23" s="13"/>
      <c r="J23" s="13" t="s">
        <v>9</v>
      </c>
      <c r="K23" s="13"/>
      <c r="L23" s="13"/>
      <c r="N23" s="4"/>
      <c r="P23"/>
      <c r="Q23"/>
      <c r="R23"/>
      <c r="S23"/>
      <c r="T23"/>
    </row>
    <row r="24" spans="1:20" ht="12.75" customHeight="1" x14ac:dyDescent="0.2">
      <c r="A24" s="2"/>
      <c r="D24" s="13"/>
      <c r="E24" s="13"/>
      <c r="J24" s="15"/>
      <c r="N24" s="4"/>
      <c r="P24"/>
      <c r="Q24"/>
      <c r="R24"/>
      <c r="S24"/>
      <c r="T24"/>
    </row>
    <row r="25" spans="1:20" ht="12.75" customHeight="1" x14ac:dyDescent="0.2">
      <c r="A25" s="2"/>
      <c r="D25" s="13"/>
      <c r="E25" s="13"/>
      <c r="N25" s="4"/>
      <c r="P25"/>
      <c r="Q25"/>
      <c r="R25"/>
      <c r="S25"/>
      <c r="T25"/>
    </row>
    <row r="26" spans="1:20" x14ac:dyDescent="0.2">
      <c r="A26" s="2"/>
      <c r="B26" s="11" t="s">
        <v>10</v>
      </c>
      <c r="D26" s="1403"/>
      <c r="E26" s="1403"/>
      <c r="F26" s="1403"/>
      <c r="G26" s="1403"/>
      <c r="H26" s="1403"/>
      <c r="I26" s="1403"/>
      <c r="J26" s="1403"/>
      <c r="K26" s="1403"/>
      <c r="L26" s="1403"/>
      <c r="M26" s="1403"/>
      <c r="N26" s="4"/>
      <c r="P26"/>
      <c r="Q26"/>
      <c r="R26"/>
      <c r="S26"/>
      <c r="T26"/>
    </row>
    <row r="27" spans="1:20" x14ac:dyDescent="0.2">
      <c r="A27" s="2"/>
      <c r="D27" s="13" t="s">
        <v>11</v>
      </c>
      <c r="E27" s="13"/>
      <c r="N27" s="4"/>
      <c r="P27"/>
      <c r="Q27"/>
      <c r="R27"/>
      <c r="S27"/>
      <c r="T27"/>
    </row>
    <row r="28" spans="1:20" x14ac:dyDescent="0.2">
      <c r="A28" s="2"/>
      <c r="D28" s="1403"/>
      <c r="E28" s="1402"/>
      <c r="F28" s="1402"/>
      <c r="G28" s="1402"/>
      <c r="H28" s="1402"/>
      <c r="I28" s="1402"/>
      <c r="J28" s="1402"/>
      <c r="K28" s="1402"/>
      <c r="L28" s="1402"/>
      <c r="M28" s="1402"/>
      <c r="N28" s="4"/>
      <c r="P28"/>
      <c r="Q28"/>
      <c r="R28"/>
      <c r="S28"/>
      <c r="T28"/>
    </row>
    <row r="29" spans="1:20" ht="14.25" customHeight="1" x14ac:dyDescent="0.2">
      <c r="A29" s="2"/>
      <c r="D29" s="13" t="s">
        <v>5</v>
      </c>
      <c r="E29" s="13"/>
      <c r="N29" s="4"/>
      <c r="P29"/>
      <c r="Q29"/>
      <c r="R29"/>
      <c r="S29"/>
      <c r="T29"/>
    </row>
    <row r="30" spans="1:20" x14ac:dyDescent="0.2">
      <c r="A30" s="2"/>
      <c r="D30" s="1396"/>
      <c r="E30" s="1397"/>
      <c r="F30" s="1397"/>
      <c r="G30" s="1397"/>
      <c r="H30" s="1397"/>
      <c r="I30" s="799"/>
      <c r="J30" s="1398"/>
      <c r="K30" s="1399"/>
      <c r="L30" s="1399"/>
      <c r="M30" s="1399"/>
      <c r="N30" s="4"/>
      <c r="P30"/>
      <c r="Q30"/>
      <c r="R30"/>
      <c r="S30"/>
      <c r="T30"/>
    </row>
    <row r="31" spans="1:20" x14ac:dyDescent="0.2">
      <c r="A31" s="2"/>
      <c r="D31" s="13" t="s">
        <v>428</v>
      </c>
      <c r="E31" s="13"/>
      <c r="J31" s="748" t="s">
        <v>429</v>
      </c>
      <c r="N31" s="4"/>
      <c r="P31"/>
      <c r="Q31"/>
      <c r="R31"/>
      <c r="S31"/>
      <c r="T31"/>
    </row>
    <row r="32" spans="1:20" x14ac:dyDescent="0.2">
      <c r="A32" s="2"/>
      <c r="D32" s="1400"/>
      <c r="E32" s="1401"/>
      <c r="F32" s="1401"/>
      <c r="G32" s="1401"/>
      <c r="H32" s="1402"/>
      <c r="J32" s="1396"/>
      <c r="K32" s="1397"/>
      <c r="L32" s="1397"/>
      <c r="M32" s="1397"/>
      <c r="N32" s="4"/>
      <c r="P32"/>
      <c r="Q32"/>
      <c r="R32"/>
      <c r="S32"/>
      <c r="T32"/>
    </row>
    <row r="33" spans="1:20" x14ac:dyDescent="0.2">
      <c r="A33" s="2"/>
      <c r="D33" s="13" t="s">
        <v>6</v>
      </c>
      <c r="E33" s="13"/>
      <c r="J33" s="13" t="s">
        <v>7</v>
      </c>
      <c r="K33" s="13"/>
      <c r="L33" s="13"/>
      <c r="M33" s="13"/>
      <c r="N33" s="14"/>
      <c r="P33"/>
      <c r="Q33"/>
      <c r="R33"/>
      <c r="S33"/>
      <c r="T33"/>
    </row>
    <row r="34" spans="1:20" x14ac:dyDescent="0.2">
      <c r="A34" s="2"/>
      <c r="D34" s="1404"/>
      <c r="E34" s="1401"/>
      <c r="F34" s="1401"/>
      <c r="G34" s="1401"/>
      <c r="H34" s="1402"/>
      <c r="J34" s="1405"/>
      <c r="K34" s="1397"/>
      <c r="L34" s="1397"/>
      <c r="M34" s="1397"/>
      <c r="N34" s="4"/>
    </row>
    <row r="35" spans="1:20" x14ac:dyDescent="0.2">
      <c r="A35" s="2"/>
      <c r="D35" s="13" t="s">
        <v>8</v>
      </c>
      <c r="E35" s="13"/>
      <c r="J35" s="15" t="s">
        <v>120</v>
      </c>
      <c r="N35" s="4"/>
    </row>
    <row r="36" spans="1:20" x14ac:dyDescent="0.2">
      <c r="A36" s="2"/>
      <c r="D36" s="1403"/>
      <c r="E36" s="1402"/>
      <c r="F36" s="1402"/>
      <c r="G36" s="1402"/>
      <c r="H36" s="1402"/>
      <c r="I36" s="1402"/>
      <c r="J36" s="1402"/>
      <c r="K36" s="1402"/>
      <c r="L36" s="1402"/>
      <c r="M36" s="1402"/>
      <c r="N36" s="4"/>
      <c r="O36" s="241"/>
    </row>
    <row r="37" spans="1:20" x14ac:dyDescent="0.2">
      <c r="A37" s="2"/>
      <c r="D37" s="13" t="s">
        <v>176</v>
      </c>
      <c r="E37" s="13"/>
      <c r="J37" s="15"/>
      <c r="N37" s="4"/>
    </row>
    <row r="38" spans="1:20" ht="5.25" customHeight="1" x14ac:dyDescent="0.2">
      <c r="A38" s="2"/>
      <c r="D38" s="13"/>
      <c r="E38" s="13"/>
      <c r="N38" s="4"/>
    </row>
    <row r="39" spans="1:20" x14ac:dyDescent="0.2">
      <c r="A39" s="2"/>
      <c r="B39" s="39" t="s">
        <v>12</v>
      </c>
      <c r="C39" s="38"/>
      <c r="D39" s="62"/>
      <c r="E39" s="62"/>
      <c r="F39" s="38"/>
      <c r="G39" s="38"/>
      <c r="H39" s="38"/>
      <c r="I39" s="38"/>
      <c r="J39" s="38"/>
      <c r="K39" s="38"/>
      <c r="L39" s="38"/>
      <c r="M39" s="38"/>
      <c r="N39" s="4"/>
    </row>
    <row r="40" spans="1:20" ht="6" customHeight="1" x14ac:dyDescent="0.2">
      <c r="A40" s="2"/>
      <c r="D40" s="13"/>
      <c r="E40" s="13"/>
      <c r="N40" s="4"/>
    </row>
    <row r="41" spans="1:20" x14ac:dyDescent="0.2">
      <c r="A41" s="2"/>
      <c r="C41" s="202"/>
      <c r="E41" s="11"/>
      <c r="G41" s="17" t="s">
        <v>13</v>
      </c>
      <c r="H41" s="1408"/>
      <c r="I41" s="1402"/>
      <c r="J41" s="1402"/>
      <c r="K41" s="1402"/>
      <c r="L41" s="1402"/>
      <c r="M41" s="1402"/>
      <c r="N41" s="4"/>
    </row>
    <row r="42" spans="1:20" ht="6" customHeight="1" x14ac:dyDescent="0.2">
      <c r="A42" s="2"/>
      <c r="D42" s="13"/>
      <c r="E42" s="13"/>
      <c r="N42" s="4"/>
    </row>
    <row r="43" spans="1:20" s="3" customFormat="1" ht="12.75" customHeight="1" x14ac:dyDescent="0.2">
      <c r="A43" s="2"/>
      <c r="B43" s="11" t="s">
        <v>14</v>
      </c>
      <c r="D43" s="13"/>
      <c r="E43" s="13"/>
      <c r="I43" s="162"/>
      <c r="N43" s="4"/>
      <c r="O43" s="244"/>
    </row>
    <row r="44" spans="1:20" s="3" customFormat="1" ht="5.25" customHeight="1" x14ac:dyDescent="0.2">
      <c r="A44" s="2"/>
      <c r="B44" s="11"/>
      <c r="D44" s="13"/>
      <c r="E44" s="13"/>
      <c r="I44" s="138"/>
      <c r="N44" s="4"/>
      <c r="O44" s="244"/>
    </row>
    <row r="45" spans="1:20" s="3" customFormat="1" ht="12.75" customHeight="1" x14ac:dyDescent="0.2">
      <c r="A45" s="2"/>
      <c r="B45" s="5" t="s">
        <v>344</v>
      </c>
      <c r="D45" s="13"/>
      <c r="E45" s="13"/>
      <c r="H45" s="485"/>
      <c r="I45" s="138"/>
      <c r="K45" s="488">
        <f>DATEDIF(H45,H52,"m")</f>
        <v>0</v>
      </c>
      <c r="N45" s="4"/>
      <c r="O45" s="244"/>
    </row>
    <row r="46" spans="1:20" ht="12.75" customHeight="1" thickBot="1" x14ac:dyDescent="0.25">
      <c r="A46" s="2"/>
      <c r="D46" s="13"/>
      <c r="E46" s="13"/>
      <c r="K46" s="474" t="str">
        <f>IF(AND(H45="",H52&lt;&gt;""),"Bitte Erfassung des Zulassungsdatums!","")</f>
        <v/>
      </c>
      <c r="N46" s="4"/>
      <c r="O46" s="244"/>
    </row>
    <row r="47" spans="1:20" ht="15" thickBot="1" x14ac:dyDescent="0.25">
      <c r="A47" s="2"/>
      <c r="B47" s="16" t="s">
        <v>15</v>
      </c>
      <c r="L47" s="203"/>
      <c r="N47" s="4"/>
    </row>
    <row r="48" spans="1:20" ht="14.45" customHeight="1" thickBot="1" x14ac:dyDescent="0.25">
      <c r="A48" s="2"/>
      <c r="B48" s="607" t="s">
        <v>467</v>
      </c>
      <c r="L48" s="203"/>
      <c r="M48" s="488">
        <f>IF(L48&gt;0,1,0)</f>
        <v>0</v>
      </c>
      <c r="N48" s="4"/>
      <c r="O48" s="91"/>
      <c r="P48" s="238"/>
      <c r="Q48" s="245"/>
    </row>
    <row r="49" spans="1:21" ht="12.75" customHeight="1" x14ac:dyDescent="0.2">
      <c r="A49" s="2"/>
      <c r="B49" s="16"/>
      <c r="H49" s="701"/>
      <c r="L49" s="881" t="str">
        <f>IF(AND(L48&gt;0,L7=0),"Bitte IK für KZP angeben.","")</f>
        <v/>
      </c>
      <c r="N49" s="4"/>
      <c r="O49" s="91"/>
      <c r="P49" s="238"/>
      <c r="Q49" s="245"/>
    </row>
    <row r="50" spans="1:21" ht="12.75" customHeight="1" x14ac:dyDescent="0.2">
      <c r="A50" s="163"/>
      <c r="B50" s="164" t="s">
        <v>16</v>
      </c>
      <c r="C50" s="18"/>
      <c r="D50" s="18"/>
      <c r="E50" s="165"/>
      <c r="F50" s="166"/>
      <c r="G50" s="166"/>
      <c r="H50" s="205"/>
      <c r="L50" s="17"/>
      <c r="M50"/>
      <c r="N50" s="19"/>
      <c r="O50" s="91"/>
      <c r="P50" s="238"/>
      <c r="Q50" s="246"/>
      <c r="R50" s="247"/>
    </row>
    <row r="51" spans="1:21" ht="5.25" customHeight="1" thickBot="1" x14ac:dyDescent="0.25">
      <c r="A51" s="2"/>
      <c r="B51" s="16"/>
      <c r="N51" s="4"/>
      <c r="O51" s="91" t="s">
        <v>350</v>
      </c>
    </row>
    <row r="52" spans="1:21" s="168" customFormat="1" ht="13.5" thickBot="1" x14ac:dyDescent="0.25">
      <c r="A52" s="167"/>
      <c r="B52" s="164" t="s">
        <v>334</v>
      </c>
      <c r="E52" s="169"/>
      <c r="F52" s="1409" t="s">
        <v>17</v>
      </c>
      <c r="G52" s="1409"/>
      <c r="H52" s="419"/>
      <c r="I52" s="170"/>
      <c r="J52" s="171" t="s">
        <v>18</v>
      </c>
      <c r="K52" s="419"/>
      <c r="M52" s="803">
        <f>IFERROR(DATEDIF(H52,K52,"m")+1,0)</f>
        <v>1</v>
      </c>
      <c r="N52" s="172"/>
      <c r="P52" s="11"/>
      <c r="Q52" s="11"/>
      <c r="R52" s="11"/>
      <c r="S52" s="11"/>
      <c r="T52" s="11"/>
      <c r="U52" s="186"/>
    </row>
    <row r="53" spans="1:21" s="168" customFormat="1" ht="5.25" customHeight="1" x14ac:dyDescent="0.2">
      <c r="A53" s="167"/>
      <c r="B53" s="164"/>
      <c r="E53" s="169"/>
      <c r="F53" s="187"/>
      <c r="G53" s="187"/>
      <c r="H53" s="206"/>
      <c r="I53" s="188"/>
      <c r="J53" s="189"/>
      <c r="K53" s="207"/>
      <c r="M53" s="803">
        <f>IF(H52&lt;DATEVALUE("01.01.2027"),1,2)</f>
        <v>1</v>
      </c>
      <c r="N53" s="172"/>
      <c r="P53" s="11"/>
      <c r="Q53" s="11"/>
      <c r="R53" s="11"/>
      <c r="S53" s="11"/>
      <c r="T53" s="11"/>
      <c r="U53" s="186"/>
    </row>
    <row r="54" spans="1:21" s="168" customFormat="1" ht="12.75" x14ac:dyDescent="0.2">
      <c r="A54" s="167"/>
      <c r="B54" s="164" t="s">
        <v>287</v>
      </c>
      <c r="E54" s="169"/>
      <c r="F54" s="1409" t="s">
        <v>17</v>
      </c>
      <c r="G54" s="1409"/>
      <c r="H54" s="801"/>
      <c r="I54" s="170"/>
      <c r="J54" s="171" t="s">
        <v>18</v>
      </c>
      <c r="K54" s="205"/>
      <c r="N54" s="172"/>
      <c r="P54" s="11"/>
      <c r="Q54" s="11"/>
      <c r="R54" s="11"/>
      <c r="S54" s="11"/>
      <c r="T54" s="11"/>
      <c r="U54" s="186"/>
    </row>
    <row r="55" spans="1:21" s="168" customFormat="1" ht="12.75" x14ac:dyDescent="0.2">
      <c r="A55" s="167"/>
      <c r="B55" s="164"/>
      <c r="E55" s="169"/>
      <c r="F55" s="187"/>
      <c r="G55" s="187"/>
      <c r="H55" s="800"/>
      <c r="I55" s="170"/>
      <c r="J55" s="802" t="str">
        <f>IF(K54&gt;H52,"Vereinbarungsbeginn liegt vor dem Ende der Vorvereinbarung.","")</f>
        <v/>
      </c>
      <c r="K55" s="800"/>
      <c r="N55" s="172"/>
      <c r="P55" s="11"/>
      <c r="Q55" s="11"/>
      <c r="R55" s="11"/>
      <c r="S55" s="11"/>
      <c r="T55" s="11"/>
      <c r="U55" s="186"/>
    </row>
    <row r="56" spans="1:21" s="168" customFormat="1" ht="12.75" x14ac:dyDescent="0.2">
      <c r="A56" s="167"/>
      <c r="B56" s="127" t="s">
        <v>372</v>
      </c>
      <c r="C56" s="248"/>
      <c r="D56" s="248"/>
      <c r="E56" s="579"/>
      <c r="F56" s="580"/>
      <c r="G56" s="580"/>
      <c r="H56" s="608"/>
      <c r="I56" s="609"/>
      <c r="J56" s="610"/>
      <c r="K56" s="611"/>
      <c r="L56" s="611"/>
      <c r="M56" s="611"/>
      <c r="N56" s="172"/>
      <c r="P56" s="11"/>
      <c r="Q56" s="11"/>
      <c r="R56" s="11"/>
      <c r="S56" s="11"/>
      <c r="T56" s="11"/>
      <c r="U56" s="186"/>
    </row>
    <row r="57" spans="1:21" s="168" customFormat="1" ht="12.75" x14ac:dyDescent="0.2">
      <c r="A57" s="167"/>
      <c r="B57" s="127" t="s">
        <v>375</v>
      </c>
      <c r="C57" s="248"/>
      <c r="D57" s="248"/>
      <c r="E57" s="579"/>
      <c r="F57" s="580"/>
      <c r="G57" s="580"/>
      <c r="H57" s="1416"/>
      <c r="I57" s="1417"/>
      <c r="J57" s="1418"/>
      <c r="K57" s="611"/>
      <c r="L57" s="611"/>
      <c r="M57" s="611"/>
      <c r="N57" s="172"/>
      <c r="P57" s="11"/>
      <c r="Q57" s="11"/>
      <c r="R57" s="11"/>
      <c r="S57" s="11"/>
      <c r="T57" s="11"/>
      <c r="U57" s="186"/>
    </row>
    <row r="58" spans="1:21" s="168" customFormat="1" ht="12.75" x14ac:dyDescent="0.2">
      <c r="A58" s="167"/>
      <c r="B58" s="127" t="s">
        <v>373</v>
      </c>
      <c r="C58" s="248"/>
      <c r="D58" s="248"/>
      <c r="E58" s="579"/>
      <c r="F58" s="580"/>
      <c r="G58" s="580"/>
      <c r="H58" s="1413"/>
      <c r="I58" s="1414"/>
      <c r="J58" s="1414"/>
      <c r="K58" s="1414"/>
      <c r="L58" s="1414"/>
      <c r="M58" s="1415"/>
      <c r="N58" s="172"/>
      <c r="P58" s="11"/>
      <c r="Q58" s="11"/>
      <c r="R58" s="11"/>
      <c r="S58" s="11"/>
      <c r="T58" s="11"/>
      <c r="U58" s="186"/>
    </row>
    <row r="59" spans="1:21" s="168" customFormat="1" ht="12.75" x14ac:dyDescent="0.2">
      <c r="A59" s="167"/>
      <c r="B59" s="127" t="s">
        <v>374</v>
      </c>
      <c r="C59" s="248"/>
      <c r="D59" s="248"/>
      <c r="E59" s="579"/>
      <c r="F59" s="580"/>
      <c r="G59" s="580"/>
      <c r="H59" s="612"/>
      <c r="I59" s="613"/>
      <c r="J59" s="770" t="str">
        <f>IF(AND(H58="",H57&lt;&gt;"rüE"),"Bitte Angaben zum Tarif / AVR vornehmen.","")</f>
        <v>Bitte Angaben zum Tarif / AVR vornehmen.</v>
      </c>
      <c r="L59" s="613"/>
      <c r="N59" s="746">
        <v>0</v>
      </c>
      <c r="P59" s="11"/>
      <c r="Q59" s="11"/>
      <c r="R59" s="11"/>
      <c r="S59" s="11"/>
      <c r="T59" s="11"/>
      <c r="U59" s="186"/>
    </row>
    <row r="60" spans="1:21" ht="12.75" customHeight="1" x14ac:dyDescent="0.2">
      <c r="A60" s="2"/>
      <c r="B60" s="16"/>
      <c r="N60" s="4"/>
    </row>
    <row r="61" spans="1:21" ht="12.75" customHeight="1" x14ac:dyDescent="0.2">
      <c r="A61" s="20"/>
      <c r="B61" s="173" t="s">
        <v>141</v>
      </c>
      <c r="C61" s="174"/>
      <c r="D61" s="174"/>
      <c r="E61" s="174"/>
      <c r="F61" s="174"/>
      <c r="G61" s="174"/>
      <c r="H61" s="174"/>
      <c r="I61" s="174"/>
      <c r="J61" s="174"/>
      <c r="K61" s="174"/>
      <c r="L61" s="174"/>
      <c r="M61" s="174"/>
      <c r="N61" s="19"/>
    </row>
    <row r="62" spans="1:21" ht="6.75" customHeight="1" x14ac:dyDescent="0.2">
      <c r="A62" s="20"/>
      <c r="B62" s="164"/>
      <c r="C62"/>
      <c r="D62"/>
      <c r="E62"/>
      <c r="F62"/>
      <c r="G62"/>
      <c r="H62"/>
      <c r="I62"/>
      <c r="J62"/>
      <c r="K62"/>
      <c r="L62"/>
      <c r="M62"/>
      <c r="N62" s="19"/>
    </row>
    <row r="63" spans="1:21" ht="15" customHeight="1" x14ac:dyDescent="0.2">
      <c r="A63" s="20"/>
      <c r="B63"/>
      <c r="C63" s="100" t="s">
        <v>1434</v>
      </c>
      <c r="D63" s="21"/>
      <c r="E63" s="175"/>
      <c r="F63" s="175"/>
      <c r="G63" s="67"/>
      <c r="H63" s="22"/>
      <c r="I63" s="176"/>
      <c r="J63" s="177"/>
      <c r="K63" s="96"/>
      <c r="L63" s="21"/>
      <c r="M63" s="96"/>
      <c r="N63" s="4"/>
      <c r="O63" s="248"/>
    </row>
    <row r="64" spans="1:21" s="168" customFormat="1" ht="14.25" customHeight="1" x14ac:dyDescent="0.2">
      <c r="A64" s="167"/>
      <c r="C64" s="178" t="s">
        <v>19</v>
      </c>
      <c r="D64" s="179"/>
      <c r="E64" s="179"/>
      <c r="F64" s="179"/>
      <c r="G64" s="179"/>
      <c r="H64" s="66" t="s">
        <v>142</v>
      </c>
      <c r="I64" s="179"/>
      <c r="J64" s="179"/>
      <c r="K64" s="416"/>
      <c r="M64" s="172"/>
      <c r="N64" s="172"/>
      <c r="P64" s="11"/>
      <c r="Q64" s="11"/>
      <c r="R64" s="11"/>
      <c r="S64" s="11"/>
      <c r="T64" s="11"/>
    </row>
    <row r="65" spans="1:20" s="168" customFormat="1" ht="14.25" customHeight="1" x14ac:dyDescent="0.2">
      <c r="A65" s="167"/>
      <c r="C65" s="178" t="s">
        <v>20</v>
      </c>
      <c r="D65" s="179"/>
      <c r="E65" s="179"/>
      <c r="F65" s="179"/>
      <c r="G65" s="179"/>
      <c r="H65" s="66" t="s">
        <v>142</v>
      </c>
      <c r="I65" s="179"/>
      <c r="J65" s="179"/>
      <c r="K65" s="417"/>
      <c r="L65" s="180"/>
      <c r="M65" s="181"/>
      <c r="N65" s="172"/>
      <c r="P65" s="11"/>
      <c r="Q65" s="11"/>
      <c r="R65" s="11"/>
      <c r="S65" s="11"/>
      <c r="T65" s="11"/>
    </row>
    <row r="66" spans="1:20" s="168" customFormat="1" ht="14.25" customHeight="1" x14ac:dyDescent="0.2">
      <c r="A66" s="167"/>
      <c r="C66" s="178" t="s">
        <v>21</v>
      </c>
      <c r="D66" s="179"/>
      <c r="E66" s="179"/>
      <c r="F66" s="179"/>
      <c r="G66" s="179"/>
      <c r="H66" s="66" t="s">
        <v>142</v>
      </c>
      <c r="I66" s="179"/>
      <c r="J66" s="179"/>
      <c r="K66" s="417"/>
      <c r="L66" s="180"/>
      <c r="M66" s="181"/>
      <c r="N66" s="172"/>
      <c r="P66" s="11"/>
      <c r="Q66" s="11"/>
      <c r="R66" s="11"/>
      <c r="S66" s="11"/>
      <c r="T66" s="11"/>
    </row>
    <row r="67" spans="1:20" s="168" customFormat="1" ht="14.25" customHeight="1" x14ac:dyDescent="0.2">
      <c r="A67" s="167"/>
      <c r="C67" s="178" t="s">
        <v>22</v>
      </c>
      <c r="D67" s="179"/>
      <c r="E67" s="179"/>
      <c r="F67" s="179"/>
      <c r="G67" s="179"/>
      <c r="H67" s="66" t="s">
        <v>142</v>
      </c>
      <c r="I67" s="179"/>
      <c r="J67" s="179"/>
      <c r="K67" s="416"/>
      <c r="L67" s="180"/>
      <c r="M67" s="181"/>
      <c r="N67" s="172"/>
      <c r="P67" s="11"/>
      <c r="Q67" s="11"/>
      <c r="R67" s="11"/>
      <c r="S67" s="11"/>
      <c r="T67" s="11"/>
    </row>
    <row r="68" spans="1:20" s="168" customFormat="1" ht="14.25" customHeight="1" x14ac:dyDescent="0.2">
      <c r="A68" s="167"/>
      <c r="C68" s="178" t="s">
        <v>23</v>
      </c>
      <c r="D68" s="179"/>
      <c r="E68" s="179"/>
      <c r="F68" s="179"/>
      <c r="G68" s="179"/>
      <c r="H68" s="66" t="s">
        <v>142</v>
      </c>
      <c r="I68" s="179"/>
      <c r="J68" s="179"/>
      <c r="K68" s="416"/>
      <c r="L68" s="180"/>
      <c r="M68" s="181"/>
      <c r="N68" s="172"/>
      <c r="P68" s="11"/>
      <c r="Q68" s="11"/>
      <c r="R68" s="11"/>
      <c r="S68" s="11"/>
      <c r="T68" s="11"/>
    </row>
    <row r="69" spans="1:20" s="168" customFormat="1" ht="14.25" customHeight="1" x14ac:dyDescent="0.2">
      <c r="A69" s="167"/>
      <c r="C69" s="178" t="s">
        <v>24</v>
      </c>
      <c r="D69" s="179"/>
      <c r="E69" s="179"/>
      <c r="F69" s="179"/>
      <c r="G69" s="179"/>
      <c r="H69" s="66" t="s">
        <v>142</v>
      </c>
      <c r="I69" s="179"/>
      <c r="J69" s="179"/>
      <c r="K69" s="416"/>
      <c r="L69" s="180"/>
      <c r="M69" s="181"/>
      <c r="N69" s="172"/>
      <c r="P69" s="11"/>
      <c r="Q69" s="11"/>
      <c r="R69" s="11"/>
      <c r="S69" s="11"/>
      <c r="T69" s="11"/>
    </row>
    <row r="70" spans="1:20" s="168" customFormat="1" ht="14.25" customHeight="1" x14ac:dyDescent="0.2">
      <c r="A70" s="167"/>
      <c r="C70" s="23" t="s">
        <v>25</v>
      </c>
      <c r="D70" s="24"/>
      <c r="E70" s="24"/>
      <c r="F70" s="24"/>
      <c r="G70" s="182"/>
      <c r="H70" s="28" t="s">
        <v>142</v>
      </c>
      <c r="I70" s="183"/>
      <c r="J70" s="183"/>
      <c r="K70" s="416"/>
      <c r="L70" s="180"/>
      <c r="M70" s="181"/>
      <c r="N70" s="172"/>
      <c r="P70" s="11"/>
      <c r="Q70" s="11"/>
      <c r="R70" s="11"/>
      <c r="S70" s="11"/>
      <c r="T70" s="11"/>
    </row>
    <row r="71" spans="1:20" s="168" customFormat="1" ht="12" customHeight="1" x14ac:dyDescent="0.2">
      <c r="A71" s="167"/>
      <c r="C71" s="25"/>
      <c r="D71" s="11"/>
      <c r="E71" s="11"/>
      <c r="F71" s="11"/>
      <c r="H71" s="11"/>
      <c r="I71" s="11"/>
      <c r="J71" s="11"/>
      <c r="K71" s="747" t="str">
        <f>IF(OR(SUM(K64:K70)&lt;100,SUM(K64:K70)&gt;100),"Anteil der Kostenträger entspricht nicht 100%.","")</f>
        <v>Anteil der Kostenträger entspricht nicht 100%.</v>
      </c>
      <c r="M71" s="172"/>
      <c r="N71" s="172"/>
      <c r="P71" s="11"/>
      <c r="Q71" s="11"/>
      <c r="R71" s="11"/>
      <c r="S71" s="11"/>
      <c r="T71" s="11"/>
    </row>
    <row r="72" spans="1:20" s="168" customFormat="1" ht="12.75" customHeight="1" x14ac:dyDescent="0.2">
      <c r="A72" s="167"/>
      <c r="C72" s="23"/>
      <c r="D72" s="24"/>
      <c r="E72" s="26"/>
      <c r="F72" s="26"/>
      <c r="G72" s="182"/>
      <c r="H72" s="27" t="s">
        <v>140</v>
      </c>
      <c r="I72" s="182"/>
      <c r="J72" s="28"/>
      <c r="K72" s="418"/>
      <c r="L72" s="184"/>
      <c r="M72" s="185"/>
      <c r="N72" s="172"/>
      <c r="O72" s="242"/>
      <c r="P72" s="11"/>
      <c r="Q72" s="11"/>
      <c r="R72" s="11"/>
      <c r="S72" s="11"/>
      <c r="T72" s="11"/>
    </row>
    <row r="73" spans="1:20" s="34" customFormat="1" ht="14.25" customHeight="1" x14ac:dyDescent="0.2">
      <c r="A73" s="31"/>
      <c r="B73" s="32"/>
      <c r="E73" s="32"/>
      <c r="F73" s="32"/>
      <c r="G73" s="32"/>
      <c r="H73" s="32"/>
      <c r="I73" s="32"/>
      <c r="J73" s="32"/>
      <c r="K73" s="798" t="str">
        <f>IF(AND(H52&gt;0,K72&lt;=5),"Mappe 'B1_Allgemeine Angaben' und Mappe 'B1_Kalkulation' an den KSV senden!","")</f>
        <v/>
      </c>
      <c r="L73" s="32"/>
      <c r="M73" s="61"/>
      <c r="N73" s="33"/>
      <c r="O73" s="249"/>
    </row>
    <row r="74" spans="1:20" s="34" customFormat="1" ht="14.25" customHeight="1" x14ac:dyDescent="0.2">
      <c r="A74" s="31"/>
      <c r="B74" s="63" t="s">
        <v>181</v>
      </c>
      <c r="C74" s="63"/>
      <c r="D74" s="63"/>
      <c r="E74" s="63"/>
      <c r="F74" s="63"/>
      <c r="G74" s="63"/>
      <c r="H74" s="63"/>
      <c r="I74" s="63"/>
      <c r="J74" s="63"/>
      <c r="K74" s="63"/>
      <c r="L74" s="63"/>
      <c r="M74" s="63"/>
      <c r="N74" s="33"/>
      <c r="O74" s="249"/>
    </row>
    <row r="75" spans="1:20" s="168" customFormat="1" ht="9.9499999999999993" customHeight="1" x14ac:dyDescent="0.2">
      <c r="A75" s="167"/>
      <c r="C75" s="11"/>
      <c r="D75" s="11"/>
      <c r="E75" s="29"/>
      <c r="F75" s="29"/>
      <c r="G75" s="29"/>
      <c r="H75" s="29"/>
      <c r="I75" s="29"/>
      <c r="J75" s="29"/>
      <c r="K75" s="29"/>
      <c r="L75" s="29"/>
      <c r="M75" s="11"/>
      <c r="N75" s="30"/>
      <c r="P75" s="11"/>
      <c r="Q75" s="11"/>
      <c r="R75" s="11"/>
      <c r="S75" s="11"/>
      <c r="T75" s="11"/>
    </row>
    <row r="76" spans="1:20" s="34" customFormat="1" ht="14.25" customHeight="1" x14ac:dyDescent="0.2">
      <c r="A76" s="31"/>
      <c r="B76" s="252" t="s">
        <v>285</v>
      </c>
      <c r="E76" s="32"/>
      <c r="F76" s="32"/>
      <c r="G76" s="32"/>
      <c r="H76" s="32"/>
      <c r="I76" s="32"/>
      <c r="J76" s="32"/>
      <c r="K76" s="32"/>
      <c r="M76" s="204"/>
      <c r="N76" s="33"/>
      <c r="O76" s="250"/>
    </row>
    <row r="77" spans="1:20" s="168" customFormat="1" ht="3" customHeight="1" x14ac:dyDescent="0.2">
      <c r="A77" s="167"/>
      <c r="C77" s="11"/>
      <c r="D77" s="11"/>
      <c r="E77" s="11"/>
      <c r="F77" s="11"/>
      <c r="G77" s="11"/>
      <c r="H77" s="11"/>
      <c r="I77" s="11"/>
      <c r="J77" s="11"/>
      <c r="K77" s="11"/>
      <c r="N77" s="30"/>
      <c r="P77" s="11"/>
      <c r="Q77" s="11"/>
      <c r="R77" s="11"/>
      <c r="S77" s="11"/>
      <c r="T77" s="11"/>
    </row>
    <row r="78" spans="1:20" s="34" customFormat="1" ht="14.25" customHeight="1" x14ac:dyDescent="0.2">
      <c r="A78" s="31"/>
      <c r="B78" s="252" t="s">
        <v>345</v>
      </c>
      <c r="E78" s="32"/>
      <c r="F78" s="32"/>
      <c r="G78" s="32"/>
      <c r="H78" s="32"/>
      <c r="I78" s="32"/>
      <c r="J78" s="32"/>
      <c r="K78" s="32"/>
      <c r="M78" s="204"/>
      <c r="N78" s="33"/>
      <c r="O78" s="250"/>
    </row>
    <row r="79" spans="1:20" s="168" customFormat="1" ht="14.25" customHeight="1" x14ac:dyDescent="0.2">
      <c r="A79" s="35"/>
      <c r="B79" s="36"/>
      <c r="C79" s="36"/>
      <c r="D79" s="36"/>
      <c r="E79" s="36"/>
      <c r="F79" s="36"/>
      <c r="G79" s="36"/>
      <c r="H79" s="36"/>
      <c r="I79" s="36"/>
      <c r="J79" s="36"/>
      <c r="K79" s="36"/>
      <c r="L79" s="36"/>
      <c r="M79" s="36"/>
      <c r="N79" s="232"/>
      <c r="P79" s="11"/>
      <c r="Q79" s="11"/>
      <c r="R79" s="11"/>
      <c r="S79" s="11"/>
      <c r="T79" s="11"/>
    </row>
    <row r="80" spans="1:20" s="34" customFormat="1" ht="14.25" customHeight="1" thickBot="1" x14ac:dyDescent="0.25">
      <c r="A80" s="3"/>
      <c r="B80" s="3"/>
      <c r="C80" s="3"/>
      <c r="D80" s="3"/>
      <c r="E80" s="3"/>
      <c r="F80" s="3"/>
      <c r="G80" s="3"/>
      <c r="H80" s="3"/>
      <c r="I80" s="3"/>
      <c r="J80" s="3"/>
      <c r="K80" s="3"/>
      <c r="L80" s="3"/>
      <c r="M80" s="3"/>
      <c r="N80" s="3"/>
      <c r="O80" s="249"/>
      <c r="P80" s="251"/>
    </row>
    <row r="81" spans="3:15" ht="12.75" customHeight="1" thickBot="1" x14ac:dyDescent="0.25">
      <c r="C81" s="1007"/>
      <c r="D81" s="1410" t="s">
        <v>544</v>
      </c>
      <c r="E81" s="1411"/>
      <c r="F81" s="1411"/>
      <c r="G81" s="1411"/>
      <c r="H81" s="1411"/>
      <c r="I81" s="1411"/>
      <c r="J81" s="1412"/>
      <c r="K81" s="1007"/>
      <c r="O81" s="248"/>
    </row>
    <row r="82" spans="3:15" x14ac:dyDescent="0.2">
      <c r="J82" s="1007"/>
    </row>
    <row r="83" spans="3:15" x14ac:dyDescent="0.2">
      <c r="O83" s="248"/>
    </row>
  </sheetData>
  <sheetProtection algorithmName="SHA-512" hashValue="DVNhJiBffOnGSDJl3TuXRYiVca/okDfglTWFEhvhoZ9B+77WMtxFEOxh9FqpWY1KFPBAqCx/IEEkdtA2tQPVSQ==" saltValue="VwV2kvZpC2ACGEan4cKFKQ==" spinCount="100000" sheet="1" selectLockedCells="1"/>
  <customSheetViews>
    <customSheetView guid="{9119B1A0-FD79-4FE4-B78E-10E0AEB8080B}" showPageBreaks="1" showGridLines="0" fitToPage="1" printArea="1" view="pageLayout" topLeftCell="A58">
      <selection activeCell="C16" sqref="C16"/>
      <pageMargins left="0.70866141732283472" right="0.70866141732283472" top="0.78740157480314965" bottom="0.78740157480314965" header="0.31496062992125984" footer="0.31496062992125984"/>
      <pageSetup paperSize="9" scale="77" orientation="portrait" r:id="rId1"/>
      <headerFooter>
        <oddHeader>&amp;C&amp;9Seite 1</oddHeader>
        <oddFooter xml:space="preserve">&amp;L&amp;8Version: 21.06.2022&amp;C&amp;8Verhandlungsunterlagen SGB XI (vereinfacht B1)&amp;R&amp;8PSK-Beschluss Nr. 3-2022 vom 21.06.2022 </oddFooter>
      </headerFooter>
    </customSheetView>
  </customSheetViews>
  <mergeCells count="33">
    <mergeCell ref="L7:M7"/>
    <mergeCell ref="A1:N1"/>
    <mergeCell ref="A2:N2"/>
    <mergeCell ref="A3:N3"/>
    <mergeCell ref="D6:G6"/>
    <mergeCell ref="L6:M6"/>
    <mergeCell ref="A5:B5"/>
    <mergeCell ref="L4:M4"/>
    <mergeCell ref="D36:M36"/>
    <mergeCell ref="H41:M41"/>
    <mergeCell ref="F52:G52"/>
    <mergeCell ref="D81:J81"/>
    <mergeCell ref="D34:H34"/>
    <mergeCell ref="J34:M34"/>
    <mergeCell ref="F54:G54"/>
    <mergeCell ref="H58:M58"/>
    <mergeCell ref="H57:J57"/>
    <mergeCell ref="D30:H30"/>
    <mergeCell ref="J30:M30"/>
    <mergeCell ref="D32:H32"/>
    <mergeCell ref="J32:M32"/>
    <mergeCell ref="D12:M12"/>
    <mergeCell ref="D14:M14"/>
    <mergeCell ref="D18:H18"/>
    <mergeCell ref="J18:M18"/>
    <mergeCell ref="D20:H20"/>
    <mergeCell ref="J20:M20"/>
    <mergeCell ref="D22:H22"/>
    <mergeCell ref="J22:M22"/>
    <mergeCell ref="D26:M26"/>
    <mergeCell ref="D28:M28"/>
    <mergeCell ref="D16:H16"/>
    <mergeCell ref="J16:M16"/>
  </mergeCells>
  <conditionalFormatting sqref="H57:J57">
    <cfRule type="expression" dxfId="66" priority="3">
      <formula>$H$56="ja"</formula>
    </cfRule>
    <cfRule type="expression" dxfId="65" priority="4">
      <formula>$Q$12="ja"</formula>
    </cfRule>
  </conditionalFormatting>
  <conditionalFormatting sqref="H58:M58 H59">
    <cfRule type="expression" dxfId="64" priority="2">
      <formula>AND($H$56="nein",$H$57="rüE")</formula>
    </cfRule>
  </conditionalFormatting>
  <conditionalFormatting sqref="K7">
    <cfRule type="expression" dxfId="63" priority="76">
      <formula>$M$48=0</formula>
    </cfRule>
  </conditionalFormatting>
  <conditionalFormatting sqref="L41">
    <cfRule type="expression" dxfId="62" priority="78">
      <formula>Wennoder($M$48&lt;0,$M$48=0,"")</formula>
    </cfRule>
  </conditionalFormatting>
  <conditionalFormatting sqref="L7:M7">
    <cfRule type="expression" dxfId="61" priority="1">
      <formula>$L$48=0</formula>
    </cfRule>
  </conditionalFormatting>
  <dataValidations xWindow="279" yWindow="275" count="11">
    <dataValidation type="date" errorStyle="warning" operator="greaterThan" allowBlank="1" showInputMessage="1" showErrorMessage="1" errorTitle="Laufzeitbeginn im Jahr 2017" error="Laufzeitbeginn ab 01.01.2017 möglich" sqref="H53" xr:uid="{00000000-0002-0000-0300-000000000000}">
      <formula1>42735</formula1>
    </dataValidation>
    <dataValidation allowBlank="1" showInputMessage="1" showErrorMessage="1" promptTitle="Quorum" prompt="Bitte Hinweise zur Berechnung des Anteils beachten!" sqref="K72" xr:uid="{00000000-0002-0000-0300-000001000000}"/>
    <dataValidation type="whole" errorStyle="information" allowBlank="1" showInputMessage="1" showErrorMessage="1" errorTitle="angebundene KZP" promptTitle="angebundene KZP" prompt="siehe allgemeine Hinweise" sqref="L49" xr:uid="{00000000-0002-0000-0300-000002000000}">
      <formula1>1</formula1>
      <formula2>30</formula2>
    </dataValidation>
    <dataValidation type="list" allowBlank="1" showInputMessage="1" showErrorMessage="1" sqref="M78 M76 H56" xr:uid="{00000000-0002-0000-0300-000003000000}">
      <formula1>"ja,nein"</formula1>
    </dataValidation>
    <dataValidation errorStyle="information" allowBlank="1" errorTitle="angebundene / integrierte KZP" promptTitle="angebundene / integrierte KZP" prompt="siehe allgemeine Hinweise des aktuell in der PSK abgestimmten Verhandlungsantrages für vollstationäre Pflegeeinrichtungen" sqref="M48" xr:uid="{00000000-0002-0000-0300-000004000000}"/>
    <dataValidation type="date" errorStyle="warning" operator="greaterThan" allowBlank="1" showInputMessage="1" showErrorMessage="1" error="Laufzeitbeginn nach 01.01.2027 möglich" sqref="H52" xr:uid="{00000000-0002-0000-0300-000005000000}">
      <formula1>46387</formula1>
    </dataValidation>
    <dataValidation type="date" errorStyle="warning" operator="greaterThan" allowBlank="1" showInputMessage="1" sqref="H59" xr:uid="{00000000-0002-0000-0300-000006000000}">
      <formula1>43831</formula1>
    </dataValidation>
    <dataValidation errorStyle="warning" operator="greaterThan" allowBlank="1" showInputMessage="1" sqref="N59 H58:M58 I59:J59 L59" xr:uid="{00000000-0002-0000-0300-000007000000}"/>
    <dataValidation type="list" allowBlank="1" showInputMessage="1" showErrorMessage="1" sqref="H57:J57" xr:uid="{00000000-0002-0000-0300-000008000000}">
      <formula1>"rüE, Tarifanlehnung"</formula1>
    </dataValidation>
    <dataValidation type="whole" allowBlank="1" showInputMessage="1" showErrorMessage="1" errorTitle="Angabe bitte prüfen" error="Es dürfen nur Ziffern verwendet werden." prompt="IK bitte ohne Leerzeichen oder sonst. Trennzeichen angeben! " sqref="L6:M6" xr:uid="{765BE258-02CA-446E-A6F4-9878F7273E08}">
      <formula1>0</formula1>
      <formula2>10000000000</formula2>
    </dataValidation>
    <dataValidation type="whole" allowBlank="1" showInputMessage="1" showErrorMessage="1" errorTitle="Angabe bitte prüfen" error="Es dürfen nur Ziffern verwendet werden." prompt="IK bitte ohne Leerzeichen oder sonst. Trennzeichen angeben!" sqref="L7:M7" xr:uid="{9E5062DD-1E16-4A08-A19C-10435579D1C7}">
      <formula1>0</formula1>
      <formula2>100000000000</formula2>
    </dataValidation>
  </dataValidations>
  <hyperlinks>
    <hyperlink ref="D81" location="'Anlage 1'!A1" display="Anlage 1" xr:uid="{00000000-0004-0000-0300-000000000000}"/>
    <hyperlink ref="D81:J81" location="B_PH_Kalkulation!A1" display="gehe weiter zu B_PH_Kalkulation" xr:uid="{00000000-0004-0000-0300-000001000000}"/>
  </hyperlinks>
  <pageMargins left="0.70866141732283472" right="0.70866141732283472" top="0.78740157480314965" bottom="0.78740157480314965" header="0.31496062992125984" footer="0.31496062992125984"/>
  <pageSetup paperSize="9" scale="71" orientation="portrait"/>
  <headerFooter>
    <oddHeader>&amp;C&amp;9&amp;A</oddHeader>
    <oddFooter xml:space="preserve">&amp;L&amp;8Version: 19.10.2026&amp;C&amp;8Verhandlungsunterlagen SGB XI (vereinfacht B_PH)&amp;R&amp;8PSK-Beschluss vom 08.10.2026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828675</xdr:colOff>
                    <xdr:row>41</xdr:row>
                    <xdr:rowOff>38100</xdr:rowOff>
                  </from>
                  <to>
                    <xdr:col>9</xdr:col>
                    <xdr:colOff>66675</xdr:colOff>
                    <xdr:row>44</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 id="{5600D652-B86D-4CFE-84C9-B7ED538E8B06}">
            <xm:f>KAT!$A$126="nein"</xm:f>
            <x14:dxf>
              <fill>
                <patternFill>
                  <bgColor theme="0"/>
                </patternFill>
              </fill>
            </x14:dxf>
          </x14:cfRule>
          <xm:sqref>D7:F7 D11 K45:K46 M48 H49 L49 M52:M53 J55 J59 N59 K71 K73</xm:sqref>
        </x14:conditionalFormatting>
      </x14:conditionalFormattings>
    </ext>
    <ext xmlns:x14="http://schemas.microsoft.com/office/spreadsheetml/2009/9/main" uri="{CCE6A557-97BC-4b89-ADB6-D9C93CAAB3DF}">
      <x14:dataValidations xmlns:xm="http://schemas.microsoft.com/office/excel/2006/main" xWindow="279" yWindow="275" count="2">
        <x14:dataValidation type="list" allowBlank="1" showInputMessage="1" showErrorMessage="1" errorTitle="Auswahlmöglichkeit" error="Bitte aus Liste wählen!" xr:uid="{00000000-0002-0000-0300-000009000000}">
          <x14:formula1>
            <xm:f>KAT!$F$2:$F$4</xm:f>
          </x14:formula1>
          <xm:sqref>C41</xm:sqref>
        </x14:dataValidation>
        <x14:dataValidation type="list" allowBlank="1" showInputMessage="1" showErrorMessage="1" errorTitle="Einrichtungsart" error="bitte aus Liste auswählen" promptTitle="Auswahlmöglichkeit" prompt="vollstationäre Pflege_x000a_Wohnpflegeheim_x000a_Wachkoma_x000a_4. Generation_x000a__x000a__x000a__x000a_" xr:uid="{00000000-0002-0000-0300-00000A000000}">
          <x14:formula1>
            <xm:f>KAT!$A$2:$A$5</xm:f>
          </x14:formula1>
          <xm:sqref>D6:G6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92"/>
  <sheetViews>
    <sheetView showGridLines="0" zoomScaleNormal="100" zoomScalePageLayoutView="70" workbookViewId="0">
      <selection activeCell="A6" sqref="A6"/>
    </sheetView>
  </sheetViews>
  <sheetFormatPr baseColWidth="10" defaultRowHeight="14.25" x14ac:dyDescent="0.2"/>
  <cols>
    <col min="1" max="1" width="4.375" customWidth="1"/>
    <col min="2" max="2" width="20.875" customWidth="1"/>
    <col min="3" max="3" width="23.375" customWidth="1"/>
    <col min="4" max="4" width="23.5" customWidth="1"/>
    <col min="5" max="5" width="20.625" customWidth="1"/>
    <col min="6" max="6" width="17.625" customWidth="1"/>
    <col min="7" max="7" width="2.375" customWidth="1"/>
    <col min="8" max="8" width="21.625" customWidth="1"/>
    <col min="9" max="10" width="17.625" customWidth="1"/>
    <col min="11" max="11" width="22.25" customWidth="1"/>
    <col min="12" max="12" width="17.625" customWidth="1"/>
    <col min="13" max="13" width="22.375" customWidth="1"/>
    <col min="14" max="14" width="5.625" customWidth="1"/>
    <col min="15" max="15" width="18.875" customWidth="1"/>
    <col min="16" max="16" width="8.625" customWidth="1"/>
    <col min="17" max="17" width="12.75" customWidth="1"/>
    <col min="18" max="18" width="1.625" customWidth="1"/>
    <col min="19" max="19" width="11" customWidth="1"/>
    <col min="20" max="21" width="11" style="430" hidden="1" customWidth="1"/>
    <col min="22" max="23" width="14.75" style="430" hidden="1" customWidth="1"/>
    <col min="24" max="32" width="11" style="430" hidden="1" customWidth="1"/>
    <col min="33" max="45" width="11" customWidth="1"/>
  </cols>
  <sheetData>
    <row r="1" spans="1:25" ht="15" x14ac:dyDescent="0.25">
      <c r="A1" s="1471" t="str">
        <f>'B_PH_Allgemeine Angaben'!A1:N1</f>
        <v>Vereinfachtes Verfahren der Aufforderung zum Abschluss einer Pflegesatzvereinbarung gemäß § 84, 85 SGB XI - Vollstationäre Pflegeeinrichtungen
und für Kurzzeitpflegeeinrichtungen im Sinne § 1 Abs. 7 dieses Rahmenvertrages</v>
      </c>
      <c r="B1" s="1472"/>
      <c r="C1" s="1472"/>
      <c r="D1" s="1472"/>
      <c r="E1" s="1472"/>
      <c r="F1" s="1472"/>
      <c r="G1" s="1472"/>
      <c r="H1" s="1472"/>
      <c r="I1" s="1472"/>
      <c r="J1" s="1472"/>
      <c r="K1" s="1472"/>
      <c r="L1" s="1472"/>
      <c r="M1" s="1472"/>
      <c r="N1" s="1472"/>
      <c r="O1" s="1472"/>
      <c r="P1" s="1472"/>
      <c r="Q1" s="132"/>
      <c r="R1" s="196"/>
      <c r="T1" s="425"/>
      <c r="U1" s="426"/>
      <c r="V1" s="427"/>
      <c r="W1" s="428"/>
      <c r="X1" s="429"/>
      <c r="Y1" s="429"/>
    </row>
    <row r="2" spans="1:25" ht="15" x14ac:dyDescent="0.25">
      <c r="A2" s="1473" t="s">
        <v>226</v>
      </c>
      <c r="B2" s="1474"/>
      <c r="C2" s="1474"/>
      <c r="D2" s="1474"/>
      <c r="E2" s="1474"/>
      <c r="F2" s="1474"/>
      <c r="G2" s="1474"/>
      <c r="H2" s="1474"/>
      <c r="I2" s="1474"/>
      <c r="J2" s="1474"/>
      <c r="K2" s="1474"/>
      <c r="L2" s="1474"/>
      <c r="M2" s="1474"/>
      <c r="N2" s="1474"/>
      <c r="O2" s="1474"/>
      <c r="P2" s="1474"/>
      <c r="Q2" s="174"/>
      <c r="R2" s="405"/>
    </row>
    <row r="3" spans="1:25" ht="15" x14ac:dyDescent="0.25">
      <c r="A3" s="892"/>
      <c r="B3" s="893"/>
      <c r="C3" s="893"/>
      <c r="D3" s="893"/>
      <c r="E3" s="893"/>
      <c r="F3" s="893"/>
      <c r="G3" s="893"/>
      <c r="H3" s="893"/>
      <c r="I3" s="893"/>
      <c r="J3" s="893"/>
      <c r="K3" s="893"/>
      <c r="L3" s="893"/>
      <c r="M3" s="893"/>
      <c r="N3" s="198" t="s">
        <v>2</v>
      </c>
      <c r="O3" s="199"/>
      <c r="P3" s="1478" t="str">
        <f>IFERROR(TEXT('B_PH_Allgemeine Angaben'!L6,"000  000  000"),"")</f>
        <v>000  000  000</v>
      </c>
      <c r="Q3" s="1480"/>
      <c r="R3" s="405"/>
    </row>
    <row r="4" spans="1:25" ht="15" x14ac:dyDescent="0.25">
      <c r="A4" s="406"/>
      <c r="B4" s="198" t="s">
        <v>233</v>
      </c>
      <c r="C4" s="1478">
        <f>'B_PH_Allgemeine Angaben'!D12</f>
        <v>0</v>
      </c>
      <c r="D4" s="1478"/>
      <c r="E4" s="196"/>
      <c r="F4" s="174"/>
      <c r="G4" s="174"/>
      <c r="H4" s="174"/>
      <c r="I4" s="174"/>
      <c r="J4" s="174"/>
      <c r="K4" s="893"/>
      <c r="L4" s="893"/>
      <c r="M4" s="174"/>
      <c r="N4" s="407" t="str">
        <f>'B_PH_Allgemeine Angaben'!K7</f>
        <v>IK KZP:</v>
      </c>
      <c r="O4" s="900"/>
      <c r="P4" s="1437">
        <f>'B_PH_Allgemeine Angaben'!L7</f>
        <v>0</v>
      </c>
      <c r="Q4" s="1438"/>
      <c r="R4" s="405"/>
    </row>
    <row r="5" spans="1:25" x14ac:dyDescent="0.2">
      <c r="A5" s="407"/>
      <c r="B5" s="195" t="s">
        <v>234</v>
      </c>
      <c r="C5" s="1479" t="str">
        <f>IF('B_PH_Allgemeine Angaben'!D16&gt;0,CONCATENATE('B_PH_Allgemeine Angaben'!D16," ",'B_PH_Allgemeine Angaben'!J16),"")</f>
        <v/>
      </c>
      <c r="D5" s="1479"/>
      <c r="E5" s="197"/>
      <c r="F5" s="174"/>
      <c r="G5" s="174"/>
      <c r="H5" s="174"/>
      <c r="I5" s="174"/>
      <c r="J5" s="174"/>
      <c r="K5" s="174"/>
      <c r="L5" s="174"/>
      <c r="M5" s="174"/>
      <c r="N5" s="195" t="s">
        <v>227</v>
      </c>
      <c r="O5" s="200"/>
      <c r="P5" s="1481">
        <f>IFERROR('B_PH_Allgemeine Angaben'!L4,"")</f>
        <v>0</v>
      </c>
      <c r="Q5" s="1482"/>
      <c r="R5" s="405"/>
    </row>
    <row r="6" spans="1:25" ht="9" customHeight="1" x14ac:dyDescent="0.2">
      <c r="A6" s="1009"/>
      <c r="R6" s="19"/>
    </row>
    <row r="7" spans="1:25" x14ac:dyDescent="0.2">
      <c r="A7" s="20"/>
      <c r="B7" s="127" t="s">
        <v>143</v>
      </c>
      <c r="D7" s="486"/>
      <c r="E7" s="1"/>
      <c r="H7" s="127" t="s">
        <v>26</v>
      </c>
      <c r="I7" s="882">
        <v>365</v>
      </c>
      <c r="K7" s="127" t="s">
        <v>1</v>
      </c>
      <c r="L7" s="118" t="str">
        <f>IF('B_PH_Allgemeine Angaben'!D6&gt;0,'B_PH_Allgemeine Angaben'!D6,"")</f>
        <v/>
      </c>
      <c r="M7" s="155"/>
      <c r="R7" s="19"/>
      <c r="T7" s="431"/>
    </row>
    <row r="8" spans="1:25" ht="14.25" customHeight="1" x14ac:dyDescent="0.25">
      <c r="A8" s="20"/>
      <c r="B8" s="164"/>
      <c r="C8" s="702"/>
      <c r="D8" s="703"/>
      <c r="R8" s="19"/>
      <c r="T8" s="431"/>
    </row>
    <row r="9" spans="1:25" ht="15" x14ac:dyDescent="0.25">
      <c r="A9" s="20"/>
      <c r="B9" s="60" t="s">
        <v>289</v>
      </c>
      <c r="F9" s="138"/>
      <c r="H9" s="128" t="s">
        <v>288</v>
      </c>
      <c r="I9" s="21"/>
      <c r="J9" s="21"/>
      <c r="K9" s="21"/>
      <c r="L9" s="21"/>
      <c r="M9" s="21"/>
      <c r="N9" s="21"/>
      <c r="O9" s="21"/>
      <c r="P9" s="21"/>
      <c r="Q9" s="21"/>
      <c r="R9" s="96"/>
      <c r="T9" s="431"/>
      <c r="U9" s="431"/>
    </row>
    <row r="10" spans="1:25" ht="5.25" customHeight="1" x14ac:dyDescent="0.2">
      <c r="A10" s="20"/>
      <c r="D10" s="130"/>
      <c r="H10" s="20"/>
      <c r="J10" s="130"/>
      <c r="R10" s="19"/>
    </row>
    <row r="11" spans="1:25" x14ac:dyDescent="0.2">
      <c r="A11" s="20"/>
      <c r="B11" t="s">
        <v>213</v>
      </c>
      <c r="C11" s="129" t="s">
        <v>182</v>
      </c>
      <c r="D11" s="194">
        <f>'B_PH_Allgemeine Angaben'!H54</f>
        <v>0</v>
      </c>
      <c r="E11" s="129" t="s">
        <v>121</v>
      </c>
      <c r="F11" s="194">
        <f>'B_PH_Allgemeine Angaben'!K54</f>
        <v>0</v>
      </c>
      <c r="H11" s="20" t="s">
        <v>213</v>
      </c>
      <c r="I11" s="129" t="s">
        <v>182</v>
      </c>
      <c r="J11" s="131" t="str">
        <f>IF('B_PH_Allgemeine Angaben'!H52=0,"",'B_PH_Allgemeine Angaben'!H52)</f>
        <v/>
      </c>
      <c r="K11" s="129" t="s">
        <v>121</v>
      </c>
      <c r="L11" s="131">
        <f>IF('B_PH_Allgemeine Angaben'!K52=0,0,'B_PH_Allgemeine Angaben'!K52)</f>
        <v>0</v>
      </c>
      <c r="R11" s="19"/>
      <c r="T11" s="431"/>
    </row>
    <row r="12" spans="1:25" ht="9.9499999999999993" customHeight="1" x14ac:dyDescent="0.2">
      <c r="A12" s="125"/>
      <c r="B12" s="124"/>
      <c r="C12" s="124"/>
      <c r="D12" s="124"/>
      <c r="E12" s="124"/>
      <c r="F12" s="123"/>
      <c r="G12" s="124"/>
      <c r="H12" s="125"/>
      <c r="I12" s="124"/>
      <c r="J12" s="124"/>
      <c r="K12" s="124"/>
      <c r="L12" s="124"/>
      <c r="R12" s="19"/>
    </row>
    <row r="13" spans="1:25" x14ac:dyDescent="0.2">
      <c r="A13" s="125"/>
      <c r="B13" s="119" t="s">
        <v>427</v>
      </c>
      <c r="C13" s="120"/>
      <c r="D13" s="120"/>
      <c r="E13" s="104" t="s">
        <v>188</v>
      </c>
      <c r="F13" s="118">
        <f>SUM(B15:F15)</f>
        <v>0</v>
      </c>
      <c r="G13" s="20"/>
      <c r="H13" s="119" t="s">
        <v>427</v>
      </c>
      <c r="I13" s="120"/>
      <c r="J13" s="120"/>
      <c r="K13" s="104" t="s">
        <v>188</v>
      </c>
      <c r="L13" s="104">
        <f>SUM(H15:L15)</f>
        <v>0</v>
      </c>
      <c r="M13" s="790"/>
      <c r="N13" s="248"/>
      <c r="O13" s="138"/>
      <c r="P13" s="138"/>
      <c r="Q13" s="138"/>
      <c r="R13" s="139"/>
    </row>
    <row r="14" spans="1:25" x14ac:dyDescent="0.2">
      <c r="A14" s="125"/>
      <c r="B14" s="121" t="s">
        <v>50</v>
      </c>
      <c r="C14" s="121" t="s">
        <v>51</v>
      </c>
      <c r="D14" s="121" t="s">
        <v>52</v>
      </c>
      <c r="E14" s="121" t="s">
        <v>53</v>
      </c>
      <c r="F14" s="122" t="s">
        <v>54</v>
      </c>
      <c r="G14" s="20"/>
      <c r="H14" s="121" t="s">
        <v>50</v>
      </c>
      <c r="I14" s="121" t="s">
        <v>51</v>
      </c>
      <c r="J14" s="121" t="s">
        <v>52</v>
      </c>
      <c r="K14" s="121" t="s">
        <v>53</v>
      </c>
      <c r="L14" s="121" t="s">
        <v>54</v>
      </c>
      <c r="O14" s="138"/>
      <c r="P14" s="138"/>
      <c r="Q14" s="138"/>
      <c r="R14" s="139"/>
    </row>
    <row r="15" spans="1:25" x14ac:dyDescent="0.2">
      <c r="A15" s="125"/>
      <c r="B15" s="208"/>
      <c r="C15" s="208"/>
      <c r="D15" s="208"/>
      <c r="E15" s="208"/>
      <c r="F15" s="209"/>
      <c r="G15" s="20"/>
      <c r="H15" s="99">
        <f>B15</f>
        <v>0</v>
      </c>
      <c r="I15" s="99">
        <f t="shared" ref="I15:L15" si="0">C15</f>
        <v>0</v>
      </c>
      <c r="J15" s="99">
        <f t="shared" si="0"/>
        <v>0</v>
      </c>
      <c r="K15" s="99">
        <f t="shared" si="0"/>
        <v>0</v>
      </c>
      <c r="L15" s="99">
        <f t="shared" si="0"/>
        <v>0</v>
      </c>
      <c r="O15" s="138"/>
      <c r="P15" s="138"/>
      <c r="Q15" s="138"/>
      <c r="R15" s="139"/>
    </row>
    <row r="16" spans="1:25" x14ac:dyDescent="0.2">
      <c r="A16" s="125"/>
      <c r="B16" s="792" t="str">
        <f>IF(F13&lt;&gt;'B_PH_Allgemeine Angaben'!L47,"Prognose entspricht nicht Platzzahl!","")</f>
        <v/>
      </c>
      <c r="C16" s="138"/>
      <c r="D16" s="138"/>
      <c r="E16" s="138"/>
      <c r="F16" s="138"/>
      <c r="G16" s="20"/>
      <c r="H16" s="159"/>
      <c r="I16" s="138"/>
      <c r="J16" s="138"/>
      <c r="K16" s="138"/>
      <c r="L16" s="138"/>
      <c r="O16" s="138"/>
      <c r="P16" s="138"/>
      <c r="Q16" s="138"/>
      <c r="R16" s="139"/>
    </row>
    <row r="17" spans="1:25" x14ac:dyDescent="0.2">
      <c r="A17" s="125"/>
      <c r="B17" s="126" t="s">
        <v>469</v>
      </c>
      <c r="C17" s="201"/>
      <c r="D17" s="795"/>
      <c r="E17" s="155" t="s">
        <v>188</v>
      </c>
      <c r="F17" s="155">
        <f>SUM(B18:F18)</f>
        <v>0</v>
      </c>
      <c r="G17" s="20"/>
      <c r="H17" s="126" t="s">
        <v>469</v>
      </c>
      <c r="I17" s="201"/>
      <c r="J17" s="795"/>
      <c r="K17" s="155" t="s">
        <v>188</v>
      </c>
      <c r="L17" s="155">
        <f>SUM(H18:L18)</f>
        <v>0</v>
      </c>
      <c r="M17" s="790"/>
      <c r="N17" s="248"/>
      <c r="O17" s="138"/>
      <c r="P17" s="138"/>
      <c r="Q17" s="138"/>
      <c r="R17" s="139"/>
    </row>
    <row r="18" spans="1:25" ht="15" x14ac:dyDescent="0.25">
      <c r="A18" s="125"/>
      <c r="B18" s="208"/>
      <c r="C18" s="794"/>
      <c r="D18" s="794"/>
      <c r="E18" s="208"/>
      <c r="F18" s="208"/>
      <c r="G18" s="20"/>
      <c r="H18" s="99">
        <f>B18</f>
        <v>0</v>
      </c>
      <c r="I18" s="796">
        <f t="shared" ref="I18:L18" si="1">C18</f>
        <v>0</v>
      </c>
      <c r="J18" s="796">
        <f t="shared" si="1"/>
        <v>0</v>
      </c>
      <c r="K18" s="99">
        <f t="shared" si="1"/>
        <v>0</v>
      </c>
      <c r="L18" s="99">
        <f t="shared" si="1"/>
        <v>0</v>
      </c>
      <c r="O18" s="138"/>
      <c r="P18" s="138"/>
      <c r="Q18" s="138"/>
      <c r="R18" s="139"/>
      <c r="T18" s="760" t="s">
        <v>449</v>
      </c>
    </row>
    <row r="19" spans="1:25" ht="18.75" customHeight="1" x14ac:dyDescent="0.25">
      <c r="A19" s="125"/>
      <c r="B19" s="751" t="str">
        <f>IF(F17&lt;&gt;'B_PH_Allgemeine Angaben'!L48,"Prognose entspricht nicht Platzzahl!","")</f>
        <v/>
      </c>
      <c r="I19" s="160"/>
      <c r="J19" s="161"/>
      <c r="K19" s="161"/>
      <c r="M19" s="595"/>
      <c r="N19" s="594"/>
      <c r="O19" s="1453" t="s">
        <v>293</v>
      </c>
      <c r="P19" s="1454"/>
      <c r="Q19" s="1454"/>
      <c r="R19" s="1455"/>
      <c r="V19" s="1464" t="s">
        <v>441</v>
      </c>
      <c r="W19" s="1465"/>
      <c r="X19" s="1465"/>
      <c r="Y19" s="1466"/>
    </row>
    <row r="20" spans="1:25" ht="51.75" customHeight="1" x14ac:dyDescent="0.2">
      <c r="A20" s="125"/>
      <c r="B20" s="449" t="s">
        <v>190</v>
      </c>
      <c r="C20" s="776" t="s">
        <v>454</v>
      </c>
      <c r="D20" s="117" t="s">
        <v>189</v>
      </c>
      <c r="E20" s="599" t="s">
        <v>186</v>
      </c>
      <c r="F20" s="755" t="s">
        <v>476</v>
      </c>
      <c r="H20" s="448" t="s">
        <v>190</v>
      </c>
      <c r="I20" s="776" t="s">
        <v>454</v>
      </c>
      <c r="J20" s="685" t="s">
        <v>189</v>
      </c>
      <c r="K20" s="599" t="s">
        <v>186</v>
      </c>
      <c r="L20" s="754" t="s">
        <v>476</v>
      </c>
      <c r="M20" s="775" t="s">
        <v>436</v>
      </c>
      <c r="N20" s="581"/>
      <c r="O20" s="1483" t="s">
        <v>1313</v>
      </c>
      <c r="P20" s="1484"/>
      <c r="Q20" s="1484"/>
      <c r="R20" s="1485"/>
      <c r="T20" s="759" t="s">
        <v>376</v>
      </c>
      <c r="U20" s="756" t="s">
        <v>437</v>
      </c>
      <c r="V20" s="756" t="s">
        <v>442</v>
      </c>
      <c r="W20" s="757" t="s">
        <v>440</v>
      </c>
      <c r="X20" s="757" t="s">
        <v>439</v>
      </c>
      <c r="Y20" s="757" t="s">
        <v>438</v>
      </c>
    </row>
    <row r="21" spans="1:25" ht="13.9" customHeight="1" x14ac:dyDescent="0.2">
      <c r="A21" s="125"/>
      <c r="B21" s="115" t="s">
        <v>223</v>
      </c>
      <c r="C21" s="883"/>
      <c r="D21" s="752"/>
      <c r="F21" s="212"/>
      <c r="G21" s="20"/>
      <c r="H21" s="115" t="s">
        <v>223</v>
      </c>
      <c r="I21" s="885" t="str">
        <f>IF(J21&gt;KAT!$D$15,"(max. "&amp;TEXT(KAT!$D$15,"0,0000")&amp;" VK)","")</f>
        <v/>
      </c>
      <c r="J21" s="752"/>
      <c r="K21" s="751" t="str">
        <f>IF(OR(AND(J22&gt;0,L22=0,K22=""),AND(J23&gt;0,L23=0,K23="")),"Qualifikation auswählen!","")</f>
        <v/>
      </c>
      <c r="L21" s="589">
        <f>F21*(1+M21)</f>
        <v>0</v>
      </c>
      <c r="M21" s="445"/>
      <c r="N21" s="421"/>
      <c r="O21" s="1495"/>
      <c r="P21" s="1496"/>
      <c r="Q21" s="1496"/>
      <c r="R21" s="1497"/>
      <c r="T21" s="758"/>
      <c r="U21" s="758"/>
      <c r="V21" s="758"/>
      <c r="W21" s="758"/>
      <c r="X21" s="758"/>
      <c r="Y21" s="758"/>
    </row>
    <row r="22" spans="1:25" x14ac:dyDescent="0.2">
      <c r="A22" s="125"/>
      <c r="B22" s="115" t="s">
        <v>423</v>
      </c>
      <c r="C22" s="884"/>
      <c r="D22" s="752"/>
      <c r="F22" s="212"/>
      <c r="G22" s="20"/>
      <c r="H22" s="115" t="s">
        <v>423</v>
      </c>
      <c r="I22" s="885" t="str">
        <f>IF(J22&gt;KAT!D20,"(max. "&amp;TEXT(KAT!D20,"0,0000")&amp;" VK)","")</f>
        <v/>
      </c>
      <c r="J22" s="753"/>
      <c r="K22" s="791"/>
      <c r="L22" s="589" cm="1">
        <f t="array" ref="L22">(V22*F22*(1+M22))+SUMPRODUCT(($L$24:$L$26)*TRANSPOSE(W22:Y22))</f>
        <v>0</v>
      </c>
      <c r="M22" s="445"/>
      <c r="N22" s="421"/>
      <c r="O22" s="1498"/>
      <c r="P22" s="1499"/>
      <c r="Q22" s="1499"/>
      <c r="R22" s="1500"/>
      <c r="T22" s="758">
        <f>'B_PH_Allgemeine Angaben'!$N$59</f>
        <v>0</v>
      </c>
      <c r="U22" s="758">
        <f>(D22&gt;0)*1</f>
        <v>0</v>
      </c>
      <c r="V22" s="758">
        <f>(T22=0)*(U22=1)+(T22=1)*(K22=KAT!$G$5)*(U22=1)</f>
        <v>0</v>
      </c>
      <c r="W22" s="758">
        <f>OR(T22=1,U22=0)*(K22=KAT!$G$2)</f>
        <v>0</v>
      </c>
      <c r="X22" s="758">
        <f>OR(T22=1,U22=0)*(K22=KAT!$G$3)</f>
        <v>0</v>
      </c>
      <c r="Y22" s="758">
        <f>OR(T22=1,U22=0)*(K22=KAT!$G$4)</f>
        <v>0</v>
      </c>
    </row>
    <row r="23" spans="1:25" x14ac:dyDescent="0.2">
      <c r="A23" s="125"/>
      <c r="B23" s="115" t="s">
        <v>424</v>
      </c>
      <c r="C23" s="884"/>
      <c r="D23" s="752"/>
      <c r="F23" s="212"/>
      <c r="G23" s="20"/>
      <c r="H23" s="115" t="s">
        <v>424</v>
      </c>
      <c r="I23" s="885" t="str">
        <f>IF(J23&gt;KAT!D21,"(max. "&amp;TEXT(KAT!D21,"0,0000")&amp;" VK)","")</f>
        <v/>
      </c>
      <c r="J23" s="753"/>
      <c r="K23" s="682"/>
      <c r="L23" s="589" cm="1">
        <f t="array" ref="L23">(V23*F23*(1+M23))+SUMPRODUCT(($L$24:$L$26)*TRANSPOSE(W23:Y23))</f>
        <v>0</v>
      </c>
      <c r="M23" s="445"/>
      <c r="N23" s="421"/>
      <c r="O23" s="1498"/>
      <c r="P23" s="1499"/>
      <c r="Q23" s="1499"/>
      <c r="R23" s="1500"/>
      <c r="T23" s="758">
        <f>'B_PH_Allgemeine Angaben'!$N$59</f>
        <v>0</v>
      </c>
      <c r="U23" s="758">
        <f>(D23&gt;0)*1</f>
        <v>0</v>
      </c>
      <c r="V23" s="758">
        <f>(T23=0)*(U23=1)+(T23=1)*(K23=KAT!$G$5)*(U23=1)</f>
        <v>0</v>
      </c>
      <c r="W23" s="758">
        <f>OR(T23=1,U23=0)*(K23=KAT!$G$2)</f>
        <v>0</v>
      </c>
      <c r="X23" s="758">
        <f>OR(T23=1,U23=0)*(K23=KAT!$G$3)</f>
        <v>0</v>
      </c>
      <c r="Y23" s="758">
        <f>OR(T23=1,U23=0)*(K23=KAT!$G$4)</f>
        <v>0</v>
      </c>
    </row>
    <row r="24" spans="1:25" x14ac:dyDescent="0.2">
      <c r="A24" s="125"/>
      <c r="B24" s="115" t="s">
        <v>271</v>
      </c>
      <c r="C24" s="211"/>
      <c r="D24" s="597" cm="1">
        <f t="array" ref="D24">ROUND(SUMPRODUCT((B15:F15)*TRANSPOSE(KAT!C35:C39))*C24,4)</f>
        <v>0</v>
      </c>
      <c r="F24" s="212"/>
      <c r="G24" s="20"/>
      <c r="H24" s="115" t="s">
        <v>271</v>
      </c>
      <c r="I24" s="793"/>
      <c r="J24" s="597">
        <f>IFERROR(ROUND(KAT!D40*I24,4),"")</f>
        <v>0</v>
      </c>
      <c r="L24" s="589">
        <f>IF('B_PH_Allgemeine Angaben'!$N$59=1,'B_PH_Berechnung rüE'!J16,F24*(1+M24))</f>
        <v>0</v>
      </c>
      <c r="M24" s="445"/>
      <c r="N24" s="421"/>
      <c r="O24" s="1498"/>
      <c r="P24" s="1499"/>
      <c r="Q24" s="1499"/>
      <c r="R24" s="1500"/>
    </row>
    <row r="25" spans="1:25" x14ac:dyDescent="0.2">
      <c r="A25" s="125"/>
      <c r="B25" s="115" t="s">
        <v>269</v>
      </c>
      <c r="C25" s="211"/>
      <c r="D25" s="597" cm="1">
        <f t="array" ref="D25">ROUND(SUMPRODUCT((B15:F15)*TRANSPOSE(KAT!E35:E39))*C25,4)</f>
        <v>0</v>
      </c>
      <c r="F25" s="212"/>
      <c r="G25" s="20"/>
      <c r="H25" s="115" t="s">
        <v>269</v>
      </c>
      <c r="I25" s="793"/>
      <c r="J25" s="597">
        <f>IFERROR(ROUND(KAT!F40*I25,4),"")</f>
        <v>0</v>
      </c>
      <c r="K25" s="1462" t="str">
        <f>IFERROR(IF(KAT!E26&lt;KAT!B26,"Personalausstattung QN 1-3 unter Minimum gem. RV ("&amp;TEXT(KAT!B26,"00%")&amp;")",""),"")</f>
        <v/>
      </c>
      <c r="L25" s="589">
        <f>IF(J25&gt;0,IF('B_PH_Allgemeine Angaben'!$N$59=1,'B_PH_Berechnung rüE'!J17,F25*(1+M25)),0)</f>
        <v>0</v>
      </c>
      <c r="M25" s="445"/>
      <c r="N25" s="421"/>
      <c r="O25" s="1498"/>
      <c r="P25" s="1499"/>
      <c r="Q25" s="1499"/>
      <c r="R25" s="1500"/>
      <c r="T25" s="431"/>
    </row>
    <row r="26" spans="1:25" ht="15" x14ac:dyDescent="0.25">
      <c r="A26" s="125"/>
      <c r="B26" s="115" t="s">
        <v>270</v>
      </c>
      <c r="C26" s="211"/>
      <c r="D26" s="597" cm="1">
        <f t="array" ref="D26">ROUND(SUMPRODUCT((B15:F15)*TRANSPOSE(KAT!G35:G39))*C26,4)</f>
        <v>0</v>
      </c>
      <c r="F26" s="212"/>
      <c r="G26" s="20"/>
      <c r="H26" s="115" t="s">
        <v>270</v>
      </c>
      <c r="I26" s="793"/>
      <c r="J26" s="597">
        <f>IFERROR(ROUND(KAT!H40*I26,4),"")</f>
        <v>0</v>
      </c>
      <c r="K26" s="1463"/>
      <c r="L26" s="589">
        <f>IF(J26&gt;0,IF('B_PH_Allgemeine Angaben'!$N$59=1,'B_PH_Berechnung rüE'!J18,F26*(1+M26)),0)</f>
        <v>0</v>
      </c>
      <c r="M26" s="445"/>
      <c r="N26" s="422"/>
      <c r="O26" s="1498"/>
      <c r="P26" s="1499"/>
      <c r="Q26" s="1499"/>
      <c r="R26" s="1500"/>
    </row>
    <row r="27" spans="1:25" ht="42.75" x14ac:dyDescent="0.2">
      <c r="A27" s="125"/>
      <c r="B27" s="116" t="s">
        <v>480</v>
      </c>
      <c r="C27" s="108">
        <v>20</v>
      </c>
      <c r="D27" s="598">
        <f>$F$13/C27</f>
        <v>0</v>
      </c>
      <c r="E27" s="107" t="s">
        <v>187</v>
      </c>
      <c r="F27" s="212"/>
      <c r="G27" s="470"/>
      <c r="H27" s="116" t="s">
        <v>480</v>
      </c>
      <c r="I27" s="886">
        <v>20</v>
      </c>
      <c r="J27" s="686">
        <f>IFERROR(ROUND($L$13/I27,4),"")</f>
        <v>0</v>
      </c>
      <c r="K27" s="683" t="s">
        <v>480</v>
      </c>
      <c r="L27" s="589">
        <f>IF('B_PH_Allgemeine Angaben'!$N$59=1,'B_PH_Berechnung rüE'!J24,F27*(1+M27))</f>
        <v>0</v>
      </c>
      <c r="M27" s="445"/>
      <c r="N27" s="423"/>
      <c r="O27" s="1498"/>
      <c r="P27" s="1499"/>
      <c r="Q27" s="1499"/>
      <c r="R27" s="1500"/>
    </row>
    <row r="28" spans="1:25" x14ac:dyDescent="0.2">
      <c r="A28" s="125"/>
      <c r="B28" s="596" t="s">
        <v>119</v>
      </c>
      <c r="C28" s="884"/>
      <c r="D28" s="752"/>
      <c r="E28" s="106" t="str">
        <f t="shared" ref="E28:E30" si="2">B28</f>
        <v>Einrichtungsleitung</v>
      </c>
      <c r="F28" s="212"/>
      <c r="G28" s="470"/>
      <c r="H28" s="596" t="s">
        <v>119</v>
      </c>
      <c r="I28" s="885" t="str">
        <f>IF(J28&gt;KAT!D46,"(max. "&amp;TEXT(KAT!D46,"0,0000")&amp;" VK)","")</f>
        <v/>
      </c>
      <c r="J28" s="753"/>
      <c r="K28" s="684" t="str">
        <f t="shared" ref="K28:K30" si="3">H28</f>
        <v>Einrichtungsleitung</v>
      </c>
      <c r="L28" s="446">
        <f>IF(F28=0,0,F28*M28+F28)</f>
        <v>0</v>
      </c>
      <c r="M28" s="445"/>
      <c r="N28" s="423"/>
      <c r="O28" s="1498"/>
      <c r="P28" s="1499"/>
      <c r="Q28" s="1499"/>
      <c r="R28" s="1500"/>
      <c r="T28" s="431"/>
    </row>
    <row r="29" spans="1:25" x14ac:dyDescent="0.2">
      <c r="A29" s="125"/>
      <c r="B29" s="115" t="s">
        <v>55</v>
      </c>
      <c r="C29" s="210"/>
      <c r="D29" s="598">
        <f>IFERROR($F$13/C29,0)</f>
        <v>0</v>
      </c>
      <c r="E29" s="106" t="str">
        <f t="shared" si="2"/>
        <v>Hauswirtschaft</v>
      </c>
      <c r="F29" s="212"/>
      <c r="G29" s="470"/>
      <c r="H29" s="115" t="s">
        <v>55</v>
      </c>
      <c r="I29" s="681">
        <f t="shared" ref="I29:I31" si="4">C29</f>
        <v>0</v>
      </c>
      <c r="J29" s="687">
        <f>IFERROR($L$13/I29,0)</f>
        <v>0</v>
      </c>
      <c r="K29" s="684" t="str">
        <f t="shared" si="3"/>
        <v>Hauswirtschaft</v>
      </c>
      <c r="L29" s="446">
        <f t="shared" ref="L29:L31" si="5">IF(F29=0,0,F29*M29+F29)</f>
        <v>0</v>
      </c>
      <c r="M29" s="445"/>
      <c r="N29" s="423"/>
      <c r="O29" s="1498"/>
      <c r="P29" s="1499"/>
      <c r="Q29" s="1499"/>
      <c r="R29" s="1500"/>
    </row>
    <row r="30" spans="1:25" x14ac:dyDescent="0.2">
      <c r="A30" s="125"/>
      <c r="B30" s="115" t="s">
        <v>30</v>
      </c>
      <c r="C30" s="210"/>
      <c r="D30" s="598">
        <f t="shared" ref="D30:D31" si="6">IFERROR($F$13/C30,0)</f>
        <v>0</v>
      </c>
      <c r="E30" s="106" t="str">
        <f t="shared" si="2"/>
        <v>Küche</v>
      </c>
      <c r="F30" s="212"/>
      <c r="G30" s="470"/>
      <c r="H30" s="115" t="s">
        <v>30</v>
      </c>
      <c r="I30" s="681">
        <f t="shared" si="4"/>
        <v>0</v>
      </c>
      <c r="J30" s="687">
        <f t="shared" ref="J30:J31" si="7">IFERROR($L$13/I30,0)</f>
        <v>0</v>
      </c>
      <c r="K30" s="684" t="str">
        <f t="shared" si="3"/>
        <v>Küche</v>
      </c>
      <c r="L30" s="446">
        <f t="shared" si="5"/>
        <v>0</v>
      </c>
      <c r="M30" s="445"/>
      <c r="N30" s="423"/>
      <c r="O30" s="1498"/>
      <c r="P30" s="1499"/>
      <c r="Q30" s="1499"/>
      <c r="R30" s="1500"/>
      <c r="T30" s="431"/>
    </row>
    <row r="31" spans="1:25" x14ac:dyDescent="0.2">
      <c r="A31" s="125"/>
      <c r="B31" s="115" t="s">
        <v>31</v>
      </c>
      <c r="C31" s="210"/>
      <c r="D31" s="598">
        <f t="shared" si="6"/>
        <v>0</v>
      </c>
      <c r="E31" s="107" t="str">
        <f>B31</f>
        <v>Haustechnik</v>
      </c>
      <c r="F31" s="212"/>
      <c r="G31" s="470"/>
      <c r="H31" s="115" t="s">
        <v>31</v>
      </c>
      <c r="I31" s="681">
        <f t="shared" si="4"/>
        <v>0</v>
      </c>
      <c r="J31" s="687">
        <f t="shared" si="7"/>
        <v>0</v>
      </c>
      <c r="K31" s="683" t="str">
        <f>H31</f>
        <v>Haustechnik</v>
      </c>
      <c r="L31" s="446">
        <f t="shared" si="5"/>
        <v>0</v>
      </c>
      <c r="M31" s="445"/>
      <c r="N31" s="423"/>
      <c r="O31" s="1498"/>
      <c r="P31" s="1499"/>
      <c r="Q31" s="1499"/>
      <c r="R31" s="1500"/>
    </row>
    <row r="32" spans="1:25" ht="29.25" customHeight="1" x14ac:dyDescent="0.25">
      <c r="A32" s="125"/>
      <c r="B32" s="1475" t="s">
        <v>453</v>
      </c>
      <c r="C32" s="1476"/>
      <c r="D32" s="1156"/>
      <c r="E32" s="107" t="str">
        <f>B32</f>
        <v>Freiwillige Dienste/ FSJ Einsatz</v>
      </c>
      <c r="F32" s="213"/>
      <c r="G32" s="470"/>
      <c r="H32" s="1475" t="s">
        <v>452</v>
      </c>
      <c r="I32" s="1477"/>
      <c r="J32" s="1155"/>
      <c r="K32" s="683" t="str">
        <f>H32</f>
        <v>Freiwillige Dienste/FSJ Einsatz</v>
      </c>
      <c r="L32" s="447">
        <f>IF(OR(F32=0,J32=0),0,F32*M32+F32)</f>
        <v>0</v>
      </c>
      <c r="M32" s="445"/>
      <c r="N32" s="424"/>
      <c r="O32" s="1498"/>
      <c r="P32" s="1499"/>
      <c r="Q32" s="1499"/>
      <c r="R32" s="1500"/>
      <c r="T32" s="444" t="s">
        <v>314</v>
      </c>
      <c r="U32" s="436"/>
      <c r="V32" s="436"/>
      <c r="W32" s="436"/>
    </row>
    <row r="33" spans="1:30" ht="13.9" customHeight="1" x14ac:dyDescent="0.2">
      <c r="A33" s="125"/>
      <c r="O33" s="1501"/>
      <c r="P33" s="1502"/>
      <c r="Q33" s="1502"/>
      <c r="R33" s="1503"/>
      <c r="T33" s="1468" t="s">
        <v>328</v>
      </c>
      <c r="U33" s="1468"/>
      <c r="V33" s="1468"/>
      <c r="W33" s="1468"/>
      <c r="X33" s="1468"/>
      <c r="Y33" s="1468"/>
      <c r="Z33" s="1468"/>
      <c r="AA33" s="1468"/>
      <c r="AB33" s="1468"/>
      <c r="AC33" s="1468"/>
    </row>
    <row r="34" spans="1:30" ht="3" customHeight="1" x14ac:dyDescent="0.2">
      <c r="A34" s="125"/>
      <c r="R34" s="19"/>
      <c r="T34" s="1468"/>
      <c r="U34" s="1468"/>
      <c r="V34" s="1468"/>
      <c r="W34" s="1468"/>
      <c r="X34" s="1468"/>
      <c r="Y34" s="1468"/>
      <c r="Z34" s="1468"/>
      <c r="AA34" s="1468"/>
      <c r="AB34" s="1468"/>
      <c r="AC34" s="1468"/>
    </row>
    <row r="35" spans="1:30" ht="15" customHeight="1" x14ac:dyDescent="0.25">
      <c r="A35" s="408"/>
      <c r="B35" s="151" t="s">
        <v>85</v>
      </c>
      <c r="C35" s="152"/>
      <c r="D35" s="152"/>
      <c r="E35" s="152"/>
      <c r="F35" s="804" t="s">
        <v>475</v>
      </c>
      <c r="H35" s="151" t="s">
        <v>85</v>
      </c>
      <c r="I35" s="152"/>
      <c r="J35" s="152"/>
      <c r="K35" s="152"/>
      <c r="L35" s="804" t="s">
        <v>475</v>
      </c>
      <c r="M35" s="445"/>
      <c r="N35" s="424"/>
      <c r="O35" s="1439" t="s">
        <v>294</v>
      </c>
      <c r="P35" s="1440"/>
      <c r="Q35" s="1440"/>
      <c r="R35" s="1441"/>
      <c r="T35" s="1468"/>
      <c r="U35" s="1468"/>
      <c r="V35" s="1468"/>
      <c r="W35" s="1468"/>
      <c r="X35" s="1468"/>
      <c r="Y35" s="1468"/>
      <c r="Z35" s="1468"/>
      <c r="AA35" s="1468"/>
      <c r="AB35" s="1468"/>
      <c r="AC35" s="1468"/>
    </row>
    <row r="36" spans="1:30" ht="14.25" customHeight="1" x14ac:dyDescent="0.2">
      <c r="A36" s="409"/>
      <c r="B36" s="133" t="s">
        <v>194</v>
      </c>
      <c r="C36" s="101" t="s">
        <v>35</v>
      </c>
      <c r="D36" s="97"/>
      <c r="E36" s="102"/>
      <c r="F36" s="214"/>
      <c r="G36" s="20"/>
      <c r="H36" s="590" t="s">
        <v>194</v>
      </c>
      <c r="I36" s="82" t="s">
        <v>35</v>
      </c>
      <c r="K36" s="19"/>
      <c r="L36" s="562">
        <f>IF($M$35&lt;&gt;0,F36*(100%+$M$35),F36)</f>
        <v>0</v>
      </c>
      <c r="M36" s="481" t="str">
        <f>(IFERROR(L36/B_PH_Gesamtkalkulation!$P$6,""))</f>
        <v/>
      </c>
      <c r="N36" s="193"/>
      <c r="O36" s="1486"/>
      <c r="P36" s="1487"/>
      <c r="Q36" s="1487"/>
      <c r="R36" s="1488"/>
      <c r="T36" s="435"/>
      <c r="U36" s="434"/>
      <c r="V36" s="434"/>
      <c r="W36" s="434"/>
    </row>
    <row r="37" spans="1:30" ht="15" x14ac:dyDescent="0.25">
      <c r="A37" s="410"/>
      <c r="B37" s="134" t="s">
        <v>195</v>
      </c>
      <c r="C37" s="101" t="s">
        <v>192</v>
      </c>
      <c r="D37" s="97"/>
      <c r="E37" s="102"/>
      <c r="F37" s="214"/>
      <c r="G37" s="20"/>
      <c r="H37" s="154" t="s">
        <v>195</v>
      </c>
      <c r="I37" s="97" t="s">
        <v>192</v>
      </c>
      <c r="J37" s="97"/>
      <c r="K37" s="102"/>
      <c r="L37" s="562">
        <f t="shared" ref="L37:L43" si="8">IF($M$35&lt;&gt;0,F37*(100%+$M$35),F37)</f>
        <v>0</v>
      </c>
      <c r="M37" s="481" t="str">
        <f>(IFERROR(L37/B_PH_Gesamtkalkulation!$P$6,""))</f>
        <v/>
      </c>
      <c r="N37" s="193"/>
      <c r="O37" s="1489"/>
      <c r="P37" s="1490"/>
      <c r="Q37" s="1490"/>
      <c r="R37" s="1491"/>
      <c r="T37" s="437" t="s">
        <v>324</v>
      </c>
    </row>
    <row r="38" spans="1:30" ht="13.9" customHeight="1" x14ac:dyDescent="0.2">
      <c r="A38" s="410"/>
      <c r="B38" s="134" t="s">
        <v>196</v>
      </c>
      <c r="C38" s="101" t="s">
        <v>451</v>
      </c>
      <c r="D38" s="97"/>
      <c r="E38" s="102"/>
      <c r="F38" s="214"/>
      <c r="G38" s="20"/>
      <c r="H38" s="154" t="s">
        <v>196</v>
      </c>
      <c r="I38" s="97" t="s">
        <v>451</v>
      </c>
      <c r="J38" s="97"/>
      <c r="K38" s="102"/>
      <c r="L38" s="562">
        <f t="shared" si="8"/>
        <v>0</v>
      </c>
      <c r="M38" s="481" t="str">
        <f>(IFERROR(L38/B_PH_Gesamtkalkulation!$P$6,""))</f>
        <v/>
      </c>
      <c r="N38" s="193"/>
      <c r="O38" s="1489"/>
      <c r="P38" s="1490"/>
      <c r="Q38" s="1490"/>
      <c r="R38" s="1491"/>
      <c r="T38" s="1467"/>
      <c r="U38" s="1467"/>
      <c r="V38" s="1467"/>
      <c r="W38" s="1467"/>
      <c r="X38" s="1467"/>
      <c r="Y38" s="1467"/>
      <c r="Z38" s="1467"/>
      <c r="AA38" s="1467"/>
      <c r="AB38" s="1467"/>
      <c r="AC38" s="1467"/>
      <c r="AD38" s="1467"/>
    </row>
    <row r="39" spans="1:30" x14ac:dyDescent="0.2">
      <c r="A39" s="410"/>
      <c r="B39" s="134" t="s">
        <v>197</v>
      </c>
      <c r="C39" s="20" t="s">
        <v>40</v>
      </c>
      <c r="E39" s="19"/>
      <c r="F39" s="214"/>
      <c r="G39" s="20"/>
      <c r="H39" s="154" t="s">
        <v>197</v>
      </c>
      <c r="I39" s="97" t="s">
        <v>40</v>
      </c>
      <c r="J39" s="97"/>
      <c r="K39" s="102"/>
      <c r="L39" s="562">
        <f t="shared" si="8"/>
        <v>0</v>
      </c>
      <c r="M39" s="481" t="str">
        <f>(IFERROR(L39/B_PH_Gesamtkalkulation!$P$6,""))</f>
        <v/>
      </c>
      <c r="N39" s="193"/>
      <c r="O39" s="1489"/>
      <c r="P39" s="1490"/>
      <c r="Q39" s="1490"/>
      <c r="R39" s="1491"/>
      <c r="T39" s="430" t="s">
        <v>316</v>
      </c>
    </row>
    <row r="40" spans="1:30" x14ac:dyDescent="0.2">
      <c r="A40" s="410"/>
      <c r="B40" s="134" t="s">
        <v>198</v>
      </c>
      <c r="C40" s="101" t="s">
        <v>42</v>
      </c>
      <c r="D40" s="97"/>
      <c r="E40" s="102"/>
      <c r="F40" s="214"/>
      <c r="G40" s="20"/>
      <c r="H40" s="154" t="s">
        <v>198</v>
      </c>
      <c r="I40" t="s">
        <v>42</v>
      </c>
      <c r="K40" s="19"/>
      <c r="L40" s="562">
        <f t="shared" si="8"/>
        <v>0</v>
      </c>
      <c r="M40" s="481" t="str">
        <f>(IFERROR(L40/B_PH_Gesamtkalkulation!$P$6,""))</f>
        <v/>
      </c>
      <c r="N40" s="193"/>
      <c r="O40" s="1489"/>
      <c r="P40" s="1490"/>
      <c r="Q40" s="1490"/>
      <c r="R40" s="1491"/>
      <c r="T40" s="430" t="s">
        <v>315</v>
      </c>
    </row>
    <row r="41" spans="1:30" x14ac:dyDescent="0.2">
      <c r="A41" s="410"/>
      <c r="B41" s="134" t="s">
        <v>199</v>
      </c>
      <c r="C41" s="20" t="s">
        <v>44</v>
      </c>
      <c r="E41" s="19"/>
      <c r="F41" s="214"/>
      <c r="G41" s="20"/>
      <c r="H41" s="154" t="s">
        <v>199</v>
      </c>
      <c r="I41" s="97" t="s">
        <v>44</v>
      </c>
      <c r="J41" s="97"/>
      <c r="K41" s="102"/>
      <c r="L41" s="562">
        <f t="shared" si="8"/>
        <v>0</v>
      </c>
      <c r="M41" s="481" t="str">
        <f>(IFERROR(L41/B_PH_Gesamtkalkulation!$P$6,""))</f>
        <v/>
      </c>
      <c r="N41" s="193"/>
      <c r="O41" s="1489"/>
      <c r="P41" s="1490"/>
      <c r="Q41" s="1490"/>
      <c r="R41" s="1491"/>
    </row>
    <row r="42" spans="1:30" ht="15" x14ac:dyDescent="0.25">
      <c r="A42" s="410"/>
      <c r="B42" s="134" t="s">
        <v>200</v>
      </c>
      <c r="C42" s="101" t="s">
        <v>46</v>
      </c>
      <c r="D42" s="97"/>
      <c r="E42" s="102"/>
      <c r="F42" s="214"/>
      <c r="G42" s="20"/>
      <c r="H42" s="154" t="s">
        <v>200</v>
      </c>
      <c r="I42" t="s">
        <v>46</v>
      </c>
      <c r="K42" s="19"/>
      <c r="L42" s="562">
        <f t="shared" si="8"/>
        <v>0</v>
      </c>
      <c r="M42" s="481" t="str">
        <f>(IFERROR(L42/B_PH_Gesamtkalkulation!$P$6,""))</f>
        <v/>
      </c>
      <c r="N42" s="193"/>
      <c r="O42" s="1489"/>
      <c r="P42" s="1490"/>
      <c r="Q42" s="1490"/>
      <c r="R42" s="1491"/>
      <c r="T42" s="438" t="s">
        <v>318</v>
      </c>
    </row>
    <row r="43" spans="1:30" x14ac:dyDescent="0.2">
      <c r="A43" s="410"/>
      <c r="B43" s="134" t="s">
        <v>201</v>
      </c>
      <c r="C43" s="103" t="s">
        <v>48</v>
      </c>
      <c r="E43" s="19"/>
      <c r="F43" s="214"/>
      <c r="G43" s="20"/>
      <c r="H43" s="154" t="s">
        <v>201</v>
      </c>
      <c r="I43" s="97" t="s">
        <v>48</v>
      </c>
      <c r="J43" s="97"/>
      <c r="K43" s="102"/>
      <c r="L43" s="562">
        <f t="shared" si="8"/>
        <v>0</v>
      </c>
      <c r="M43" s="481" t="str">
        <f>(IFERROR(L43/B_PH_Gesamtkalkulation!$P$6,""))</f>
        <v/>
      </c>
      <c r="N43" s="193"/>
      <c r="O43" s="1489"/>
      <c r="P43" s="1490"/>
      <c r="Q43" s="1490"/>
      <c r="R43" s="1491"/>
      <c r="T43" s="443" t="s">
        <v>319</v>
      </c>
      <c r="U43" s="443"/>
      <c r="V43" s="443"/>
      <c r="W43" s="443" t="s">
        <v>320</v>
      </c>
    </row>
    <row r="44" spans="1:30" x14ac:dyDescent="0.2">
      <c r="A44" s="410"/>
      <c r="B44" s="101"/>
      <c r="C44" s="97" t="s">
        <v>193</v>
      </c>
      <c r="D44" s="97"/>
      <c r="E44" s="102"/>
      <c r="F44" s="110">
        <f>SUM(F36:F43)</f>
        <v>0</v>
      </c>
      <c r="G44" s="20"/>
      <c r="H44" s="99"/>
      <c r="I44" s="82" t="s">
        <v>193</v>
      </c>
      <c r="J44" s="82"/>
      <c r="K44" s="82"/>
      <c r="L44" s="563">
        <f>SUM(L36:L43)</f>
        <v>0</v>
      </c>
      <c r="M44" s="483">
        <f>SUM(M36:M43)</f>
        <v>0</v>
      </c>
      <c r="N44" s="193"/>
      <c r="O44" s="1489"/>
      <c r="P44" s="1490"/>
      <c r="Q44" s="1490"/>
      <c r="R44" s="1491"/>
      <c r="U44" s="440">
        <v>0</v>
      </c>
      <c r="V44" s="440" t="s">
        <v>325</v>
      </c>
      <c r="W44" s="442">
        <v>0</v>
      </c>
    </row>
    <row r="45" spans="1:30" ht="3" customHeight="1" x14ac:dyDescent="0.2">
      <c r="A45" s="125"/>
      <c r="H45" s="20"/>
      <c r="L45" s="564"/>
      <c r="M45" s="412"/>
      <c r="O45" s="1492"/>
      <c r="P45" s="1493"/>
      <c r="Q45" s="1493"/>
      <c r="R45" s="1494"/>
      <c r="U45" s="430" t="s">
        <v>321</v>
      </c>
    </row>
    <row r="46" spans="1:30" ht="15" x14ac:dyDescent="0.25">
      <c r="A46" s="125"/>
      <c r="B46" s="151" t="s">
        <v>202</v>
      </c>
      <c r="C46" s="152"/>
      <c r="D46" s="152"/>
      <c r="E46" s="152"/>
      <c r="F46" s="804" t="s">
        <v>475</v>
      </c>
      <c r="H46" s="151" t="s">
        <v>202</v>
      </c>
      <c r="I46" s="152"/>
      <c r="J46" s="152"/>
      <c r="K46" s="152"/>
      <c r="L46" s="804" t="s">
        <v>475</v>
      </c>
      <c r="M46" s="469"/>
      <c r="N46" s="420"/>
      <c r="O46" s="1439" t="s">
        <v>295</v>
      </c>
      <c r="P46" s="1440"/>
      <c r="Q46" s="1440"/>
      <c r="R46" s="1441"/>
      <c r="U46" s="430" t="s">
        <v>326</v>
      </c>
      <c r="W46" s="430" t="s">
        <v>322</v>
      </c>
    </row>
    <row r="47" spans="1:30" x14ac:dyDescent="0.2">
      <c r="A47" s="411"/>
      <c r="B47" s="153" t="s">
        <v>203</v>
      </c>
      <c r="C47" t="s">
        <v>30</v>
      </c>
      <c r="E47" s="19"/>
      <c r="F47" s="215"/>
      <c r="G47" s="20"/>
      <c r="H47" s="153" t="s">
        <v>203</v>
      </c>
      <c r="I47" t="s">
        <v>30</v>
      </c>
      <c r="K47" s="135"/>
      <c r="L47" s="565">
        <f>IF($M$46&lt;&gt;0,F47*(100%+$M$46),F47)</f>
        <v>0</v>
      </c>
      <c r="M47" s="481" t="str">
        <f>(IFERROR(L47/B_PH_Gesamtkalkulation!$P$6,""))</f>
        <v/>
      </c>
      <c r="N47" s="193"/>
      <c r="O47" s="1486"/>
      <c r="P47" s="1487"/>
      <c r="Q47" s="1487"/>
      <c r="R47" s="1488"/>
      <c r="U47" s="430" t="s">
        <v>327</v>
      </c>
      <c r="W47" s="430" t="s">
        <v>323</v>
      </c>
    </row>
    <row r="48" spans="1:30" x14ac:dyDescent="0.2">
      <c r="A48" s="411"/>
      <c r="B48" s="154" t="s">
        <v>204</v>
      </c>
      <c r="C48" s="97" t="s">
        <v>32</v>
      </c>
      <c r="D48" s="97"/>
      <c r="E48" s="102"/>
      <c r="F48" s="105"/>
      <c r="G48" s="20"/>
      <c r="H48" s="154" t="s">
        <v>204</v>
      </c>
      <c r="I48" s="97" t="s">
        <v>32</v>
      </c>
      <c r="J48" s="97"/>
      <c r="K48" s="134"/>
      <c r="L48" s="565">
        <f t="shared" ref="L48:L53" si="9">IF($M$46&lt;&gt;0,F48*(100%+$M$46),F48)</f>
        <v>0</v>
      </c>
      <c r="M48" s="481" t="str">
        <f>(IFERROR(L48/B_PH_Gesamtkalkulation!$P$6,""))</f>
        <v/>
      </c>
      <c r="N48" s="193"/>
      <c r="O48" s="1489"/>
      <c r="P48" s="1490"/>
      <c r="Q48" s="1490"/>
      <c r="R48" s="1491"/>
      <c r="T48" s="441"/>
    </row>
    <row r="49" spans="1:20" x14ac:dyDescent="0.2">
      <c r="A49" s="411"/>
      <c r="B49" s="154" t="s">
        <v>205</v>
      </c>
      <c r="C49" s="97" t="s">
        <v>225</v>
      </c>
      <c r="D49" s="97"/>
      <c r="E49" s="102"/>
      <c r="F49" s="105"/>
      <c r="G49" s="20"/>
      <c r="H49" s="154" t="s">
        <v>205</v>
      </c>
      <c r="I49" s="101" t="s">
        <v>225</v>
      </c>
      <c r="K49" s="135"/>
      <c r="L49" s="565">
        <f t="shared" si="9"/>
        <v>0</v>
      </c>
      <c r="M49" s="481" t="str">
        <f>(IFERROR(L49/B_PH_Gesamtkalkulation!$P$6,""))</f>
        <v/>
      </c>
      <c r="N49" s="193"/>
      <c r="O49" s="1489"/>
      <c r="P49" s="1490"/>
      <c r="Q49" s="1490"/>
      <c r="R49" s="1491"/>
      <c r="T49" s="430" t="s">
        <v>317</v>
      </c>
    </row>
    <row r="50" spans="1:20" x14ac:dyDescent="0.2">
      <c r="A50" s="411"/>
      <c r="B50" s="154" t="s">
        <v>206</v>
      </c>
      <c r="C50" s="101" t="s">
        <v>33</v>
      </c>
      <c r="D50" s="97"/>
      <c r="E50" s="102"/>
      <c r="F50" s="105"/>
      <c r="G50" s="20"/>
      <c r="H50" s="154" t="s">
        <v>206</v>
      </c>
      <c r="I50" t="s">
        <v>33</v>
      </c>
      <c r="J50" s="21"/>
      <c r="K50" s="591"/>
      <c r="L50" s="565">
        <f t="shared" si="9"/>
        <v>0</v>
      </c>
      <c r="M50" s="481" t="str">
        <f>(IFERROR(L50/B_PH_Gesamtkalkulation!$P$6,""))</f>
        <v/>
      </c>
      <c r="N50" s="193"/>
      <c r="O50" s="1489"/>
      <c r="P50" s="1490"/>
      <c r="Q50" s="1490"/>
      <c r="R50" s="1491"/>
    </row>
    <row r="51" spans="1:20" x14ac:dyDescent="0.2">
      <c r="A51" s="411"/>
      <c r="B51" s="154" t="s">
        <v>207</v>
      </c>
      <c r="C51" t="s">
        <v>31</v>
      </c>
      <c r="E51" s="19"/>
      <c r="F51" s="105"/>
      <c r="G51" s="20"/>
      <c r="H51" s="154" t="s">
        <v>207</v>
      </c>
      <c r="I51" s="101" t="s">
        <v>31</v>
      </c>
      <c r="J51" s="97"/>
      <c r="K51" s="592"/>
      <c r="L51" s="565">
        <f t="shared" si="9"/>
        <v>0</v>
      </c>
      <c r="M51" s="481" t="str">
        <f>(IFERROR(L51/B_PH_Gesamtkalkulation!$P$6,""))</f>
        <v/>
      </c>
      <c r="N51" s="193"/>
      <c r="O51" s="1489"/>
      <c r="P51" s="1490"/>
      <c r="Q51" s="1490"/>
      <c r="R51" s="1491"/>
    </row>
    <row r="52" spans="1:20" x14ac:dyDescent="0.2">
      <c r="A52" s="411"/>
      <c r="B52" s="154" t="s">
        <v>208</v>
      </c>
      <c r="C52" s="1448"/>
      <c r="D52" s="1449"/>
      <c r="E52" s="1450"/>
      <c r="F52" s="105"/>
      <c r="G52" s="20"/>
      <c r="H52" s="154" t="s">
        <v>208</v>
      </c>
      <c r="I52" s="101" t="str">
        <f>IF(C52&lt;&gt;"",C52,"")</f>
        <v/>
      </c>
      <c r="J52" s="97"/>
      <c r="K52" s="592"/>
      <c r="L52" s="565">
        <f t="shared" ref="L52" si="10">IF($M$46&lt;&gt;0,F52*(100%+$M$46),F52)</f>
        <v>0</v>
      </c>
      <c r="M52" s="481" t="str">
        <f>(IFERROR(L52/B_PH_Gesamtkalkulation!$P$6,""))</f>
        <v/>
      </c>
      <c r="N52" s="193"/>
      <c r="O52" s="1489"/>
      <c r="P52" s="1490"/>
      <c r="Q52" s="1490"/>
      <c r="R52" s="1491"/>
    </row>
    <row r="53" spans="1:20" x14ac:dyDescent="0.2">
      <c r="A53" s="411"/>
      <c r="B53" s="154" t="s">
        <v>543</v>
      </c>
      <c r="C53" s="1445"/>
      <c r="D53" s="1446"/>
      <c r="E53" s="1447"/>
      <c r="F53" s="105"/>
      <c r="G53" s="20"/>
      <c r="H53" s="154" t="s">
        <v>543</v>
      </c>
      <c r="I53" s="101" t="str">
        <f>IF(C53&lt;&gt;"",C53,"")</f>
        <v/>
      </c>
      <c r="K53" s="135"/>
      <c r="L53" s="565">
        <f t="shared" si="9"/>
        <v>0</v>
      </c>
      <c r="M53" s="481" t="str">
        <f>(IFERROR(L53/B_PH_Gesamtkalkulation!$P$6,""))</f>
        <v/>
      </c>
      <c r="N53" s="193"/>
      <c r="O53" s="1489"/>
      <c r="P53" s="1490"/>
      <c r="Q53" s="1490"/>
      <c r="R53" s="1491"/>
    </row>
    <row r="54" spans="1:20" x14ac:dyDescent="0.2">
      <c r="A54" s="410"/>
      <c r="B54" s="99"/>
      <c r="C54" s="97" t="s">
        <v>193</v>
      </c>
      <c r="D54" s="97"/>
      <c r="E54" s="102"/>
      <c r="F54" s="109">
        <f>SUM(F47:F53)</f>
        <v>0</v>
      </c>
      <c r="G54" s="412"/>
      <c r="H54" s="101"/>
      <c r="I54" s="101" t="s">
        <v>193</v>
      </c>
      <c r="J54" s="97"/>
      <c r="K54" s="97"/>
      <c r="L54" s="563">
        <f>SUM(L47:L53)</f>
        <v>0</v>
      </c>
      <c r="M54" s="483">
        <f>SUM(M47:M53)</f>
        <v>0</v>
      </c>
      <c r="N54" s="193"/>
      <c r="O54" s="1492"/>
      <c r="P54" s="1493"/>
      <c r="Q54" s="1493"/>
      <c r="R54" s="1494"/>
    </row>
    <row r="55" spans="1:20" ht="9" customHeight="1" x14ac:dyDescent="0.2">
      <c r="F55" s="21"/>
      <c r="R55" s="19"/>
    </row>
    <row r="56" spans="1:20" ht="13.9" customHeight="1" x14ac:dyDescent="0.25">
      <c r="A56" s="20"/>
      <c r="B56" s="1442" t="s">
        <v>391</v>
      </c>
      <c r="C56" s="1443"/>
      <c r="D56" s="1443"/>
      <c r="E56" s="1443"/>
      <c r="F56" s="1444"/>
      <c r="H56" s="151" t="s">
        <v>391</v>
      </c>
      <c r="I56" s="152"/>
      <c r="J56" s="152"/>
      <c r="K56" s="136"/>
      <c r="R56" s="19"/>
    </row>
    <row r="57" spans="1:20" ht="13.9" customHeight="1" x14ac:dyDescent="0.2">
      <c r="A57" s="20"/>
      <c r="C57" s="101" t="s">
        <v>391</v>
      </c>
      <c r="D57" s="97"/>
      <c r="E57" s="600" t="s">
        <v>394</v>
      </c>
      <c r="F57" s="906"/>
      <c r="I57" s="602" t="s">
        <v>392</v>
      </c>
      <c r="J57" s="97"/>
      <c r="K57" s="102"/>
      <c r="L57" s="835" cm="1">
        <f t="array" ref="L57">SUMPRODUCT(J21:J26*L21:L26)+SUMPRODUCT(J29:J32*L29:L32)+L44+L54</f>
        <v>0</v>
      </c>
      <c r="R57" s="19"/>
    </row>
    <row r="58" spans="1:20" ht="13.9" customHeight="1" x14ac:dyDescent="0.2">
      <c r="A58" s="20"/>
      <c r="C58" s="101" t="s">
        <v>391</v>
      </c>
      <c r="D58" s="97"/>
      <c r="E58" s="1183" t="s">
        <v>1304</v>
      </c>
      <c r="F58" s="1182"/>
      <c r="H58" s="154" t="s">
        <v>393</v>
      </c>
      <c r="I58" s="101" t="s">
        <v>391</v>
      </c>
      <c r="J58" s="97"/>
      <c r="K58" s="600" t="s">
        <v>394</v>
      </c>
      <c r="L58" s="905"/>
      <c r="M58" s="835">
        <f>L58*L57</f>
        <v>0</v>
      </c>
      <c r="O58" s="899"/>
      <c r="R58" s="19"/>
    </row>
    <row r="59" spans="1:20" ht="13.9" customHeight="1" x14ac:dyDescent="0.2">
      <c r="A59" s="20"/>
      <c r="H59" s="135"/>
      <c r="K59" s="603"/>
      <c r="L59" s="688"/>
      <c r="R59" s="19"/>
    </row>
    <row r="60" spans="1:20" ht="13.9" customHeight="1" x14ac:dyDescent="0.2">
      <c r="A60" s="20"/>
      <c r="C60" s="101" t="s">
        <v>395</v>
      </c>
      <c r="D60" s="97"/>
      <c r="E60" s="102"/>
      <c r="F60" s="1182"/>
      <c r="I60" s="101" t="s">
        <v>395</v>
      </c>
      <c r="J60" s="797">
        <f>KAT!D46-B_PH_Kalkulation!J28</f>
        <v>0.75</v>
      </c>
      <c r="K60" s="601">
        <f>KAT!D54</f>
        <v>98662</v>
      </c>
      <c r="L60" s="593"/>
      <c r="M60" s="835">
        <f>(L60="ja")*(KAT!D46-B_PH_Kalkulation!J28&gt;0)*(KAT!D46-B_PH_Kalkulation!J28)*K60</f>
        <v>0</v>
      </c>
      <c r="R60" s="19"/>
    </row>
    <row r="61" spans="1:20" ht="13.9" customHeight="1" x14ac:dyDescent="0.2">
      <c r="A61" s="20"/>
      <c r="B61" s="154" t="s">
        <v>393</v>
      </c>
      <c r="C61" s="101" t="s">
        <v>1314</v>
      </c>
      <c r="D61" s="97"/>
      <c r="E61" s="102"/>
      <c r="F61" s="835">
        <f>F58+F60</f>
        <v>0</v>
      </c>
      <c r="H61" s="154" t="s">
        <v>393</v>
      </c>
      <c r="I61" s="101" t="s">
        <v>396</v>
      </c>
      <c r="J61" s="97"/>
      <c r="K61" s="600"/>
      <c r="M61" s="835">
        <f>SUM(M58:M60)</f>
        <v>0</v>
      </c>
      <c r="R61" s="19"/>
    </row>
    <row r="62" spans="1:20" ht="13.9" customHeight="1" x14ac:dyDescent="0.2">
      <c r="A62" s="20"/>
      <c r="D62" s="1095"/>
      <c r="J62" s="1095"/>
      <c r="K62" s="1094"/>
      <c r="R62" s="19"/>
    </row>
    <row r="63" spans="1:20" ht="13.9" customHeight="1" thickBot="1" x14ac:dyDescent="0.3">
      <c r="A63" s="20"/>
      <c r="B63" s="60" t="s">
        <v>1305</v>
      </c>
      <c r="D63" s="1095"/>
      <c r="H63" s="60" t="s">
        <v>1306</v>
      </c>
      <c r="J63" s="1095"/>
      <c r="K63" s="1094"/>
      <c r="R63" s="19"/>
    </row>
    <row r="64" spans="1:20" ht="13.9" customHeight="1" x14ac:dyDescent="0.25">
      <c r="A64" s="20"/>
      <c r="B64" s="148" t="s">
        <v>1307</v>
      </c>
      <c r="C64" s="149"/>
      <c r="D64" s="149"/>
      <c r="E64" s="149"/>
      <c r="F64" s="150"/>
      <c r="H64" s="148" t="s">
        <v>1307</v>
      </c>
      <c r="I64" s="149"/>
      <c r="J64" s="149"/>
      <c r="K64" s="149"/>
      <c r="L64" s="150"/>
      <c r="R64" s="19"/>
    </row>
    <row r="65" spans="1:34" ht="13.9" customHeight="1" x14ac:dyDescent="0.2">
      <c r="A65" s="20"/>
      <c r="B65" s="143" t="s">
        <v>50</v>
      </c>
      <c r="C65" s="145" t="s">
        <v>51</v>
      </c>
      <c r="D65" s="145" t="s">
        <v>52</v>
      </c>
      <c r="E65" s="145" t="s">
        <v>53</v>
      </c>
      <c r="F65" s="146" t="s">
        <v>54</v>
      </c>
      <c r="H65" s="143" t="s">
        <v>50</v>
      </c>
      <c r="I65" s="145" t="s">
        <v>51</v>
      </c>
      <c r="J65" s="145" t="s">
        <v>52</v>
      </c>
      <c r="K65" s="145" t="s">
        <v>53</v>
      </c>
      <c r="L65" s="146" t="s">
        <v>54</v>
      </c>
      <c r="R65" s="19"/>
    </row>
    <row r="66" spans="1:34" ht="13.9" customHeight="1" thickBot="1" x14ac:dyDescent="0.25">
      <c r="A66" s="20"/>
      <c r="B66" s="1152"/>
      <c r="C66" s="1153"/>
      <c r="D66" s="1153"/>
      <c r="E66" s="1153"/>
      <c r="F66" s="1154"/>
      <c r="H66" s="111" t="str">
        <f>B_PH_Gesamtkalkulation!J57</f>
        <v/>
      </c>
      <c r="I66" s="112">
        <f>IFERROR(B_PH_Gesamtkalkulation!L57,0)</f>
        <v>0</v>
      </c>
      <c r="J66" s="112">
        <f>IFERROR(B_PH_Gesamtkalkulation!N57,0)</f>
        <v>0</v>
      </c>
      <c r="K66" s="112">
        <f>IFERROR(B_PH_Gesamtkalkulation!P57,0)</f>
        <v>0</v>
      </c>
      <c r="L66" s="113">
        <f>IFERROR(B_PH_Gesamtkalkulation!R57,0)</f>
        <v>0</v>
      </c>
      <c r="R66" s="19"/>
    </row>
    <row r="67" spans="1:34" ht="13.9" customHeight="1" thickBot="1" x14ac:dyDescent="0.25">
      <c r="A67" s="20"/>
      <c r="B67" s="156"/>
      <c r="C67" s="156"/>
      <c r="D67" s="156"/>
      <c r="E67" s="156"/>
      <c r="F67" s="156"/>
      <c r="H67" s="156"/>
      <c r="I67" s="156"/>
      <c r="J67" s="156"/>
      <c r="K67" s="156"/>
      <c r="L67" s="156"/>
      <c r="R67" s="19"/>
    </row>
    <row r="68" spans="1:34" ht="13.9" customHeight="1" x14ac:dyDescent="0.2">
      <c r="A68" s="20"/>
      <c r="B68" s="1456" t="s">
        <v>1308</v>
      </c>
      <c r="C68" s="1457"/>
      <c r="D68" s="1457"/>
      <c r="E68" s="1457"/>
      <c r="F68" s="1458"/>
      <c r="H68" s="1456" t="s">
        <v>1308</v>
      </c>
      <c r="I68" s="1457"/>
      <c r="J68" s="1457"/>
      <c r="K68" s="1457"/>
      <c r="L68" s="1458"/>
      <c r="R68" s="19"/>
    </row>
    <row r="69" spans="1:34" ht="13.9" customHeight="1" x14ac:dyDescent="0.2">
      <c r="A69" s="20"/>
      <c r="B69" s="583"/>
      <c r="C69" s="114"/>
      <c r="D69" s="114"/>
      <c r="E69" s="114"/>
      <c r="F69" s="146" t="s">
        <v>471</v>
      </c>
      <c r="H69" s="583"/>
      <c r="I69" s="114"/>
      <c r="J69" s="114"/>
      <c r="K69" s="114"/>
      <c r="L69" s="146" t="s">
        <v>471</v>
      </c>
      <c r="R69" s="19"/>
    </row>
    <row r="70" spans="1:34" ht="13.9" customHeight="1" thickBot="1" x14ac:dyDescent="0.25">
      <c r="A70" s="20"/>
      <c r="B70" s="582"/>
      <c r="C70" s="606"/>
      <c r="D70" s="606"/>
      <c r="E70" s="606"/>
      <c r="F70" s="1154"/>
      <c r="H70" s="582"/>
      <c r="I70" s="606"/>
      <c r="J70" s="606"/>
      <c r="K70" s="606"/>
      <c r="L70" s="113">
        <f>IFERROR(B_PH_Gesamtkalkulation!J61,0)</f>
        <v>0</v>
      </c>
      <c r="R70" s="19"/>
    </row>
    <row r="71" spans="1:34" ht="13.9" customHeight="1" thickBot="1" x14ac:dyDescent="0.25">
      <c r="A71" s="20"/>
      <c r="D71" s="1095"/>
      <c r="E71" s="1094"/>
      <c r="J71" s="1095"/>
      <c r="K71" s="1094"/>
      <c r="R71" s="19"/>
    </row>
    <row r="72" spans="1:34" s="137" customFormat="1" ht="15" x14ac:dyDescent="0.25">
      <c r="A72" s="413"/>
      <c r="B72" s="142"/>
      <c r="C72" s="1459" t="s">
        <v>210</v>
      </c>
      <c r="D72" s="1460"/>
      <c r="E72" s="1461"/>
      <c r="G72"/>
      <c r="H72" s="142"/>
      <c r="I72" s="1459" t="s">
        <v>210</v>
      </c>
      <c r="J72" s="1460"/>
      <c r="K72" s="1461"/>
      <c r="O72" s="1451"/>
      <c r="P72" s="1451"/>
      <c r="Q72" s="1451"/>
      <c r="R72" s="1452"/>
      <c r="T72" s="438"/>
      <c r="U72" s="430"/>
      <c r="V72" s="430"/>
      <c r="W72" s="430"/>
      <c r="X72" s="430"/>
      <c r="Y72" s="430"/>
      <c r="Z72" s="430"/>
      <c r="AA72" s="430"/>
      <c r="AB72" s="430"/>
      <c r="AC72" s="430"/>
      <c r="AD72" s="430"/>
      <c r="AE72" s="433"/>
      <c r="AF72" s="433"/>
    </row>
    <row r="73" spans="1:34" s="137" customFormat="1" ht="14.45" customHeight="1" x14ac:dyDescent="0.2">
      <c r="A73" s="413"/>
      <c r="B73" s="143" t="s">
        <v>212</v>
      </c>
      <c r="C73" s="145" t="s">
        <v>209</v>
      </c>
      <c r="D73" s="145" t="s">
        <v>92</v>
      </c>
      <c r="E73" s="146" t="s">
        <v>473</v>
      </c>
      <c r="F73" s="141"/>
      <c r="G73" s="114"/>
      <c r="H73" s="143" t="s">
        <v>212</v>
      </c>
      <c r="I73" s="145" t="s">
        <v>209</v>
      </c>
      <c r="J73" s="145" t="s">
        <v>92</v>
      </c>
      <c r="K73" s="146" t="s">
        <v>473</v>
      </c>
      <c r="L73" s="141"/>
      <c r="N73" s="141"/>
      <c r="O73" s="1058"/>
      <c r="P73" s="1058"/>
      <c r="Q73" s="1058"/>
      <c r="R73" s="1059"/>
      <c r="T73" s="439"/>
      <c r="U73" s="439"/>
      <c r="V73" s="432"/>
      <c r="W73" s="432"/>
      <c r="X73" s="439"/>
      <c r="Y73" s="432"/>
      <c r="Z73" s="430"/>
      <c r="AA73" s="430"/>
      <c r="AB73" s="430"/>
      <c r="AC73" s="430"/>
      <c r="AD73" s="430"/>
      <c r="AE73" s="433"/>
      <c r="AF73" s="433"/>
    </row>
    <row r="74" spans="1:34" ht="15" thickBot="1" x14ac:dyDescent="0.25">
      <c r="A74" s="20"/>
      <c r="B74" s="1152"/>
      <c r="C74" s="1153"/>
      <c r="D74" s="1153"/>
      <c r="E74" s="1154"/>
      <c r="G74" s="114"/>
      <c r="H74" s="111">
        <f>IFERROR(B_PH_Gesamtkalkulation!L54,0)</f>
        <v>0</v>
      </c>
      <c r="I74" s="112">
        <f>IFERROR(B_PH_Gesamtkalkulation!T57,0)</f>
        <v>0</v>
      </c>
      <c r="J74" s="112">
        <f>IFERROR(B_PH_Gesamtkalkulation!V57,0)</f>
        <v>0</v>
      </c>
      <c r="K74" s="113">
        <f>IFERROR(B_PH_Gesamtkalkulation!X57,0)</f>
        <v>0</v>
      </c>
      <c r="O74" s="1058"/>
      <c r="P74" s="1058"/>
      <c r="Q74" s="1058"/>
      <c r="R74" s="1059"/>
      <c r="U74" s="440"/>
      <c r="W74" s="440"/>
      <c r="X74" s="440"/>
    </row>
    <row r="75" spans="1:34" s="138" customFormat="1" ht="5.0999999999999996" customHeight="1" thickBot="1" x14ac:dyDescent="0.25">
      <c r="A75" s="159"/>
      <c r="B75" s="156"/>
      <c r="C75" s="144"/>
      <c r="D75" s="144"/>
      <c r="E75" s="144"/>
      <c r="G75" s="114"/>
      <c r="H75" s="156"/>
      <c r="I75" s="144"/>
      <c r="J75" s="144"/>
      <c r="K75" s="144"/>
      <c r="O75" s="1058"/>
      <c r="P75" s="1058"/>
      <c r="Q75" s="1058"/>
      <c r="R75" s="1059"/>
      <c r="T75" s="430"/>
      <c r="U75" s="430"/>
      <c r="V75" s="430"/>
      <c r="W75" s="430"/>
      <c r="X75" s="430"/>
      <c r="Y75" s="430"/>
      <c r="Z75" s="430"/>
      <c r="AA75" s="430"/>
      <c r="AB75" s="430"/>
      <c r="AC75" s="430"/>
      <c r="AD75" s="430"/>
      <c r="AE75" s="430"/>
      <c r="AF75" s="430"/>
      <c r="AG75"/>
      <c r="AH75"/>
    </row>
    <row r="76" spans="1:34" x14ac:dyDescent="0.2">
      <c r="A76" s="20"/>
      <c r="B76" s="144"/>
      <c r="C76" s="1434" t="s">
        <v>470</v>
      </c>
      <c r="D76" s="1435"/>
      <c r="E76" s="1436"/>
      <c r="F76" s="138"/>
      <c r="G76" s="114"/>
      <c r="H76" s="144"/>
      <c r="I76" s="1434" t="s">
        <v>470</v>
      </c>
      <c r="J76" s="1435"/>
      <c r="K76" s="1436"/>
      <c r="L76" s="138"/>
      <c r="O76" s="1058"/>
      <c r="P76" s="1058"/>
      <c r="Q76" s="1058"/>
      <c r="R76" s="1059"/>
    </row>
    <row r="77" spans="1:34" x14ac:dyDescent="0.2">
      <c r="A77" s="20"/>
      <c r="B77" s="144"/>
      <c r="C77" s="143" t="s">
        <v>209</v>
      </c>
      <c r="D77" s="145" t="s">
        <v>92</v>
      </c>
      <c r="E77" s="146" t="s">
        <v>474</v>
      </c>
      <c r="F77" s="138"/>
      <c r="G77" s="114"/>
      <c r="H77" s="144"/>
      <c r="I77" s="143" t="s">
        <v>209</v>
      </c>
      <c r="J77" s="145" t="s">
        <v>92</v>
      </c>
      <c r="K77" s="146" t="s">
        <v>474</v>
      </c>
      <c r="L77" s="138"/>
      <c r="O77" s="1058"/>
      <c r="P77" s="1058"/>
      <c r="Q77" s="1058"/>
      <c r="R77" s="1059"/>
    </row>
    <row r="78" spans="1:34" ht="15" thickBot="1" x14ac:dyDescent="0.25">
      <c r="A78" s="20"/>
      <c r="B78" s="144"/>
      <c r="C78" s="1152"/>
      <c r="D78" s="1153"/>
      <c r="E78" s="1154"/>
      <c r="F78" s="138"/>
      <c r="G78" s="114"/>
      <c r="H78" s="144"/>
      <c r="I78" s="111">
        <f>IFERROR(B_PH_Gesamtkalkulation!T61,0)</f>
        <v>0</v>
      </c>
      <c r="J78" s="112">
        <f>IFERROR(B_PH_Gesamtkalkulation!V61,0)</f>
        <v>0</v>
      </c>
      <c r="K78" s="113">
        <f>IFERROR(B_PH_Gesamtkalkulation!X61,0)</f>
        <v>0</v>
      </c>
      <c r="L78" s="138"/>
      <c r="O78" s="1058"/>
      <c r="P78" s="1058"/>
      <c r="Q78" s="1058"/>
      <c r="R78" s="1059"/>
      <c r="T78" s="441"/>
    </row>
    <row r="79" spans="1:34" ht="7.5" customHeight="1" x14ac:dyDescent="0.2">
      <c r="A79" s="20"/>
      <c r="O79" s="1058"/>
      <c r="P79" s="1058"/>
      <c r="Q79" s="1058"/>
      <c r="R79" s="1059"/>
    </row>
    <row r="80" spans="1:34" x14ac:dyDescent="0.2">
      <c r="A80" s="20"/>
      <c r="O80" s="1058"/>
      <c r="P80" s="1058"/>
      <c r="Q80" s="1058"/>
      <c r="R80" s="1059"/>
    </row>
    <row r="81" spans="1:34" ht="15" x14ac:dyDescent="0.25">
      <c r="A81" s="20"/>
      <c r="B81" s="147"/>
      <c r="H81" s="907" t="s">
        <v>520</v>
      </c>
      <c r="I81" s="239"/>
      <c r="J81" s="239"/>
      <c r="K81" s="239"/>
      <c r="L81" s="911"/>
      <c r="M81" s="908" t="str">
        <f>IF(L81&lt;&gt;"ja","Bitte Anwesenheit Pflegefachkraft bestätigen.","")</f>
        <v>Bitte Anwesenheit Pflegefachkraft bestätigen.</v>
      </c>
      <c r="O81" s="1058"/>
      <c r="P81" s="1058"/>
      <c r="Q81" s="1058"/>
      <c r="R81" s="1059"/>
    </row>
    <row r="82" spans="1:34" ht="15" x14ac:dyDescent="0.25">
      <c r="A82" s="20"/>
      <c r="B82" s="147" t="s">
        <v>1195</v>
      </c>
      <c r="O82" s="1058"/>
      <c r="P82" s="1058"/>
      <c r="Q82" s="1058"/>
      <c r="R82" s="1059"/>
    </row>
    <row r="83" spans="1:34" s="138" customFormat="1" ht="66" customHeight="1" x14ac:dyDescent="0.2">
      <c r="A83" s="159"/>
      <c r="B83" s="82"/>
      <c r="C83" s="157"/>
      <c r="H83" s="82"/>
      <c r="I83" s="157"/>
      <c r="J83" s="157"/>
      <c r="K83" s="157"/>
      <c r="L83" s="157"/>
      <c r="O83" s="1058"/>
      <c r="P83" s="1058"/>
      <c r="Q83" s="1058"/>
      <c r="R83" s="1059"/>
      <c r="T83" s="432"/>
      <c r="U83" s="430"/>
      <c r="V83" s="430"/>
      <c r="W83" s="430"/>
      <c r="X83" s="430"/>
      <c r="Y83" s="430"/>
      <c r="Z83" s="430"/>
      <c r="AA83" s="430"/>
      <c r="AB83" s="430"/>
      <c r="AC83" s="430"/>
      <c r="AD83" s="430"/>
      <c r="AE83" s="430"/>
      <c r="AF83" s="430"/>
      <c r="AG83"/>
      <c r="AH83"/>
    </row>
    <row r="84" spans="1:34" x14ac:dyDescent="0.2">
      <c r="A84" s="20"/>
      <c r="B84" t="s">
        <v>211</v>
      </c>
      <c r="H84" s="47" t="s">
        <v>248</v>
      </c>
      <c r="R84" s="19"/>
    </row>
    <row r="85" spans="1:34" s="158" customFormat="1" ht="12" x14ac:dyDescent="0.2">
      <c r="A85" s="414"/>
      <c r="B85" s="140"/>
      <c r="C85" s="140"/>
      <c r="D85" s="140"/>
      <c r="E85" s="140"/>
      <c r="F85" s="140"/>
      <c r="G85" s="140"/>
      <c r="H85" s="140"/>
      <c r="I85" s="140"/>
      <c r="J85" s="140"/>
      <c r="K85" s="140"/>
      <c r="L85" s="140"/>
      <c r="M85" s="140"/>
      <c r="N85" s="140"/>
      <c r="O85" s="140"/>
      <c r="P85" s="140"/>
      <c r="Q85" s="140"/>
      <c r="R85" s="231"/>
      <c r="T85" s="434"/>
      <c r="U85" s="434"/>
      <c r="V85" s="434"/>
      <c r="W85" s="434"/>
      <c r="X85" s="434"/>
      <c r="Y85" s="434"/>
      <c r="Z85" s="434"/>
      <c r="AA85" s="434"/>
      <c r="AB85" s="434"/>
      <c r="AC85" s="434"/>
      <c r="AD85" s="434"/>
      <c r="AE85" s="434"/>
      <c r="AF85" s="434"/>
    </row>
    <row r="87" spans="1:34" x14ac:dyDescent="0.2">
      <c r="G87" s="3"/>
      <c r="H87" s="1333" t="s">
        <v>546</v>
      </c>
      <c r="I87" s="1333"/>
      <c r="J87" s="1333"/>
      <c r="K87" s="1333"/>
      <c r="L87" s="1333"/>
      <c r="M87" s="1333"/>
      <c r="N87" s="1333"/>
      <c r="O87" s="1007"/>
    </row>
    <row r="88" spans="1:34" ht="6.6" customHeight="1" thickBot="1" x14ac:dyDescent="0.25">
      <c r="H88" s="888"/>
      <c r="I88" s="889"/>
      <c r="J88" s="889"/>
      <c r="K88" s="889"/>
      <c r="L88" s="889"/>
      <c r="M88" s="889"/>
      <c r="N88" s="889"/>
    </row>
    <row r="89" spans="1:34" ht="14.45" customHeight="1" thickBot="1" x14ac:dyDescent="0.25">
      <c r="G89" s="1007"/>
      <c r="H89" s="1410" t="s">
        <v>547</v>
      </c>
      <c r="I89" s="1469"/>
      <c r="J89" s="1469"/>
      <c r="K89" s="1469"/>
      <c r="L89" s="1469"/>
      <c r="M89" s="1469"/>
      <c r="N89" s="1470"/>
      <c r="O89" s="1007"/>
    </row>
    <row r="90" spans="1:34" x14ac:dyDescent="0.2">
      <c r="H90" s="887"/>
      <c r="N90" s="1007"/>
    </row>
    <row r="92" spans="1:34" x14ac:dyDescent="0.2">
      <c r="H92" s="457"/>
    </row>
  </sheetData>
  <sheetProtection algorithmName="SHA-512" hashValue="vaUJmpi8cwVSASM1otLM3GN3V4qlS2nHJ9ZpGJu6n/LxxqDn2Iv08C/OJejm/TH57fPqizMco38s2s6NtcWsOQ==" saltValue="on77cJgKg8t2aVjQOIe/xg==" spinCount="100000" sheet="1" selectLockedCells="1"/>
  <customSheetViews>
    <customSheetView guid="{9119B1A0-FD79-4FE4-B78E-10E0AEB8080B}" showPageBreaks="1" showGridLines="0" fitToPage="1" printArea="1" hiddenColumns="1" view="pageLayout" topLeftCell="N58">
      <selection activeCell="D6" sqref="D6"/>
      <pageMargins left="0.39370078740157483" right="0.39370078740157483" top="0.78740157480314965" bottom="0.78740157480314965" header="0.31496062992125984" footer="0.31496062992125984"/>
      <pageSetup paperSize="9" scale="46" orientation="landscape" r:id="rId1"/>
      <headerFooter>
        <oddHeader>&amp;C&amp;9Seite 2</oddHeader>
        <oddFooter xml:space="preserve">&amp;LVersion: 21.06.2022&amp;CVerhandlungsunterlagen SGB XI (vereinfacht B1)&amp;RPSK-Beschluss Nr. 3-2022 vom 21.06.2022 </oddFooter>
      </headerFooter>
    </customSheetView>
  </customSheetViews>
  <mergeCells count="32">
    <mergeCell ref="A1:P1"/>
    <mergeCell ref="A2:P2"/>
    <mergeCell ref="H68:L68"/>
    <mergeCell ref="I72:K72"/>
    <mergeCell ref="B32:C32"/>
    <mergeCell ref="H32:I32"/>
    <mergeCell ref="C4:D4"/>
    <mergeCell ref="C5:D5"/>
    <mergeCell ref="P3:Q3"/>
    <mergeCell ref="P5:Q5"/>
    <mergeCell ref="O20:R20"/>
    <mergeCell ref="O47:R54"/>
    <mergeCell ref="O36:R45"/>
    <mergeCell ref="O21:R33"/>
    <mergeCell ref="V19:Y19"/>
    <mergeCell ref="T38:AD38"/>
    <mergeCell ref="T33:AC35"/>
    <mergeCell ref="H89:N89"/>
    <mergeCell ref="H87:N87"/>
    <mergeCell ref="I76:K76"/>
    <mergeCell ref="C76:E76"/>
    <mergeCell ref="P4:Q4"/>
    <mergeCell ref="O35:R35"/>
    <mergeCell ref="B56:F56"/>
    <mergeCell ref="C53:E53"/>
    <mergeCell ref="C52:E52"/>
    <mergeCell ref="O72:R72"/>
    <mergeCell ref="O19:R19"/>
    <mergeCell ref="B68:F68"/>
    <mergeCell ref="C72:E72"/>
    <mergeCell ref="O46:R46"/>
    <mergeCell ref="K25:K26"/>
  </mergeCells>
  <conditionalFormatting sqref="K22:K23">
    <cfRule type="expression" dxfId="46" priority="14">
      <formula>L22=0</formula>
    </cfRule>
    <cfRule type="expression" dxfId="45" priority="138">
      <formula>OR(AND(V22=1,T22=0),J22=0)</formula>
    </cfRule>
  </conditionalFormatting>
  <conditionalFormatting sqref="M22:M23">
    <cfRule type="expression" dxfId="44" priority="20">
      <formula>V22=0</formula>
    </cfRule>
  </conditionalFormatting>
  <dataValidations xWindow="1571" yWindow="855" count="10">
    <dataValidation type="whole" allowBlank="1" showInputMessage="1" showErrorMessage="1" error="ganze Zahlen_x000a_ab 96 bis 100" prompt="96% bis 100%_x000a_" sqref="D7" xr:uid="{00000000-0002-0000-0400-000000000000}">
      <formula1>96</formula1>
      <formula2>100</formula2>
    </dataValidation>
    <dataValidation allowBlank="1" showErrorMessage="1" error="Forderung liegt über max. zu vereinbarenden Wert (17,90 €)" sqref="K20" xr:uid="{00000000-0002-0000-0400-000001000000}"/>
    <dataValidation type="custom" allowBlank="1" showInputMessage="1" showErrorMessage="1" errorTitle="Steigerungsrate" error="liegt über abgestimmten Prozentsatz. Bitte korrigieren." promptTitle="Steigerungsrate" prompt="einheitlich für Sachkosten" sqref="N35" xr:uid="{00000000-0002-0000-0400-000002000000}">
      <formula1>N35&lt;=5%</formula1>
    </dataValidation>
    <dataValidation type="custom" allowBlank="1" showInputMessage="1" showErrorMessage="1" errorTitle="Steigerungsrate" error="liegt über abgestimmten Prozentsatz, bitte korrigieren." promptTitle="Steigerungsrate" prompt="einheitlich für Fremdleistung" sqref="N46" xr:uid="{00000000-0002-0000-0400-000003000000}">
      <formula1>N46&lt;=7%</formula1>
    </dataValidation>
    <dataValidation type="list" allowBlank="1" showInputMessage="1" showErrorMessage="1" sqref="L60" xr:uid="{00000000-0002-0000-0400-000004000000}">
      <formula1>"ja,nein"</formula1>
    </dataValidation>
    <dataValidation type="list" allowBlank="1" showInputMessage="1" showErrorMessage="1" sqref="L81" xr:uid="{4CEEFA87-A9A9-4E92-869D-D50D13D1AF71}">
      <formula1>"ja"</formula1>
    </dataValidation>
    <dataValidation type="custom" allowBlank="1" showInputMessage="1" showErrorMessage="1" error="Wert mehr als 2 Nachkommastellen." promptTitle="Eingabe " prompt="mit max. 2 Nachkomma-stellen" sqref="C29:C31" xr:uid="{AF46E95E-952A-4964-AD7C-DAEAE46504EC}">
      <formula1>IFERROR((LEN(C29)-FIND(",",C29)),0)&lt;=2</formula1>
    </dataValidation>
    <dataValidation type="custom" allowBlank="1" showInputMessage="1" showErrorMessage="1" error="Wert mehr als 2 Nachkommastellen." promptTitle="Eingabe" prompt="mit max. 2 Nachkomma-stellen" sqref="C24:C26" xr:uid="{C195F2A6-F757-4968-A7F4-64A0512F026C}">
      <formula1>IFERROR((LEN(C24)-FIND(",",C24)),0)&lt;=4</formula1>
    </dataValidation>
    <dataValidation type="decimal" allowBlank="1" showInputMessage="1" showErrorMessage="1" errorTitle="Anteil Verwaltungsbudget" error="Der maximal mögliche Anteil beträgt 7% oder ein höherer bisher bereits vereinbarter Wert." sqref="L58" xr:uid="{C0DF8FD0-396F-48F5-810C-3BD947A01228}">
      <formula1>0</formula1>
      <formula2>MAX(7%,F57)</formula2>
    </dataValidation>
    <dataValidation type="custom" allowBlank="1" showInputMessage="1" showErrorMessage="1" error="Wert über dem bisher vereinbarten Wert_x000a_            oder _x000a_Wert mit mehr als 2 Nachkommastellen" promptTitle="Eingabe" prompt="mit max. 2 Nachkomma-stellen" sqref="I25:I26" xr:uid="{FB6B9484-1BB7-416D-B58E-B3F80ABB9920}">
      <formula1>AND(I25&lt;=C25,IFERROR((LEN(I25)-FIND(",",I25)),0)&lt;=4)</formula1>
    </dataValidation>
  </dataValidations>
  <hyperlinks>
    <hyperlink ref="H89" location="'Anlage 1'!A1" display="Anlage 1" xr:uid="{8BA38DA3-0D2F-437A-8A39-3A429D843535}"/>
    <hyperlink ref="H89:M89" location="B1_Gesamtkalkulation!A1" display="gehe weiter zu B1_Gesamtkalkulation" xr:uid="{2245451F-9D9E-426F-A5B9-1506D9A94602}"/>
    <hyperlink ref="H89:N89" location="B_PH_Bewohnervertretung!A1" display="gehe weiter zu B_PH_Bewohnervertretung" xr:uid="{5815D849-2173-4BDB-A08B-76A29A61D3B1}"/>
  </hyperlinks>
  <pageMargins left="0.39370078740157483" right="0.39370078740157483" top="0.78740157480314965" bottom="0.78740157480314965" header="0.31496062992125984" footer="0.31496062992125984"/>
  <pageSetup paperSize="9" scale="39" orientation="landscape"/>
  <headerFooter>
    <oddHeader>&amp;C&amp;9&amp;A</oddHeader>
    <oddFooter>&amp;LVersion: 19.10.2026&amp;CVerhandlungsunterlagen SGB XI (vereinfacht B_PH)&amp;RPSK-Beschluss vom  08.10.2026</oddFooter>
  </headerFooter>
  <extLst>
    <ext xmlns:x14="http://schemas.microsoft.com/office/spreadsheetml/2009/9/main" uri="{78C0D931-6437-407d-A8EE-F0AAD7539E65}">
      <x14:conditionalFormattings>
        <x14:conditionalFormatting xmlns:xm="http://schemas.microsoft.com/office/excel/2006/main">
          <x14:cfRule type="expression" priority="17" id="{8BB9BB09-8A62-47E5-8745-78B146F04821}">
            <xm:f>KAT!$A$126="nein"</xm:f>
            <x14:dxf>
              <fill>
                <patternFill patternType="none">
                  <bgColor auto="1"/>
                </patternFill>
              </fill>
            </x14:dxf>
          </x14:cfRule>
          <xm:sqref>B16 B19 K21 I21:I23 K25 I28 L59 M81</xm:sqref>
        </x14:conditionalFormatting>
        <x14:conditionalFormatting xmlns:xm="http://schemas.microsoft.com/office/excel/2006/main">
          <x14:cfRule type="expression" priority="102" id="{B9B3E313-7FAE-472A-8951-AC525CA5760A}">
            <xm:f>'B_PH_Allgemeine Angaben'!$M$48=0</xm:f>
            <x14:dxf>
              <font>
                <color theme="0" tint="-0.24994659260841701"/>
              </font>
              <fill>
                <patternFill>
                  <bgColor theme="0" tint="-0.34998626667073579"/>
                </patternFill>
              </fill>
              <border>
                <left/>
                <right/>
                <top/>
                <bottom/>
              </border>
            </x14:dxf>
          </x14:cfRule>
          <xm:sqref>B17:F18 H17:L18</xm:sqref>
        </x14:conditionalFormatting>
        <x14:conditionalFormatting xmlns:xm="http://schemas.microsoft.com/office/excel/2006/main">
          <x14:cfRule type="expression" priority="3" id="{7B7D38BA-F61D-4A03-AF0A-C33BFF68286E}">
            <xm:f>'B_PH_Allgemeine Angaben'!$M$48=0</xm:f>
            <x14:dxf>
              <font>
                <color theme="0" tint="-0.14996795556505021"/>
              </font>
              <fill>
                <patternFill>
                  <bgColor theme="0" tint="-0.24994659260841701"/>
                </patternFill>
              </fill>
              <border>
                <left/>
                <right/>
                <top/>
                <bottom/>
                <vertical/>
                <horizontal/>
              </border>
            </x14:dxf>
          </x14:cfRule>
          <xm:sqref>B68:F70</xm:sqref>
        </x14:conditionalFormatting>
        <x14:conditionalFormatting xmlns:xm="http://schemas.microsoft.com/office/excel/2006/main">
          <x14:cfRule type="expression" priority="8" id="{73FEC3CD-54AC-48B3-A51B-CFC0C757D022}">
            <xm:f>'B_PH_Allgemeine Angaben'!$M$48=0</xm:f>
            <x14:dxf>
              <font>
                <color theme="0" tint="-0.14996795556505021"/>
              </font>
              <fill>
                <patternFill>
                  <bgColor theme="0" tint="-0.24994659260841701"/>
                </patternFill>
              </fill>
              <border>
                <left/>
                <right/>
                <top/>
                <bottom/>
                <vertical/>
                <horizontal/>
              </border>
            </x14:dxf>
          </x14:cfRule>
          <x14:cfRule type="expression" priority="9" id="{B9564EFC-FC50-44DF-9A1B-E81EB0DEA757}">
            <xm:f>'B_PH_Allgemeine Angaben'!$M$48=0</xm:f>
            <x14:dxf>
              <font>
                <color theme="0" tint="-0.14996795556505021"/>
              </font>
              <fill>
                <patternFill>
                  <fgColor theme="0"/>
                  <bgColor theme="0" tint="-0.24994659260841701"/>
                </patternFill>
              </fill>
              <border>
                <left/>
                <right/>
                <top/>
                <bottom/>
                <vertical/>
                <horizontal/>
              </border>
            </x14:dxf>
          </x14:cfRule>
          <xm:sqref>C76:E78</xm:sqref>
        </x14:conditionalFormatting>
        <x14:conditionalFormatting xmlns:xm="http://schemas.microsoft.com/office/excel/2006/main">
          <x14:cfRule type="expression" priority="108" id="{5A94A4FE-BBB5-44D2-A967-4105FD134481}">
            <xm:f>'B_PH_Allgemeine Angaben'!$M$48=0</xm:f>
            <x14:dxf>
              <font>
                <color theme="0"/>
              </font>
              <fill>
                <patternFill>
                  <fgColor theme="0"/>
                  <bgColor theme="0"/>
                </patternFill>
              </fill>
              <border>
                <left/>
                <right/>
                <top/>
                <bottom/>
                <vertical/>
                <horizontal/>
              </border>
            </x14:dxf>
          </x14:cfRule>
          <xm:sqref>H17</xm:sqref>
        </x14:conditionalFormatting>
        <x14:conditionalFormatting xmlns:xm="http://schemas.microsoft.com/office/excel/2006/main">
          <x14:cfRule type="expression" priority="22" id="{A79DAC9A-E44D-4EF8-93BD-BD6B9BF0D2DF}">
            <xm:f>($J$28&lt;KAT!$D$46)</xm:f>
            <x14:dxf>
              <font>
                <color theme="0"/>
              </font>
              <border>
                <left/>
                <top/>
                <bottom/>
                <vertical/>
                <horizontal/>
              </border>
            </x14:dxf>
          </x14:cfRule>
          <xm:sqref>H58</xm:sqref>
        </x14:conditionalFormatting>
        <x14:conditionalFormatting xmlns:xm="http://schemas.microsoft.com/office/excel/2006/main">
          <x14:cfRule type="expression" priority="2" id="{C8CEF385-22BF-4AF6-8733-329444A88927}">
            <xm:f>'B_PH_Allgemeine Angaben'!$M$48=0</xm:f>
            <x14:dxf>
              <font>
                <color theme="0" tint="-0.14996795556505021"/>
              </font>
              <fill>
                <patternFill>
                  <bgColor theme="0" tint="-0.24994659260841701"/>
                </patternFill>
              </fill>
              <border>
                <left/>
                <right/>
                <top/>
                <bottom/>
                <vertical/>
                <horizontal/>
              </border>
            </x14:dxf>
          </x14:cfRule>
          <xm:sqref>H68:L70</xm:sqref>
        </x14:conditionalFormatting>
        <x14:conditionalFormatting xmlns:xm="http://schemas.microsoft.com/office/excel/2006/main">
          <x14:cfRule type="expression" priority="24" id="{BF11A4EB-4202-4ECC-B405-E14C2BF2CA84}">
            <xm:f>$J$28&gt;=KAT!$D$46</xm:f>
            <x14:dxf>
              <font>
                <color theme="0" tint="-4.9989318521683403E-2"/>
              </font>
              <fill>
                <patternFill patternType="none">
                  <bgColor auto="1"/>
                </patternFill>
              </fill>
              <border>
                <left/>
                <right/>
                <top/>
                <bottom/>
                <vertical/>
                <horizontal/>
              </border>
            </x14:dxf>
          </x14:cfRule>
          <xm:sqref>H60:M61</xm:sqref>
        </x14:conditionalFormatting>
        <x14:conditionalFormatting xmlns:xm="http://schemas.microsoft.com/office/excel/2006/main">
          <x14:cfRule type="expression" priority="12" id="{83E30FA3-B7B6-422C-B2BE-11A441C7AC93}">
            <xm:f>'B_PH_Allgemeine Angaben'!$N$59=0</xm:f>
            <x14:dxf>
              <font>
                <color theme="0"/>
              </font>
              <fill>
                <patternFill>
                  <fgColor theme="0"/>
                  <bgColor theme="0"/>
                </patternFill>
              </fill>
              <border>
                <left/>
                <right/>
                <top/>
                <bottom/>
              </border>
            </x14:dxf>
          </x14:cfRule>
          <xm:sqref>H87:N87</xm:sqref>
        </x14:conditionalFormatting>
        <x14:conditionalFormatting xmlns:xm="http://schemas.microsoft.com/office/excel/2006/main">
          <x14:cfRule type="expression" priority="13" id="{116218A5-D2E0-4843-B0E3-FC426DDDBC4B}">
            <xm:f>'B_PH_Allgemeine Angaben'!$N$59=1</xm:f>
            <x14:dxf>
              <font>
                <color theme="0"/>
              </font>
              <fill>
                <patternFill>
                  <fgColor theme="0"/>
                  <bgColor theme="0"/>
                </patternFill>
              </fill>
              <border>
                <left/>
                <right/>
                <top/>
                <bottom/>
              </border>
            </x14:dxf>
          </x14:cfRule>
          <xm:sqref>H89:N89</xm:sqref>
        </x14:conditionalFormatting>
        <x14:conditionalFormatting xmlns:xm="http://schemas.microsoft.com/office/excel/2006/main">
          <x14:cfRule type="expression" priority="15" id="{2F4339F4-AE51-435B-AD1B-D7D71594CA5C}">
            <xm:f>OR($I$24&gt;MAX(100%,$C$24),$I$24&lt;KAT!$B$25)</xm:f>
            <x14:dxf>
              <font>
                <color rgb="FFFF0000"/>
              </font>
            </x14:dxf>
          </x14:cfRule>
          <xm:sqref>I24:I26</xm:sqref>
        </x14:conditionalFormatting>
        <x14:conditionalFormatting xmlns:xm="http://schemas.microsoft.com/office/excel/2006/main">
          <x14:cfRule type="expression" priority="101" id="{A21501EE-BCA5-41D9-B4F3-2002CB5EFB90}">
            <xm:f>'B_PH_Allgemeine Angaben'!$M$48=0</xm:f>
            <x14:dxf>
              <font>
                <color theme="0" tint="-0.14996795556505021"/>
              </font>
              <fill>
                <patternFill>
                  <bgColor theme="0" tint="-0.24994659260841701"/>
                </patternFill>
              </fill>
              <border>
                <left/>
                <right/>
                <top/>
                <bottom/>
                <vertical/>
                <horizontal/>
              </border>
            </x14:dxf>
          </x14:cfRule>
          <x14:cfRule type="expression" priority="104" id="{86A9EC2E-0278-481E-ACC5-0B6D9E1B776A}">
            <xm:f>'B_PH_Allgemeine Angaben'!$M$48=0</xm:f>
            <x14:dxf>
              <font>
                <color theme="0" tint="-0.14996795556505021"/>
              </font>
              <fill>
                <patternFill>
                  <fgColor theme="0"/>
                  <bgColor theme="0" tint="-0.24994659260841701"/>
                </patternFill>
              </fill>
              <border>
                <left/>
                <right/>
                <top/>
                <bottom/>
                <vertical/>
                <horizontal/>
              </border>
            </x14:dxf>
          </x14:cfRule>
          <xm:sqref>I76:K78</xm:sqref>
        </x14:conditionalFormatting>
        <x14:conditionalFormatting xmlns:xm="http://schemas.microsoft.com/office/excel/2006/main">
          <x14:cfRule type="expression" priority="137" id="{117A7717-8C88-482D-95AF-D78805A9CEB3}">
            <xm:f>'B_PH_Allgemeine Angaben'!$N$59=1</xm:f>
            <x14:dxf>
              <fill>
                <patternFill patternType="none">
                  <bgColor auto="1"/>
                </patternFill>
              </fill>
            </x14:dxf>
          </x14:cfRule>
          <xm:sqref>M24:M27</xm:sqref>
        </x14:conditionalFormatting>
        <x14:conditionalFormatting xmlns:xm="http://schemas.microsoft.com/office/excel/2006/main">
          <x14:cfRule type="expression" priority="111" id="{55E4823F-0ABB-456B-BE09-1B044594B2AD}">
            <xm:f>'B_PH_Allgemeine Angaben'!$M$48=0</xm:f>
            <x14:dxf>
              <font>
                <color theme="0"/>
              </font>
            </x14:dxf>
          </x14:cfRule>
          <xm:sqref>M17:N17</xm:sqref>
        </x14:conditionalFormatting>
        <x14:conditionalFormatting xmlns:xm="http://schemas.microsoft.com/office/excel/2006/main">
          <x14:cfRule type="expression" priority="110" id="{3F138CFD-D2AF-456C-8328-2ED7240288EF}">
            <xm:f>OR('B_PH_Allgemeine Angaben'!$M$48=0,'B_PH_Allgemeine Angaben'!$L$6='B_PH_Allgemeine Angaben'!$L$7)</xm:f>
            <x14:dxf>
              <font>
                <color theme="6" tint="0.59996337778862885"/>
              </font>
              <fill>
                <patternFill>
                  <bgColor theme="6" tint="0.59996337778862885"/>
                </patternFill>
              </fill>
            </x14:dxf>
          </x14:cfRule>
          <xm:sqref>N4 P4</xm:sqref>
        </x14:conditionalFormatting>
      </x14:conditionalFormattings>
    </ext>
    <ext xmlns:x14="http://schemas.microsoft.com/office/spreadsheetml/2009/9/main" uri="{CCE6A557-97BC-4b89-ADB6-D9C93CAAB3DF}">
      <x14:dataValidations xmlns:xm="http://schemas.microsoft.com/office/excel/2006/main" xWindow="1571" yWindow="855" count="10">
        <x14:dataValidation type="list" allowBlank="1" showInputMessage="1" showErrorMessage="1" promptTitle="Beschäftigungsgruppen / Funktion" prompt="PFK/BFK = Pflege- / Betreuungsfachkraft mind. 3 Jahre Berufsausbildung_x000a_PK/BK = Pflege- / Betreuungsfachkraft mind. 1 Jahr Berufsausbildung_x000a_PK/BK o. = Pflege-/ Betreuungskraft ohne mind. 1 Jahr Berufsausbildung" xr:uid="{00000000-0002-0000-0400-000005000000}">
          <x14:formula1>
            <xm:f>KAT!$G$2:$G$5</xm:f>
          </x14:formula1>
          <xm:sqref>K22</xm:sqref>
        </x14:dataValidation>
        <x14:dataValidation type="list" allowBlank="1" showInputMessage="1" showErrorMessage="1" promptTitle="Beschäftigungsgruppen / Funktion" prompt="PFK/BFK = Pflege- / Betreuungsfachkraft mind. 3 Jahre Berufsausbildung_x000a_PK/BK = Pflege- / Betreuungsfachkraft mind. 1 Jahr Berufsausbildung_x000a_PK/BK o. = Pflege-/ Betreuungskraft ohne mind. 1 Jahr Berufsausbildung_x000a_" xr:uid="{42FE4E8A-292B-447D-BF6A-ED15AE34E2CC}">
          <x14:formula1>
            <xm:f>KAT!$G$2:$G$5</xm:f>
          </x14:formula1>
          <xm:sqref>K23</xm:sqref>
        </x14:dataValidation>
        <x14:dataValidation type="custom" allowBlank="1" showInputMessage="1" showErrorMessage="1" error="Forderung liegt über max. Steigerungsrate:_x000a_* rüE bis 3,00% _x000a_* Tarifbindung / Tarifanlehnung bis 5,00%" xr:uid="{50F898E3-858F-4E4C-B9DE-4E697C019C8A}">
          <x14:formula1>
            <xm:f>M21&lt;=KAT!$L$67</xm:f>
          </x14:formula1>
          <xm:sqref>M21:M27</xm:sqref>
        </x14:dataValidation>
        <x14:dataValidation type="custom" allowBlank="1" showInputMessage="1" showErrorMessage="1" error="Forderung liegt über max. Steigerungsrate (5,00%)." xr:uid="{00000000-0002-0000-0400-000006000000}">
          <x14:formula1>
            <xm:f>M46&lt;=KAT!L75</xm:f>
          </x14:formula1>
          <xm:sqref>M46</xm:sqref>
        </x14:dataValidation>
        <x14:dataValidation type="custom" allowBlank="1" showInputMessage="1" showErrorMessage="1" error="Forderung liegt über max. Steigerungsrate (3,00%)._x000a_" xr:uid="{00000000-0002-0000-0400-000007000000}">
          <x14:formula1>
            <xm:f>M35&lt;=KAT!L74</xm:f>
          </x14:formula1>
          <xm:sqref>M35</xm:sqref>
        </x14:dataValidation>
        <x14:dataValidation type="custom" allowBlank="1" showInputMessage="1" showErrorMessage="1" error="Forderung liegt über max. Steigerungsrate (4,00%)." xr:uid="{00000000-0002-0000-0400-000008000000}">
          <x14:formula1>
            <xm:f>M32&lt;=KAT!L72</xm:f>
          </x14:formula1>
          <xm:sqref>M32</xm:sqref>
        </x14:dataValidation>
        <x14:dataValidation type="custom" allowBlank="1" error="Maximal zulässiger Stellenanteil überschritten!" prompt="Maximal zulässiger Stellenanteil überschritten!" xr:uid="{00000000-0002-0000-0400-00000A000000}">
          <x14:formula1>
            <xm:f>J28&lt;=KAT!D46</xm:f>
          </x14:formula1>
          <xm:sqref>J28</xm:sqref>
        </x14:dataValidation>
        <x14:dataValidation type="custom" allowBlank="1" showInputMessage="1" showErrorMessage="1" error="Wert über dem bisher vereinbarten Wert_x000a_            oder _x000a_Wert unter 75%_x000a_            oder_x000a_Wert mit mehr als 2 Nachkommastellen" promptTitle="Eingabe" prompt="mit max. 2 Nachkomma-stellen" xr:uid="{43549C7E-E231-421A-BC82-67F31CBEE901}">
          <x14:formula1>
            <xm:f>AND(I24&gt;=KAT!B25,I24&lt;=C24,IFERROR((LEN(I24)-FIND(",",I24)),0)&lt;=4)</xm:f>
          </x14:formula1>
          <xm:sqref>I24</xm:sqref>
        </x14:dataValidation>
        <x14:dataValidation type="custom" allowBlank="1" showInputMessage="1" showErrorMessage="1" error="Forderung liegt über max. Steigerungsrate:_x000a_* rüE bis 3,42% _x000a_* Tarifbindung / Tarifanlehnung bis 5,00%" xr:uid="{4232A348-616A-40D1-B444-817B5ECFF401}">
          <x14:formula1>
            <xm:f>M28&lt;=KAT!L68</xm:f>
          </x14:formula1>
          <xm:sqref>M28</xm:sqref>
        </x14:dataValidation>
        <x14:dataValidation type="custom" allowBlank="1" showInputMessage="1" showErrorMessage="1" error="Forderung liegt über max. Steigerungsrate:_x000a_* rüE bis 3,00% _x000a_* Tarifbindung / Tarifanlehnung bis 5,00%" xr:uid="{77F1858F-9673-4D98-9EC3-EAF3F6BE0FBF}">
          <x14:formula1>
            <xm:f>M29&lt;=KAT!L69</xm:f>
          </x14:formula1>
          <xm:sqref>M29:M31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46"/>
  <sheetViews>
    <sheetView showGridLines="0" zoomScaleNormal="100" workbookViewId="0">
      <selection activeCell="E15" sqref="E15"/>
    </sheetView>
  </sheetViews>
  <sheetFormatPr baseColWidth="10" defaultRowHeight="14.25" x14ac:dyDescent="0.2"/>
  <cols>
    <col min="1" max="1" width="3.875" customWidth="1"/>
    <col min="2" max="2" width="46.25" customWidth="1"/>
    <col min="3" max="7" width="15.625" customWidth="1"/>
    <col min="8" max="8" width="14.25" customWidth="1"/>
    <col min="9" max="10" width="11.625" customWidth="1"/>
    <col min="11" max="12" width="11" customWidth="1"/>
    <col min="13" max="13" width="5.625" customWidth="1"/>
    <col min="14" max="14" width="15.5" hidden="1" customWidth="1"/>
    <col min="15" max="15" width="15.375" hidden="1" customWidth="1"/>
    <col min="16" max="16" width="13.875" hidden="1" customWidth="1"/>
    <col min="17" max="18" width="11" hidden="1" customWidth="1"/>
    <col min="19" max="19" width="14.75" hidden="1" customWidth="1"/>
    <col min="20" max="20" width="12.625" hidden="1" customWidth="1"/>
    <col min="21" max="21" width="15" hidden="1" customWidth="1"/>
    <col min="22" max="23" width="14.5" hidden="1" customWidth="1"/>
    <col min="24" max="25" width="11.25" customWidth="1"/>
  </cols>
  <sheetData>
    <row r="1" spans="1:20" ht="28.5" customHeight="1" x14ac:dyDescent="0.25">
      <c r="A1" s="1421" t="str">
        <f>'B_PH_Allgemeine Angaben'!A1:A1</f>
        <v>Vereinfachtes Verfahren der Aufforderung zum Abschluss einer Pflegesatzvereinbarung gemäß § 84, 85 SGB XI - Vollstationäre Pflegeeinrichtungen
und für Kurzzeitpflegeeinrichtungen im Sinne § 1 Abs. 7 dieses Rahmenvertrages</v>
      </c>
      <c r="B1" s="1422"/>
      <c r="C1" s="1422"/>
      <c r="D1" s="1422"/>
      <c r="E1" s="1422"/>
      <c r="F1" s="1422"/>
      <c r="G1" s="1422"/>
      <c r="H1" s="1422"/>
      <c r="I1" s="1422"/>
      <c r="J1" s="1422"/>
      <c r="K1" s="1422"/>
      <c r="L1" s="491"/>
      <c r="N1" s="415" t="s">
        <v>286</v>
      </c>
      <c r="O1" s="221"/>
      <c r="P1" s="221"/>
    </row>
    <row r="2" spans="1:20" ht="15" x14ac:dyDescent="0.25">
      <c r="A2" s="492"/>
      <c r="B2" s="1425" t="s">
        <v>247</v>
      </c>
      <c r="C2" s="1425"/>
      <c r="D2" s="1425"/>
      <c r="E2" s="1425"/>
      <c r="F2" s="1425"/>
      <c r="G2" s="1425"/>
      <c r="H2" s="1425"/>
      <c r="I2" s="1425"/>
      <c r="J2" s="1425"/>
      <c r="K2" s="1425"/>
      <c r="L2" s="1426"/>
      <c r="N2" s="221"/>
      <c r="O2" s="221"/>
      <c r="P2" s="221"/>
    </row>
    <row r="3" spans="1:20" x14ac:dyDescent="0.2">
      <c r="A3" s="492"/>
      <c r="B3" s="709"/>
      <c r="C3" s="709"/>
      <c r="D3" s="709"/>
      <c r="E3" s="709"/>
      <c r="F3" s="709"/>
      <c r="G3" s="709"/>
      <c r="H3" s="709"/>
      <c r="I3" s="493" t="str">
        <f>B_PH_Kalkulation!N3</f>
        <v>Institutionskennzeichen:</v>
      </c>
      <c r="J3" s="494"/>
      <c r="K3" s="894">
        <f>'B_PH_Allgemeine Angaben'!L6</f>
        <v>0</v>
      </c>
      <c r="L3" s="495"/>
      <c r="N3" s="221"/>
      <c r="O3" s="221"/>
      <c r="P3" s="221"/>
    </row>
    <row r="4" spans="1:20" x14ac:dyDescent="0.2">
      <c r="A4" s="492"/>
      <c r="B4" s="198" t="s">
        <v>233</v>
      </c>
      <c r="C4" s="903">
        <f>'B_PH_Allgemeine Angaben'!D12</f>
        <v>0</v>
      </c>
      <c r="D4" s="491"/>
      <c r="E4" s="709"/>
      <c r="F4" s="709"/>
      <c r="G4" s="709"/>
      <c r="H4" s="709"/>
      <c r="I4" s="407" t="str">
        <f>'B_PH_Allgemeine Angaben'!K7</f>
        <v>IK KZP:</v>
      </c>
      <c r="J4" s="900"/>
      <c r="K4" s="901">
        <f>'B_PH_Allgemeine Angaben'!L7</f>
        <v>0</v>
      </c>
      <c r="L4" s="902"/>
      <c r="N4" s="221"/>
      <c r="O4" s="221"/>
      <c r="P4" s="221"/>
    </row>
    <row r="5" spans="1:20" x14ac:dyDescent="0.2">
      <c r="A5" s="492"/>
      <c r="B5" s="195" t="s">
        <v>234</v>
      </c>
      <c r="C5" s="904" t="str">
        <f>IF('B_PH_Allgemeine Angaben'!D16&gt;0,CONCATENATE('B_PH_Allgemeine Angaben'!D16," ",'B_PH_Allgemeine Angaben'!J16),"")</f>
        <v/>
      </c>
      <c r="D5" s="95"/>
      <c r="E5" s="709"/>
      <c r="F5" s="709"/>
      <c r="G5" s="709"/>
      <c r="H5" s="709"/>
      <c r="I5" s="496" t="str">
        <f>B_PH_Kalkulation!N5</f>
        <v>Antrag vom:</v>
      </c>
      <c r="J5" s="497"/>
      <c r="K5" s="498">
        <f>_xlfn.SINGLE('B_PH_Allgemeine Angaben'!L4)</f>
        <v>0</v>
      </c>
      <c r="L5" s="495"/>
      <c r="N5" s="221"/>
      <c r="O5" s="221"/>
      <c r="P5" s="221"/>
      <c r="Q5" s="222"/>
      <c r="R5" s="222"/>
      <c r="S5" s="222"/>
    </row>
    <row r="6" spans="1:20" x14ac:dyDescent="0.2">
      <c r="A6" s="1006"/>
      <c r="B6" s="396"/>
      <c r="C6" s="396"/>
      <c r="D6" s="396"/>
      <c r="E6" s="396"/>
      <c r="F6" s="396"/>
      <c r="G6" s="396"/>
      <c r="H6" s="396"/>
      <c r="I6" s="396"/>
      <c r="J6" s="396"/>
      <c r="K6" s="396"/>
      <c r="L6" s="399"/>
      <c r="N6" s="221"/>
      <c r="O6" s="221"/>
      <c r="P6" s="221"/>
      <c r="Q6" s="222"/>
      <c r="R6" s="222"/>
      <c r="S6" s="222"/>
    </row>
    <row r="7" spans="1:20" x14ac:dyDescent="0.2">
      <c r="A7" s="395"/>
      <c r="B7" s="452"/>
      <c r="C7" s="396"/>
      <c r="D7" s="396"/>
      <c r="E7" s="396"/>
      <c r="F7" s="396"/>
      <c r="G7" s="396"/>
      <c r="H7" s="396"/>
      <c r="I7" s="396"/>
      <c r="J7" s="396"/>
      <c r="K7" s="396"/>
      <c r="L7" s="399"/>
      <c r="N7" s="221"/>
      <c r="O7" s="221"/>
      <c r="P7" s="221"/>
      <c r="Q7" s="222"/>
      <c r="R7" s="222"/>
      <c r="S7" s="222"/>
    </row>
    <row r="8" spans="1:20" x14ac:dyDescent="0.2">
      <c r="A8" s="395"/>
      <c r="B8" s="452" t="str">
        <f>IF('B_PH_Allgemeine Angaben'!N59=0,"Inhalte dieses Blattes nur bei Entlohnung nach regional üblichem Entgelt relevant.","")</f>
        <v>Inhalte dieses Blattes nur bei Entlohnung nach regional üblichem Entgelt relevant.</v>
      </c>
      <c r="C8" s="396"/>
      <c r="D8" s="396"/>
      <c r="E8" s="396"/>
      <c r="F8" s="396"/>
      <c r="G8" s="396"/>
      <c r="H8" s="396"/>
      <c r="I8" s="396"/>
      <c r="J8" s="396"/>
      <c r="K8" s="396"/>
      <c r="L8" s="399"/>
      <c r="N8" s="221"/>
      <c r="O8" s="221"/>
      <c r="P8" s="221"/>
      <c r="Q8" s="222"/>
      <c r="R8" s="222"/>
      <c r="S8" s="222"/>
    </row>
    <row r="9" spans="1:20" x14ac:dyDescent="0.2">
      <c r="A9" s="395"/>
      <c r="B9" s="452"/>
      <c r="C9" s="396"/>
      <c r="D9" s="396"/>
      <c r="E9" s="396"/>
      <c r="F9" s="396"/>
      <c r="G9" s="396"/>
      <c r="H9" s="396"/>
      <c r="I9" s="396"/>
      <c r="J9" s="396"/>
      <c r="K9" s="396"/>
      <c r="L9" s="399"/>
      <c r="N9" s="221"/>
      <c r="O9" s="221"/>
      <c r="P9" s="221"/>
      <c r="Q9" s="222"/>
      <c r="R9" s="222"/>
      <c r="S9" s="222"/>
    </row>
    <row r="10" spans="1:20" x14ac:dyDescent="0.2">
      <c r="A10" s="395"/>
      <c r="B10" s="396"/>
      <c r="C10" s="396"/>
      <c r="D10" s="396"/>
      <c r="E10" s="396"/>
      <c r="F10" s="396"/>
      <c r="G10" s="396"/>
      <c r="H10" s="396"/>
      <c r="I10" s="396"/>
      <c r="J10" s="396"/>
      <c r="K10" s="396"/>
      <c r="L10" s="399"/>
      <c r="N10" s="221"/>
      <c r="O10" s="221"/>
      <c r="P10" s="221"/>
      <c r="Q10" s="222"/>
      <c r="R10" s="222"/>
      <c r="S10" s="222"/>
    </row>
    <row r="11" spans="1:20" x14ac:dyDescent="0.2">
      <c r="A11" s="395"/>
      <c r="B11" s="396"/>
      <c r="C11" s="396"/>
      <c r="D11" s="396"/>
      <c r="E11" s="396"/>
      <c r="F11" s="396"/>
      <c r="G11" s="396"/>
      <c r="H11" s="396"/>
      <c r="I11" s="396"/>
      <c r="J11" s="396"/>
      <c r="K11" s="396"/>
      <c r="L11" s="399"/>
      <c r="N11" s="221"/>
      <c r="O11" s="221"/>
      <c r="P11" s="221"/>
      <c r="Q11" s="222"/>
      <c r="R11" s="222"/>
      <c r="S11" s="222"/>
    </row>
    <row r="12" spans="1:20" ht="60.75" customHeight="1" x14ac:dyDescent="0.2">
      <c r="A12" s="395"/>
      <c r="B12" s="1509" t="s">
        <v>228</v>
      </c>
      <c r="C12" s="1509" t="s">
        <v>220</v>
      </c>
      <c r="D12" s="499" t="s">
        <v>229</v>
      </c>
      <c r="E12" s="500" t="s">
        <v>230</v>
      </c>
      <c r="F12" s="501" t="s">
        <v>231</v>
      </c>
      <c r="G12" s="1525" t="s">
        <v>351</v>
      </c>
      <c r="H12" s="502" t="s">
        <v>243</v>
      </c>
      <c r="I12" s="502" t="s">
        <v>244</v>
      </c>
      <c r="J12" s="502" t="s">
        <v>250</v>
      </c>
      <c r="K12" s="396"/>
      <c r="L12" s="399"/>
      <c r="N12" s="1504" t="s">
        <v>281</v>
      </c>
      <c r="O12" s="1504"/>
      <c r="P12" s="1504"/>
      <c r="Q12" s="222"/>
      <c r="R12" s="222"/>
      <c r="S12" s="222"/>
    </row>
    <row r="13" spans="1:20" x14ac:dyDescent="0.2">
      <c r="A13" s="395"/>
      <c r="B13" s="1510"/>
      <c r="C13" s="1510"/>
      <c r="D13" s="503"/>
      <c r="E13" s="504"/>
      <c r="F13" s="505"/>
      <c r="G13" s="1526"/>
      <c r="H13" s="220">
        <v>0.21339999999999998</v>
      </c>
      <c r="I13" s="506">
        <v>0.02</v>
      </c>
      <c r="J13" s="506">
        <v>0.02</v>
      </c>
      <c r="K13" s="396"/>
      <c r="L13" s="399"/>
      <c r="N13" s="221"/>
      <c r="O13" s="221"/>
      <c r="P13" s="221"/>
      <c r="Q13" s="222"/>
      <c r="R13" s="222"/>
      <c r="S13" s="222"/>
    </row>
    <row r="14" spans="1:20" x14ac:dyDescent="0.2">
      <c r="A14" s="395"/>
      <c r="B14" s="710"/>
      <c r="C14" s="710"/>
      <c r="D14" s="396"/>
      <c r="E14" s="507"/>
      <c r="G14" s="711"/>
      <c r="H14" s="508"/>
      <c r="I14" s="712"/>
      <c r="J14" s="509"/>
      <c r="K14" s="396"/>
      <c r="L14" s="399"/>
      <c r="N14" s="217" t="s">
        <v>271</v>
      </c>
      <c r="O14" s="218" t="s">
        <v>269</v>
      </c>
      <c r="P14" s="219" t="s">
        <v>270</v>
      </c>
      <c r="Q14" s="223" t="s">
        <v>282</v>
      </c>
      <c r="R14" s="223"/>
      <c r="S14" s="223"/>
    </row>
    <row r="15" spans="1:20" ht="15.75" thickBot="1" x14ac:dyDescent="0.3">
      <c r="A15" s="395"/>
      <c r="B15" s="510" t="s">
        <v>468</v>
      </c>
      <c r="C15" s="511"/>
      <c r="D15" s="512"/>
      <c r="E15" s="216"/>
      <c r="F15" s="513">
        <f>KAT!B59</f>
        <v>8.5000000000000006E-2</v>
      </c>
      <c r="G15" s="401"/>
      <c r="H15" s="401"/>
      <c r="I15" s="401"/>
      <c r="J15" s="514"/>
      <c r="K15" s="396"/>
      <c r="L15" s="399"/>
      <c r="N15" s="224">
        <f>C36</f>
        <v>0</v>
      </c>
      <c r="O15" s="225">
        <f>D36</f>
        <v>0</v>
      </c>
      <c r="P15" s="226">
        <f>E36</f>
        <v>0</v>
      </c>
      <c r="Q15" s="1505" t="s">
        <v>220</v>
      </c>
      <c r="R15" s="1506"/>
      <c r="S15" s="1507"/>
    </row>
    <row r="16" spans="1:20" ht="15.75" thickTop="1" x14ac:dyDescent="0.25">
      <c r="A16" s="395"/>
      <c r="B16" s="812" t="s">
        <v>235</v>
      </c>
      <c r="C16" s="813">
        <f>B_PH_Kalkulation!J24</f>
        <v>0</v>
      </c>
      <c r="D16" s="814">
        <f>KAT!E80</f>
        <v>27.18</v>
      </c>
      <c r="E16" s="827">
        <f>ROUND(IFERROR(D16*(100%+$E$15),0),2)</f>
        <v>27.18</v>
      </c>
      <c r="F16" s="815">
        <f>ROUND(IFERROR(E16*(100%+$F$15),0),2)</f>
        <v>29.49</v>
      </c>
      <c r="G16" s="816">
        <f>ROUND(IFERROR(F16*40*13/3*12,0),2)</f>
        <v>61339.199999999997</v>
      </c>
      <c r="H16" s="816">
        <f>(E16*40*13/3*12*$H$13)+G16</f>
        <v>73403.64095999999</v>
      </c>
      <c r="I16" s="817">
        <f>H16*(100%+$I$13)</f>
        <v>74871.713779199985</v>
      </c>
      <c r="J16" s="818">
        <f>I16*(100%+$J$13)</f>
        <v>76369.148054783989</v>
      </c>
      <c r="K16" s="396"/>
      <c r="L16" s="399"/>
      <c r="T16" s="561"/>
    </row>
    <row r="17" spans="1:20" ht="15" x14ac:dyDescent="0.25">
      <c r="A17" s="395"/>
      <c r="B17" s="821" t="s">
        <v>236</v>
      </c>
      <c r="C17" s="890">
        <f>B_PH_Kalkulation!J25</f>
        <v>0</v>
      </c>
      <c r="D17" s="822">
        <f>KAT!E81</f>
        <v>22.52</v>
      </c>
      <c r="E17" s="828">
        <f>ROUND(IFERROR(D17*(100%+$E$15),0),2)</f>
        <v>22.52</v>
      </c>
      <c r="F17" s="823">
        <f>ROUND(IFERROR(E17*(100%+$F$15),0),2)</f>
        <v>24.43</v>
      </c>
      <c r="G17" s="824">
        <f>ROUND(IFERROR(F17*40*13/3*12,0),2)</f>
        <v>50814.400000000001</v>
      </c>
      <c r="H17" s="824">
        <f>(E17*40*13/3*12*$H$13)+G17</f>
        <v>60810.397440000001</v>
      </c>
      <c r="I17" s="825">
        <f>H17*(100%+$I$13)</f>
        <v>62026.605388800002</v>
      </c>
      <c r="J17" s="826">
        <f>I17*(100%+$J$13)</f>
        <v>63267.137496576004</v>
      </c>
      <c r="K17" s="396"/>
      <c r="L17" s="399"/>
      <c r="N17" s="490">
        <f>(ROUND(E16*(100%+F15),2)+(E16*$H$13))*(100%+$I$13)*(100%+$J$13)*40*13/3*12*(B_PH_Kalkulation!J22*(B_PH_Kalkulation!K22=KAT!G2)+B_PH_Kalkulation!J23*(B_PH_Kalkulation!K23=KAT!G2))</f>
        <v>0</v>
      </c>
      <c r="O17" s="227">
        <f>(ROUND(E17*(100%+F15),2)+(E17*$H$13))*(100%+$I$13)*(100%+$J$13)*40*13/3*12*(B_PH_Kalkulation!J22*(B_PH_Kalkulation!K22=KAT!G3)+B_PH_Kalkulation!J23*(B_PH_Kalkulation!K23=KAT!G3))</f>
        <v>0</v>
      </c>
      <c r="P17" s="228">
        <f>(ROUND(E18*(100%+F15),2)+(E18*$H$13))*(100%+$I$13)*(100%+$J$13)*40*13/3*12*(B_PH_Kalkulation!J22*(B_PH_Kalkulation!K22=KAT!G4)+B_PH_Kalkulation!J23*(B_PH_Kalkulation!K23=KAT!G4))</f>
        <v>0</v>
      </c>
      <c r="Q17" s="229" t="s">
        <v>420</v>
      </c>
      <c r="R17" s="229"/>
      <c r="S17" s="229"/>
      <c r="T17" s="561"/>
    </row>
    <row r="18" spans="1:20" ht="27.75" thickBot="1" x14ac:dyDescent="0.3">
      <c r="A18" s="395"/>
      <c r="B18" s="819" t="s">
        <v>237</v>
      </c>
      <c r="C18" s="891">
        <f>B_PH_Kalkulation!J26</f>
        <v>0</v>
      </c>
      <c r="D18" s="820">
        <f>KAT!E82</f>
        <v>20.88</v>
      </c>
      <c r="E18" s="828">
        <f>ROUND(IFERROR(D18*(100%+$E$15),0),2)</f>
        <v>20.88</v>
      </c>
      <c r="F18" s="823">
        <f>ROUND(IFERROR(E18*(100%+$F$15),0),2)</f>
        <v>22.65</v>
      </c>
      <c r="G18" s="824">
        <f>ROUND(IFERROR(F18*40*13/3*12,0),2)</f>
        <v>47112</v>
      </c>
      <c r="H18" s="824">
        <f>(E18*40*13/3*12*$H$13)+G18</f>
        <v>56380.047359999997</v>
      </c>
      <c r="I18" s="825">
        <f>H18*(100%+$I$13)</f>
        <v>57507.648307199997</v>
      </c>
      <c r="J18" s="834">
        <f>I18*(100%+$J$13)</f>
        <v>58657.801273343997</v>
      </c>
      <c r="K18" s="396"/>
      <c r="L18" s="399"/>
      <c r="N18" s="560">
        <f>(ROUND(E16*(100%+F15),2)+(E16*$H$13))*(100%+$I$13)*(100%+$J$13)*40*13/3*12*C16</f>
        <v>0</v>
      </c>
      <c r="O18" s="227">
        <f>(ROUND(E17*(100%+F15),2)+(E17*$H$13))*(100%+$I$13)*(100%+$J$13)*C17*40*13/3*12</f>
        <v>0</v>
      </c>
      <c r="P18" s="228">
        <f>(ROUND(E18*(100%+F15),2)+(E18*$H$13))*(100%+$I$13)*(100%+$J$13)*40*13/3*12*C18</f>
        <v>0</v>
      </c>
      <c r="Q18" s="229" t="s">
        <v>419</v>
      </c>
      <c r="R18" s="229"/>
      <c r="S18" s="229"/>
      <c r="T18" s="561"/>
    </row>
    <row r="19" spans="1:20" ht="15" x14ac:dyDescent="0.25">
      <c r="A19" s="395"/>
      <c r="B19" s="713"/>
      <c r="C19" s="714"/>
      <c r="D19" s="715"/>
      <c r="E19" s="833"/>
      <c r="G19" s="716"/>
      <c r="H19" s="397"/>
      <c r="I19" s="397"/>
      <c r="J19" s="402"/>
      <c r="K19" s="396"/>
      <c r="L19" s="399"/>
      <c r="N19" s="490">
        <f>(ROUND(E21*(100%+F20),2)+(E21*$H$13))*(100%+$I$13)*(100%+$J$13)*C21*40*13/3*12</f>
        <v>0</v>
      </c>
      <c r="O19" s="227">
        <f>(ROUND(E22*(100%+F20),2)+(E22*$H$13))*(100%+$I$13)*(100%+$J$13)*40*13/3*12*C22</f>
        <v>0</v>
      </c>
      <c r="P19" s="228">
        <f>(ROUND(E23*(100%+F20),2)+(E23*$H$13))*(100%+$I$13)*(100%+$J$13)*40*13/3*12*C23</f>
        <v>0</v>
      </c>
      <c r="Q19" s="230" t="s">
        <v>283</v>
      </c>
      <c r="R19" s="230"/>
      <c r="S19" s="230"/>
    </row>
    <row r="20" spans="1:20" ht="15.75" thickBot="1" x14ac:dyDescent="0.3">
      <c r="A20" s="395"/>
      <c r="B20" s="531" t="s">
        <v>232</v>
      </c>
      <c r="C20" s="518"/>
      <c r="D20" s="559"/>
      <c r="E20" s="216"/>
      <c r="F20" s="519">
        <f>KAT!B60</f>
        <v>4.1500000000000002E-2</v>
      </c>
      <c r="G20" s="520"/>
      <c r="H20" s="520"/>
      <c r="I20" s="520"/>
      <c r="J20" s="521"/>
      <c r="K20" s="396"/>
      <c r="L20" s="399"/>
      <c r="N20" s="692">
        <f>SUM(N17:N19)</f>
        <v>0</v>
      </c>
      <c r="O20" s="693">
        <f>SUM(O17:O19)</f>
        <v>0</v>
      </c>
      <c r="P20" s="694">
        <f>SUM(P17:P19)</f>
        <v>0</v>
      </c>
      <c r="Q20" s="1514" t="s">
        <v>418</v>
      </c>
      <c r="R20" s="1515"/>
      <c r="S20" s="1516"/>
    </row>
    <row r="21" spans="1:20" ht="16.5" thickTop="1" thickBot="1" x14ac:dyDescent="0.3">
      <c r="A21" s="395"/>
      <c r="B21" s="522" t="s">
        <v>235</v>
      </c>
      <c r="C21" s="554"/>
      <c r="D21" s="556">
        <f>KAT!E80</f>
        <v>27.18</v>
      </c>
      <c r="E21" s="829">
        <f>ROUND(IFERROR(D21*(100%+$E$20),0),2)</f>
        <v>27.18</v>
      </c>
      <c r="F21" s="400"/>
      <c r="G21" s="397"/>
      <c r="H21" s="397"/>
      <c r="I21" s="397"/>
      <c r="J21" s="523"/>
      <c r="K21" s="396"/>
      <c r="L21" s="399"/>
      <c r="N21" s="690" t="e">
        <f>N20/N15</f>
        <v>#DIV/0!</v>
      </c>
      <c r="O21" s="695" t="e">
        <f>O20/O15</f>
        <v>#DIV/0!</v>
      </c>
      <c r="P21" s="691" t="e">
        <f>P20/P15</f>
        <v>#DIV/0!</v>
      </c>
      <c r="Q21" s="1511" t="s">
        <v>417</v>
      </c>
      <c r="R21" s="1512"/>
      <c r="S21" s="1513"/>
    </row>
    <row r="22" spans="1:20" ht="15.75" thickTop="1" x14ac:dyDescent="0.25">
      <c r="A22" s="395"/>
      <c r="B22" s="524" t="s">
        <v>236</v>
      </c>
      <c r="C22" s="555"/>
      <c r="D22" s="557">
        <f>KAT!E81</f>
        <v>22.52</v>
      </c>
      <c r="E22" s="830">
        <f>ROUND(IFERROR(D22*(100%+$E$20),0),2)</f>
        <v>22.52</v>
      </c>
      <c r="F22" s="400"/>
      <c r="G22" s="397"/>
      <c r="H22" s="397"/>
      <c r="I22" s="397"/>
      <c r="J22" s="523"/>
      <c r="K22" s="396"/>
      <c r="L22" s="399"/>
      <c r="N22" s="222"/>
      <c r="O22" s="222"/>
      <c r="P22" s="222"/>
      <c r="Q22" s="222"/>
      <c r="R22" s="222"/>
      <c r="S22" s="222"/>
    </row>
    <row r="23" spans="1:20" ht="27.75" thickBot="1" x14ac:dyDescent="0.3">
      <c r="A23" s="395"/>
      <c r="B23" s="525" t="s">
        <v>237</v>
      </c>
      <c r="C23" s="526">
        <f>C24-C21-C22</f>
        <v>0</v>
      </c>
      <c r="D23" s="558">
        <f>KAT!E82</f>
        <v>20.88</v>
      </c>
      <c r="E23" s="831">
        <f>ROUND(IFERROR(D23*(100%+$E$20),0),2)</f>
        <v>20.88</v>
      </c>
      <c r="F23" s="532"/>
      <c r="G23" s="515"/>
      <c r="H23" s="515"/>
      <c r="I23" s="515"/>
      <c r="J23" s="523"/>
      <c r="K23" s="396"/>
      <c r="L23" s="399"/>
      <c r="N23" s="222"/>
      <c r="O23" s="222"/>
      <c r="P23" s="222"/>
      <c r="Q23" s="222"/>
      <c r="R23" s="222"/>
      <c r="S23" s="222"/>
    </row>
    <row r="24" spans="1:20" ht="15.75" thickBot="1" x14ac:dyDescent="0.3">
      <c r="A24" s="395"/>
      <c r="B24" s="527" t="s">
        <v>251</v>
      </c>
      <c r="C24" s="528">
        <f>IFERROR(B_PH_Kalkulation!J27,0)</f>
        <v>0</v>
      </c>
      <c r="D24" s="533"/>
      <c r="E24" s="832">
        <f>IF(C23&lt;0,"Fehler",ROUND(IFERROR(((E23*C23+C22*E22+E21*C21)/C24),0),2))</f>
        <v>0</v>
      </c>
      <c r="F24" s="534">
        <f>ROUND(IFERROR(E24*(100%+$F$20),0),2)</f>
        <v>0</v>
      </c>
      <c r="G24" s="516">
        <f>ROUND(IFERROR(F24*40*13/3*12,0),2)</f>
        <v>0</v>
      </c>
      <c r="H24" s="516">
        <f>(E24*40*13/3*12*$H$13)+G24</f>
        <v>0</v>
      </c>
      <c r="I24" s="535">
        <f>H24*(100%+$I$13)</f>
        <v>0</v>
      </c>
      <c r="J24" s="517">
        <f>I24*(100%+$J$13)</f>
        <v>0</v>
      </c>
      <c r="K24" s="396"/>
      <c r="L24" s="399"/>
      <c r="N24" s="222"/>
      <c r="O24" s="222"/>
      <c r="P24" s="222"/>
      <c r="Q24" s="222"/>
      <c r="R24" s="222"/>
      <c r="S24" s="222"/>
    </row>
    <row r="25" spans="1:20" ht="15" thickTop="1" x14ac:dyDescent="0.2">
      <c r="A25" s="395"/>
      <c r="B25" s="529"/>
      <c r="C25" s="530"/>
      <c r="D25" s="396"/>
      <c r="E25" s="396"/>
      <c r="F25" s="396"/>
      <c r="G25" s="396"/>
      <c r="H25" s="396"/>
      <c r="I25" s="396"/>
      <c r="J25" s="396"/>
      <c r="K25" s="396"/>
      <c r="L25" s="399"/>
      <c r="N25" s="222"/>
      <c r="O25" s="222"/>
      <c r="P25" s="222"/>
      <c r="Q25" s="222"/>
      <c r="R25" s="222"/>
      <c r="S25" s="222"/>
    </row>
    <row r="26" spans="1:20" x14ac:dyDescent="0.2">
      <c r="A26" s="395"/>
      <c r="B26" s="396"/>
      <c r="C26" s="396"/>
      <c r="D26" s="396"/>
      <c r="E26" s="396"/>
      <c r="F26" s="396"/>
      <c r="G26" s="396"/>
      <c r="H26" s="396"/>
      <c r="I26" s="396"/>
      <c r="J26" s="396"/>
      <c r="K26" s="396"/>
      <c r="L26" s="399"/>
      <c r="N26" s="222"/>
      <c r="O26" s="222"/>
      <c r="P26" s="222"/>
      <c r="Q26" s="222"/>
      <c r="R26" s="222"/>
      <c r="S26" s="222"/>
    </row>
    <row r="27" spans="1:20" x14ac:dyDescent="0.2">
      <c r="A27" s="395"/>
      <c r="B27" s="717" t="s">
        <v>542</v>
      </c>
      <c r="C27" s="396"/>
      <c r="D27" s="396"/>
      <c r="E27" s="711"/>
      <c r="F27" s="396"/>
      <c r="G27" s="396"/>
      <c r="H27" s="396"/>
      <c r="I27" s="396"/>
      <c r="J27" s="396"/>
      <c r="K27" s="396"/>
      <c r="L27" s="399"/>
      <c r="N27" s="222"/>
      <c r="O27" s="222"/>
      <c r="P27" s="222"/>
      <c r="Q27" s="222"/>
      <c r="R27" s="222"/>
      <c r="S27" s="222"/>
    </row>
    <row r="28" spans="1:20" s="138" customFormat="1" ht="15" thickBot="1" x14ac:dyDescent="0.25">
      <c r="A28" s="395"/>
      <c r="B28" s="718"/>
      <c r="C28" s="398"/>
      <c r="D28" s="398"/>
      <c r="E28" s="398"/>
      <c r="F28" s="398"/>
      <c r="G28" s="398"/>
      <c r="H28" s="396"/>
      <c r="I28" s="396"/>
      <c r="J28" s="396"/>
      <c r="K28" s="396"/>
      <c r="L28" s="399"/>
      <c r="N28" s="222"/>
      <c r="O28" s="222"/>
      <c r="P28" s="222"/>
      <c r="Q28" s="222"/>
      <c r="R28" s="222"/>
      <c r="S28" s="222"/>
    </row>
    <row r="29" spans="1:20" s="138" customFormat="1" x14ac:dyDescent="0.2">
      <c r="A29" s="395"/>
      <c r="B29" s="1522" t="s">
        <v>1167</v>
      </c>
      <c r="C29" s="536" t="s">
        <v>271</v>
      </c>
      <c r="D29" s="536" t="s">
        <v>269</v>
      </c>
      <c r="E29" s="537" t="s">
        <v>270</v>
      </c>
      <c r="F29" s="398"/>
      <c r="G29" s="398"/>
      <c r="H29" s="719"/>
      <c r="I29" s="396"/>
      <c r="J29" s="396"/>
      <c r="K29" s="396"/>
      <c r="L29" s="399"/>
      <c r="N29" s="222"/>
      <c r="O29" s="222"/>
      <c r="P29" s="222"/>
      <c r="Q29" s="222"/>
      <c r="R29" s="222"/>
      <c r="S29" s="222"/>
    </row>
    <row r="30" spans="1:20" s="138" customFormat="1" ht="26.25" thickBot="1" x14ac:dyDescent="0.25">
      <c r="A30" s="395"/>
      <c r="B30" s="1523"/>
      <c r="C30" s="538" t="s">
        <v>272</v>
      </c>
      <c r="D30" s="539" t="s">
        <v>273</v>
      </c>
      <c r="E30" s="540" t="s">
        <v>274</v>
      </c>
      <c r="F30" s="398"/>
      <c r="G30" s="398"/>
      <c r="H30" s="396"/>
      <c r="I30" s="396"/>
      <c r="J30" s="396"/>
      <c r="K30" s="396"/>
      <c r="L30" s="399"/>
      <c r="N30" s="222"/>
      <c r="O30" s="222"/>
      <c r="P30" s="222"/>
      <c r="Q30" s="222"/>
      <c r="R30" s="222"/>
      <c r="S30" s="222"/>
    </row>
    <row r="31" spans="1:20" s="138" customFormat="1" ht="15" thickBot="1" x14ac:dyDescent="0.25">
      <c r="A31" s="395"/>
      <c r="B31" s="718"/>
      <c r="C31" s="1508"/>
      <c r="D31" s="1508"/>
      <c r="E31" s="1508"/>
      <c r="F31" s="1508"/>
      <c r="G31" s="720"/>
      <c r="H31" s="396"/>
      <c r="I31" s="396"/>
      <c r="J31" s="396"/>
      <c r="K31" s="396"/>
      <c r="L31" s="399"/>
      <c r="N31" s="222"/>
      <c r="O31" s="222"/>
      <c r="P31" s="222"/>
      <c r="Q31" s="222"/>
      <c r="R31" s="222"/>
      <c r="S31" s="222"/>
    </row>
    <row r="32" spans="1:20" s="138" customFormat="1" x14ac:dyDescent="0.2">
      <c r="A32" s="541"/>
      <c r="B32" s="728" t="s">
        <v>275</v>
      </c>
      <c r="C32" s="729">
        <f>IFERROR(((E21*C21+C16*E16)*40*13/3)/SUM(C16,C21),0)</f>
        <v>0</v>
      </c>
      <c r="D32" s="729">
        <f>IFERROR(((E22*C22+E17*C17)*40*13/3)/SUM(C17,C22),0)</f>
        <v>0</v>
      </c>
      <c r="E32" s="730">
        <f>IFERROR(((C18*E18+E23*C23)*40*13/3)/SUM(C18,C23),0)</f>
        <v>0</v>
      </c>
      <c r="F32" s="398"/>
      <c r="G32" s="398"/>
      <c r="H32" s="396"/>
      <c r="I32" s="396"/>
      <c r="J32" s="396"/>
      <c r="K32" s="396"/>
      <c r="L32" s="399"/>
      <c r="N32" s="222"/>
      <c r="O32" s="222"/>
      <c r="P32" s="222"/>
      <c r="Q32" s="222"/>
      <c r="R32" s="222"/>
      <c r="S32" s="222"/>
    </row>
    <row r="33" spans="1:23" ht="15" thickBot="1" x14ac:dyDescent="0.25">
      <c r="A33" s="541"/>
      <c r="B33" s="542" t="s">
        <v>276</v>
      </c>
      <c r="C33" s="543">
        <f>40*13/3</f>
        <v>173.33333333333334</v>
      </c>
      <c r="D33" s="543">
        <f t="shared" ref="D33:E33" si="0">40*13/3</f>
        <v>173.33333333333334</v>
      </c>
      <c r="E33" s="731">
        <f t="shared" si="0"/>
        <v>173.33333333333334</v>
      </c>
      <c r="F33" s="3"/>
      <c r="G33" s="3"/>
      <c r="H33" s="3"/>
      <c r="I33" s="3"/>
      <c r="J33" s="3"/>
      <c r="K33" s="3"/>
      <c r="L33" s="4"/>
      <c r="N33" s="222"/>
      <c r="O33" s="222"/>
      <c r="P33" s="222"/>
      <c r="Q33" s="222"/>
      <c r="R33" s="222"/>
      <c r="S33" s="222"/>
    </row>
    <row r="34" spans="1:23" ht="15" thickBot="1" x14ac:dyDescent="0.25">
      <c r="A34" s="2"/>
      <c r="B34" s="544" t="s">
        <v>284</v>
      </c>
      <c r="C34" s="545">
        <f>C32/C33</f>
        <v>0</v>
      </c>
      <c r="D34" s="546">
        <f t="shared" ref="D34:E34" si="1">D32/D33</f>
        <v>0</v>
      </c>
      <c r="E34" s="547">
        <f t="shared" si="1"/>
        <v>0</v>
      </c>
      <c r="F34" s="3"/>
      <c r="G34" s="3"/>
      <c r="H34" s="3"/>
      <c r="I34" s="3"/>
      <c r="J34" s="3"/>
      <c r="K34" s="3"/>
      <c r="L34" s="4"/>
      <c r="N34" s="222"/>
      <c r="O34" s="222"/>
      <c r="P34" s="222"/>
      <c r="Q34" s="222"/>
      <c r="R34" s="222"/>
      <c r="S34" s="222"/>
    </row>
    <row r="35" spans="1:23" ht="15" thickBot="1" x14ac:dyDescent="0.25">
      <c r="A35" s="2"/>
      <c r="B35" s="3"/>
      <c r="C35" s="3"/>
      <c r="D35" s="3"/>
      <c r="E35" s="3"/>
      <c r="F35" s="3"/>
      <c r="G35" s="3"/>
      <c r="H35" s="3"/>
      <c r="I35" s="3"/>
      <c r="J35" s="3"/>
      <c r="K35" s="3"/>
      <c r="L35" s="4"/>
      <c r="N35" s="222"/>
      <c r="O35" s="222"/>
      <c r="P35" s="222"/>
      <c r="Q35" s="222"/>
      <c r="R35" s="222"/>
      <c r="S35" s="222"/>
    </row>
    <row r="36" spans="1:23" x14ac:dyDescent="0.2">
      <c r="A36" s="2"/>
      <c r="B36" s="732" t="s">
        <v>220</v>
      </c>
      <c r="C36" s="733">
        <f>C16+C21+B_PH_Kalkulation!J22*(B_PH_Kalkulation!K22=KAT!G2)+B_PH_Kalkulation!J23*(B_PH_Kalkulation!K23=KAT!G2)</f>
        <v>0</v>
      </c>
      <c r="D36" s="733">
        <f>C17+C22+B_PH_Kalkulation!J22*(B_PH_Kalkulation!K22=KAT!G3)+B_PH_Kalkulation!J23*(B_PH_Kalkulation!K23=KAT!G3)</f>
        <v>0</v>
      </c>
      <c r="E36" s="734">
        <f>C18+C23+B_PH_Kalkulation!J22*(B_PH_Kalkulation!K22=KAT!G4)+B_PH_Kalkulation!J23*(B_PH_Kalkulation!K23=KAT!G4)</f>
        <v>0</v>
      </c>
      <c r="F36" s="3"/>
      <c r="G36" s="721"/>
      <c r="H36" s="3"/>
      <c r="I36" s="3"/>
      <c r="J36" s="3"/>
      <c r="K36" s="3"/>
      <c r="L36" s="4"/>
      <c r="N36" s="222"/>
      <c r="O36" s="222"/>
      <c r="P36" s="222"/>
      <c r="Q36" s="222"/>
      <c r="R36" s="222"/>
      <c r="S36" s="222"/>
    </row>
    <row r="37" spans="1:23" ht="15" thickBot="1" x14ac:dyDescent="0.25">
      <c r="A37" s="2"/>
      <c r="B37" s="542" t="s">
        <v>277</v>
      </c>
      <c r="C37" s="1517">
        <f>IFERROR(SUM(C36:E36),0)</f>
        <v>0</v>
      </c>
      <c r="D37" s="1517"/>
      <c r="E37" s="1518"/>
      <c r="F37" s="3"/>
      <c r="G37" s="3"/>
      <c r="H37" s="3"/>
      <c r="I37" s="3"/>
      <c r="J37" s="3"/>
      <c r="K37" s="3"/>
      <c r="L37" s="4"/>
      <c r="N37" s="222"/>
      <c r="O37" s="222"/>
      <c r="P37" s="222"/>
      <c r="Q37" s="222"/>
      <c r="R37" s="222"/>
      <c r="S37" s="222"/>
    </row>
    <row r="38" spans="1:23" ht="15" thickBot="1" x14ac:dyDescent="0.25">
      <c r="A38" s="2"/>
      <c r="B38" s="548" t="s">
        <v>278</v>
      </c>
      <c r="C38" s="549">
        <f>IFERROR(C36/C37,0)</f>
        <v>0</v>
      </c>
      <c r="D38" s="550">
        <f>IFERROR(D36/C37,0)</f>
        <v>0</v>
      </c>
      <c r="E38" s="551">
        <f>IFERROR(E36/C37,0)</f>
        <v>0</v>
      </c>
      <c r="F38" s="3"/>
      <c r="G38" s="3"/>
      <c r="H38" s="3"/>
      <c r="I38" s="3"/>
      <c r="J38" s="3"/>
      <c r="K38" s="3"/>
      <c r="L38" s="4"/>
      <c r="N38" s="222"/>
      <c r="O38" s="222"/>
      <c r="P38" s="222"/>
      <c r="Q38" s="222"/>
      <c r="R38" s="222"/>
      <c r="S38" s="222"/>
    </row>
    <row r="39" spans="1:23" ht="15" thickBot="1" x14ac:dyDescent="0.25">
      <c r="A39" s="2"/>
      <c r="B39" s="3"/>
      <c r="C39" s="3"/>
      <c r="D39" s="3"/>
      <c r="E39" s="3"/>
      <c r="F39" s="3"/>
      <c r="G39" s="3"/>
      <c r="H39" s="3"/>
      <c r="I39" s="3"/>
      <c r="J39" s="3"/>
      <c r="K39" s="3"/>
      <c r="L39" s="4"/>
      <c r="N39" s="222"/>
      <c r="O39" s="222"/>
      <c r="P39" s="222"/>
      <c r="Q39" s="222"/>
      <c r="R39" s="222"/>
      <c r="S39" s="222"/>
    </row>
    <row r="40" spans="1:23" ht="15.75" thickBot="1" x14ac:dyDescent="0.3">
      <c r="A40" s="2"/>
      <c r="B40" s="552" t="s">
        <v>279</v>
      </c>
      <c r="C40" s="1519">
        <f>IFERROR(C38*C34+D34*D38+E34*E38,0)</f>
        <v>0</v>
      </c>
      <c r="D40" s="1520"/>
      <c r="E40" s="1521"/>
      <c r="F40" s="722" t="str">
        <f>IF(C40&gt;KAT!$E$79*110%,"Forderung liegt über 10% des regional üblichen Entgeltes.","")</f>
        <v/>
      </c>
      <c r="G40" s="396"/>
      <c r="H40" s="3"/>
      <c r="I40" s="3"/>
      <c r="J40" s="3"/>
      <c r="K40" s="3"/>
      <c r="L40" s="4"/>
    </row>
    <row r="41" spans="1:23" ht="15.75" thickBot="1" x14ac:dyDescent="0.3">
      <c r="A41" s="2"/>
      <c r="B41" s="573"/>
      <c r="C41" s="1524"/>
      <c r="D41" s="1524"/>
      <c r="E41" s="1524"/>
      <c r="F41" s="396"/>
      <c r="G41" s="396"/>
      <c r="H41" s="3"/>
      <c r="I41" s="3"/>
      <c r="J41" s="3"/>
      <c r="K41" s="3"/>
      <c r="L41" s="553"/>
      <c r="N41" s="574" t="s">
        <v>360</v>
      </c>
      <c r="O41" s="574" t="s">
        <v>361</v>
      </c>
      <c r="P41" s="574" t="s">
        <v>362</v>
      </c>
      <c r="Q41" s="574" t="s">
        <v>363</v>
      </c>
      <c r="R41" s="574" t="s">
        <v>364</v>
      </c>
      <c r="S41" s="574" t="s">
        <v>365</v>
      </c>
      <c r="T41" s="574" t="s">
        <v>366</v>
      </c>
      <c r="U41" s="574" t="s">
        <v>367</v>
      </c>
      <c r="V41" s="574" t="s">
        <v>368</v>
      </c>
      <c r="W41" s="574" t="s">
        <v>369</v>
      </c>
    </row>
    <row r="42" spans="1:23" ht="15" thickBot="1" x14ac:dyDescent="0.25">
      <c r="A42" s="2"/>
      <c r="B42" s="725" t="s">
        <v>280</v>
      </c>
      <c r="C42" s="726">
        <f>IFERROR(N21,0)</f>
        <v>0</v>
      </c>
      <c r="D42" s="726">
        <f t="shared" ref="D42:E42" si="2">IFERROR(O21,0)</f>
        <v>0</v>
      </c>
      <c r="E42" s="727">
        <f t="shared" si="2"/>
        <v>0</v>
      </c>
      <c r="F42" s="3"/>
      <c r="G42" s="3"/>
      <c r="H42" s="3"/>
      <c r="I42" s="3"/>
      <c r="J42" s="3"/>
      <c r="K42" s="3"/>
      <c r="L42" s="553"/>
      <c r="N42" s="575">
        <f>C34</f>
        <v>0</v>
      </c>
      <c r="O42" s="575">
        <f>D34</f>
        <v>0</v>
      </c>
      <c r="P42" s="575">
        <f>E34</f>
        <v>0</v>
      </c>
      <c r="Q42" s="576">
        <f>C40</f>
        <v>0</v>
      </c>
      <c r="R42" s="577">
        <f>C36</f>
        <v>0</v>
      </c>
      <c r="S42" s="577">
        <f>D36</f>
        <v>0</v>
      </c>
      <c r="T42" s="577">
        <f>E36</f>
        <v>0</v>
      </c>
      <c r="U42" s="578">
        <f>C42</f>
        <v>0</v>
      </c>
      <c r="V42" s="578">
        <f>D42</f>
        <v>0</v>
      </c>
      <c r="W42" s="578">
        <f>E42</f>
        <v>0</v>
      </c>
    </row>
    <row r="43" spans="1:23" x14ac:dyDescent="0.2">
      <c r="A43" s="35"/>
      <c r="B43" s="723"/>
      <c r="C43" s="724"/>
      <c r="D43" s="724"/>
      <c r="E43" s="724"/>
      <c r="F43" s="36"/>
      <c r="G43" s="36"/>
      <c r="H43" s="36"/>
      <c r="I43" s="36"/>
      <c r="J43" s="36"/>
      <c r="K43" s="36"/>
      <c r="L43" s="232"/>
      <c r="N43" s="705"/>
      <c r="O43" s="705"/>
      <c r="P43" s="705"/>
      <c r="Q43" s="706"/>
      <c r="R43" s="707"/>
      <c r="S43" s="707"/>
      <c r="T43" s="707"/>
      <c r="U43" s="708"/>
      <c r="V43" s="708"/>
      <c r="W43" s="708"/>
    </row>
    <row r="44" spans="1:23" ht="15" thickBot="1" x14ac:dyDescent="0.25"/>
    <row r="45" spans="1:23" ht="15" customHeight="1" thickBot="1" x14ac:dyDescent="0.25">
      <c r="C45" s="1007"/>
      <c r="D45" s="1410" t="s">
        <v>547</v>
      </c>
      <c r="E45" s="1411"/>
      <c r="F45" s="1411"/>
      <c r="G45" s="1411"/>
      <c r="H45" s="1411"/>
      <c r="I45" s="1412"/>
      <c r="J45" s="1007"/>
    </row>
    <row r="46" spans="1:23" x14ac:dyDescent="0.2">
      <c r="I46" s="1007"/>
    </row>
  </sheetData>
  <sheetProtection sheet="1" selectLockedCells="1"/>
  <customSheetViews>
    <customSheetView guid="{9119B1A0-FD79-4FE4-B78E-10E0AEB8080B}" showPageBreaks="1" showGridLines="0" fitToPage="1" printArea="1" hiddenColumns="1" view="pageLayout" topLeftCell="I38">
      <selection activeCell="I7" sqref="I7"/>
      <pageMargins left="0.70866141732283472" right="0.70866141732283472" top="0.78740157480314965" bottom="0.78740157480314965" header="0.31496062992125984" footer="0.31496062992125984"/>
      <pageSetup paperSize="9" scale="60" orientation="landscape" r:id="rId1"/>
      <headerFooter>
        <oddHeader>&amp;CSeite 3</oddHeader>
        <oddFooter>&amp;LVersion: 21.06.2022&amp;CVerhandlungsunterlagen SGB XI (vereinfacht B1)&amp;RPSK-Beschluss Nr. 3-2022 vom 21.06.2022</oddFooter>
      </headerFooter>
    </customSheetView>
  </customSheetViews>
  <mergeCells count="16">
    <mergeCell ref="A1:K1"/>
    <mergeCell ref="B2:L2"/>
    <mergeCell ref="D45:I45"/>
    <mergeCell ref="C37:E37"/>
    <mergeCell ref="C40:E40"/>
    <mergeCell ref="B29:B30"/>
    <mergeCell ref="B12:B13"/>
    <mergeCell ref="C41:E41"/>
    <mergeCell ref="G12:G13"/>
    <mergeCell ref="N12:P12"/>
    <mergeCell ref="Q15:S15"/>
    <mergeCell ref="C31:D31"/>
    <mergeCell ref="E31:F31"/>
    <mergeCell ref="C12:C13"/>
    <mergeCell ref="Q21:S21"/>
    <mergeCell ref="Q20:S20"/>
  </mergeCells>
  <phoneticPr fontId="71" type="noConversion"/>
  <conditionalFormatting sqref="E17:E18 J17:J18">
    <cfRule type="expression" dxfId="39" priority="121">
      <formula>$C17=0</formula>
    </cfRule>
  </conditionalFormatting>
  <conditionalFormatting sqref="F17:I18">
    <cfRule type="expression" dxfId="37" priority="3">
      <formula>$C17=0</formula>
    </cfRule>
  </conditionalFormatting>
  <dataValidations xWindow="1013" yWindow="340" count="1">
    <dataValidation type="custom" allowBlank="1" showInputMessage="1" showErrorMessage="1" error="Maximale Steigerung um 10% " sqref="E15 E20" xr:uid="{00000000-0002-0000-0500-000001000000}">
      <formula1>E15&lt;=10%</formula1>
    </dataValidation>
  </dataValidations>
  <hyperlinks>
    <hyperlink ref="D45" location="'Anlage 1'!A1" display="Anlage 1" xr:uid="{00000000-0004-0000-0500-000000000000}"/>
    <hyperlink ref="D45:I45" location="B_PH_Bewohnervertretung!A1" display="gehe weiter zu B_PH_Bewohnervertretung" xr:uid="{00000000-0004-0000-0500-000001000000}"/>
  </hyperlinks>
  <pageMargins left="0.70866141732283472" right="0.70866141732283472" top="0.78740157480314965" bottom="0.78740157480314965" header="0.31496062992125984" footer="0.31496062992125984"/>
  <pageSetup paperSize="9" scale="64" orientation="landscape"/>
  <headerFooter>
    <oddHeader>&amp;C&amp;9&amp;A</oddHeader>
    <oddFooter xml:space="preserve">&amp;LVersion: &amp;CVerhandlungsunterlagen SGB XI (vereinfacht B)&amp;RPSK-Beschluss vom </oddFooter>
  </headerFooter>
  <extLst>
    <ext xmlns:x14="http://schemas.microsoft.com/office/spreadsheetml/2009/9/main" uri="{78C0D931-6437-407d-A8EE-F0AAD7539E65}">
      <x14:conditionalFormattings>
        <x14:conditionalFormatting xmlns:xm="http://schemas.microsoft.com/office/excel/2006/main">
          <x14:cfRule type="expression" priority="2" id="{16D72112-B707-48DB-82D4-3E7596C01A86}">
            <xm:f>'B_PH_Allgemeine Angaben'!$N$59=0</xm:f>
            <x14:dxf>
              <font>
                <color theme="0" tint="-0.14996795556505021"/>
              </font>
              <fill>
                <patternFill>
                  <bgColor theme="0"/>
                </patternFill>
              </fill>
              <border>
                <left/>
                <right/>
                <top/>
                <bottom/>
                <vertical/>
                <horizontal/>
              </border>
            </x14:dxf>
          </x14:cfRule>
          <xm:sqref>B9:K13 B14:E14 G14:K14 B15:K18 B19:E19 G19:K19 B20:K42</xm:sqref>
        </x14:conditionalFormatting>
        <x14:conditionalFormatting xmlns:xm="http://schemas.microsoft.com/office/excel/2006/main">
          <x14:cfRule type="expression" priority="10" id="{5EE59F31-C23F-4B6F-B680-19FA1B8F0642}">
            <xm:f>KAT!$A$126="nein"</xm:f>
            <x14:dxf>
              <fill>
                <patternFill>
                  <bgColor theme="0"/>
                </patternFill>
              </fill>
            </x14:dxf>
          </x14:cfRule>
          <xm:sqref>F40</xm:sqref>
        </x14:conditionalFormatting>
        <x14:conditionalFormatting xmlns:xm="http://schemas.microsoft.com/office/excel/2006/main">
          <x14:cfRule type="expression" priority="1" id="{0C48A5CD-0C9A-4193-AFC6-0E2EE352C3BD}">
            <xm:f>OR('B_PH_Allgemeine Angaben'!$M$48=0,'B_PH_Allgemeine Angaben'!$L$6='B_PH_Allgemeine Angaben'!$L$7)</xm:f>
            <x14:dxf>
              <font>
                <color theme="6" tint="0.59996337778862885"/>
              </font>
              <fill>
                <patternFill>
                  <bgColor theme="6" tint="0.59996337778862885"/>
                </patternFill>
              </fill>
            </x14:dxf>
          </x14:cfRule>
          <xm:sqref>I4 K4</xm:sqref>
        </x14:conditionalFormatting>
      </x14:conditionalFormattings>
    </ext>
    <ext xmlns:x14="http://schemas.microsoft.com/office/spreadsheetml/2009/9/main" uri="{CCE6A557-97BC-4b89-ADB6-D9C93CAAB3DF}">
      <x14:dataValidations xmlns:xm="http://schemas.microsoft.com/office/excel/2006/main" xWindow="1013" yWindow="340" count="2">
        <x14:dataValidation type="list" allowBlank="1" showInputMessage="1" showErrorMessage="1" prompt="SV Beitrag ohne U1 Teilnahme = 20,335%_x000a_SV Beitrag mit U1 Teilnahme = 21,105 % " xr:uid="{00000000-0002-0000-0500-000002000000}">
          <x14:formula1>
            <xm:f>KAT!#REF!</xm:f>
          </x14:formula1>
          <xm:sqref>H14</xm:sqref>
        </x14:dataValidation>
        <x14:dataValidation type="list" allowBlank="1" showInputMessage="1" showErrorMessage="1" prompt="SV Beitrag ohne U1 Teilnahme =&gt; geringerer Wert_x000a_SV Beitrag mit U1 Teilnahme =&gt; höherer Wert" xr:uid="{00000000-0002-0000-0500-000003000000}">
          <x14:formula1>
            <xm:f>KAT!$C$74:$C$75</xm:f>
          </x14:formula1>
          <xm:sqref>H13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Q67"/>
  <sheetViews>
    <sheetView showGridLines="0" zoomScaleNormal="100" workbookViewId="0">
      <selection activeCell="H6" sqref="H6"/>
    </sheetView>
  </sheetViews>
  <sheetFormatPr baseColWidth="10" defaultRowHeight="14.25" x14ac:dyDescent="0.2"/>
  <cols>
    <col min="1" max="2" width="3.625" style="44" customWidth="1"/>
    <col min="3" max="3" width="3.25" style="44" customWidth="1"/>
    <col min="4" max="4" width="3.125" style="44" customWidth="1"/>
    <col min="5" max="5" width="3.5" style="44" customWidth="1"/>
    <col min="6" max="6" width="11" style="44"/>
    <col min="7" max="7" width="3.125" style="44" customWidth="1"/>
    <col min="8" max="8" width="3.5" style="44" customWidth="1"/>
    <col min="9" max="9" width="11" style="44"/>
    <col min="10" max="10" width="11.875" style="44" customWidth="1"/>
    <col min="11" max="11" width="3.125" style="44" customWidth="1"/>
    <col min="12" max="12" width="17.75" style="44" customWidth="1"/>
    <col min="13" max="13" width="18.875" style="44" customWidth="1"/>
    <col min="14" max="14" width="4" style="44" customWidth="1"/>
  </cols>
  <sheetData>
    <row r="1" spans="1:17" ht="15.75" x14ac:dyDescent="0.25">
      <c r="A1" s="1527" t="s">
        <v>95</v>
      </c>
      <c r="B1" s="1528"/>
      <c r="C1" s="1528"/>
      <c r="D1" s="1528"/>
      <c r="E1" s="1528"/>
      <c r="F1" s="1528"/>
      <c r="G1" s="1528"/>
      <c r="H1" s="1528"/>
      <c r="I1" s="1528"/>
      <c r="J1" s="1528"/>
      <c r="K1" s="1528"/>
      <c r="L1" s="1528"/>
      <c r="M1" s="1528"/>
      <c r="N1" s="1529"/>
      <c r="O1" s="89"/>
    </row>
    <row r="2" spans="1:17" ht="15" x14ac:dyDescent="0.2">
      <c r="A2" s="1530"/>
      <c r="B2" s="1531"/>
      <c r="C2" s="1531"/>
      <c r="D2" s="1531"/>
      <c r="E2" s="1531"/>
      <c r="F2" s="1531"/>
      <c r="G2" s="1531"/>
      <c r="H2" s="1531"/>
      <c r="I2" s="1531"/>
      <c r="J2" s="1531"/>
      <c r="K2" s="1531"/>
      <c r="L2" s="1531"/>
      <c r="M2" s="1531"/>
      <c r="N2" s="1532"/>
      <c r="O2" s="9"/>
    </row>
    <row r="3" spans="1:17" ht="15.75" x14ac:dyDescent="0.25">
      <c r="A3" s="1533" t="str">
        <f>'B_PH_Allgemeine Angaben'!A3</f>
        <v/>
      </c>
      <c r="B3" s="1534"/>
      <c r="C3" s="1534"/>
      <c r="D3" s="1534"/>
      <c r="E3" s="1534"/>
      <c r="F3" s="1534"/>
      <c r="G3" s="1534"/>
      <c r="H3" s="1534"/>
      <c r="I3" s="1534"/>
      <c r="J3" s="1534"/>
      <c r="K3" s="1534"/>
      <c r="L3" s="1534"/>
      <c r="M3" s="1534"/>
      <c r="N3" s="1535"/>
    </row>
    <row r="4" spans="1:17" ht="15.75" x14ac:dyDescent="0.25">
      <c r="A4" s="1533" t="str">
        <f>'B_PH_Allgemeine Angaben'!A4:N4</f>
        <v/>
      </c>
      <c r="B4" s="1534"/>
      <c r="C4" s="1534"/>
      <c r="D4" s="1534"/>
      <c r="E4" s="1534"/>
      <c r="F4" s="1534"/>
      <c r="G4" s="1534"/>
      <c r="H4" s="1534"/>
      <c r="I4" s="1534"/>
      <c r="J4" s="1534"/>
      <c r="K4" s="1534"/>
      <c r="L4" s="1534"/>
      <c r="M4" s="1534"/>
      <c r="N4" s="1535"/>
      <c r="O4" s="1"/>
      <c r="Q4" s="9"/>
    </row>
    <row r="5" spans="1:17" ht="16.5" thickBot="1" x14ac:dyDescent="0.3">
      <c r="A5" s="42"/>
      <c r="B5" s="43"/>
      <c r="N5" s="45"/>
      <c r="O5" s="44"/>
      <c r="Q5" s="9"/>
    </row>
    <row r="6" spans="1:17" s="73" customFormat="1" ht="16.5" thickBot="1" x14ac:dyDescent="0.3">
      <c r="A6" s="71"/>
      <c r="B6" s="1536" t="s">
        <v>96</v>
      </c>
      <c r="C6" s="1536"/>
      <c r="D6" s="1536"/>
      <c r="E6" s="1536"/>
      <c r="F6" s="1536"/>
      <c r="G6" s="1537"/>
      <c r="H6" s="72"/>
      <c r="J6" s="43"/>
      <c r="K6" s="72"/>
      <c r="L6" s="1538" t="s">
        <v>1340</v>
      </c>
      <c r="M6" s="1536"/>
      <c r="N6" s="74"/>
      <c r="Q6" s="84"/>
    </row>
    <row r="7" spans="1:17" ht="14.25" customHeight="1" x14ac:dyDescent="0.2">
      <c r="A7" s="42"/>
      <c r="N7" s="45"/>
      <c r="O7" s="44"/>
    </row>
    <row r="8" spans="1:17" ht="27" customHeight="1" x14ac:dyDescent="0.2">
      <c r="A8" s="42"/>
      <c r="B8" s="1539" t="s">
        <v>144</v>
      </c>
      <c r="C8" s="1539"/>
      <c r="D8" s="1539"/>
      <c r="E8" s="1539"/>
      <c r="F8" s="1539"/>
      <c r="G8" s="1539"/>
      <c r="H8" s="1539"/>
      <c r="I8" s="1539"/>
      <c r="J8" s="1539"/>
      <c r="K8" s="1539"/>
      <c r="L8" s="1539"/>
      <c r="M8" s="1539"/>
      <c r="N8" s="45"/>
      <c r="O8" s="44"/>
    </row>
    <row r="9" spans="1:17" ht="15.75" x14ac:dyDescent="0.25">
      <c r="A9" s="42"/>
      <c r="B9" s="46"/>
      <c r="N9" s="45"/>
      <c r="O9" s="44"/>
      <c r="Q9" s="47"/>
    </row>
    <row r="10" spans="1:17" s="73" customFormat="1" ht="15" x14ac:dyDescent="0.2">
      <c r="A10" s="75"/>
      <c r="B10" s="76" t="s">
        <v>97</v>
      </c>
      <c r="C10" s="76" t="s">
        <v>98</v>
      </c>
      <c r="D10" s="76"/>
      <c r="E10" s="76"/>
      <c r="F10" s="76"/>
      <c r="G10" s="76"/>
      <c r="I10" s="76"/>
      <c r="J10" s="76"/>
      <c r="N10" s="77"/>
    </row>
    <row r="11" spans="1:17" ht="12.75" customHeight="1" thickBot="1" x14ac:dyDescent="0.3">
      <c r="A11" s="42"/>
      <c r="B11" s="46"/>
      <c r="N11" s="45"/>
      <c r="O11" s="44"/>
    </row>
    <row r="12" spans="1:17" ht="16.5" thickBot="1" x14ac:dyDescent="0.3">
      <c r="A12" s="42"/>
      <c r="D12" s="78"/>
      <c r="F12" s="43" t="s">
        <v>99</v>
      </c>
      <c r="G12" s="47"/>
      <c r="H12" s="47"/>
      <c r="I12" s="47"/>
      <c r="N12" s="45"/>
      <c r="O12" s="44"/>
    </row>
    <row r="13" spans="1:17" ht="15" x14ac:dyDescent="0.2">
      <c r="A13" s="42"/>
      <c r="F13" s="76" t="s">
        <v>100</v>
      </c>
      <c r="G13" s="48"/>
      <c r="H13" s="48"/>
      <c r="I13" s="48"/>
      <c r="J13" s="48"/>
      <c r="K13" s="48"/>
      <c r="N13" s="45"/>
      <c r="O13" s="44"/>
    </row>
    <row r="14" spans="1:17" ht="12.75" customHeight="1" thickBot="1" x14ac:dyDescent="0.25">
      <c r="A14" s="42"/>
      <c r="F14" s="48"/>
      <c r="G14" s="48"/>
      <c r="H14" s="48"/>
      <c r="I14" s="48"/>
      <c r="J14" s="48"/>
      <c r="K14" s="48"/>
      <c r="N14" s="45"/>
      <c r="O14" s="44"/>
    </row>
    <row r="15" spans="1:17" ht="16.5" thickBot="1" x14ac:dyDescent="0.3">
      <c r="A15" s="42"/>
      <c r="D15" s="78"/>
      <c r="F15" s="43" t="s">
        <v>101</v>
      </c>
      <c r="G15" s="47"/>
      <c r="H15" s="47"/>
      <c r="I15" s="47"/>
      <c r="N15" s="45"/>
      <c r="O15" s="44"/>
    </row>
    <row r="16" spans="1:17" ht="15" x14ac:dyDescent="0.2">
      <c r="A16" s="42"/>
      <c r="F16" s="76" t="s">
        <v>102</v>
      </c>
      <c r="N16" s="45"/>
      <c r="O16" s="44"/>
    </row>
    <row r="17" spans="1:15" x14ac:dyDescent="0.2">
      <c r="A17" s="42"/>
      <c r="F17" s="48"/>
      <c r="N17" s="45"/>
      <c r="O17" s="44"/>
    </row>
    <row r="18" spans="1:15" s="73" customFormat="1" ht="15" x14ac:dyDescent="0.2">
      <c r="A18" s="75"/>
      <c r="B18" s="76" t="s">
        <v>103</v>
      </c>
      <c r="C18" s="76" t="s">
        <v>104</v>
      </c>
      <c r="D18" s="76"/>
      <c r="E18" s="76"/>
      <c r="F18" s="76"/>
      <c r="G18" s="76"/>
      <c r="H18" s="76"/>
      <c r="I18" s="76"/>
      <c r="J18" s="76"/>
      <c r="L18" s="76"/>
      <c r="M18" s="76"/>
      <c r="N18" s="79"/>
    </row>
    <row r="19" spans="1:15" ht="12.75" customHeight="1" thickBot="1" x14ac:dyDescent="0.25">
      <c r="A19" s="42"/>
      <c r="C19" s="47"/>
      <c r="D19" s="47"/>
      <c r="E19" s="47"/>
      <c r="F19" s="47"/>
      <c r="G19" s="47"/>
      <c r="H19" s="47"/>
      <c r="I19" s="47"/>
      <c r="J19" s="47"/>
      <c r="K19" s="47"/>
      <c r="L19" s="47"/>
      <c r="M19" s="47"/>
      <c r="N19" s="49"/>
      <c r="O19" s="44"/>
    </row>
    <row r="20" spans="1:15" ht="15" thickBot="1" x14ac:dyDescent="0.25">
      <c r="A20" s="42"/>
      <c r="C20" s="47"/>
      <c r="D20" s="80"/>
      <c r="E20" s="18"/>
      <c r="F20" s="1540" t="s">
        <v>105</v>
      </c>
      <c r="G20" s="1540"/>
      <c r="H20" s="1540"/>
      <c r="I20" s="1540"/>
      <c r="J20" s="1540"/>
      <c r="K20" s="1540"/>
      <c r="L20" s="1540"/>
      <c r="M20" s="68"/>
      <c r="N20" s="64"/>
      <c r="O20" s="44"/>
    </row>
    <row r="21" spans="1:15" x14ac:dyDescent="0.2">
      <c r="A21" s="42"/>
      <c r="C21" s="47"/>
      <c r="D21" s="18"/>
      <c r="E21" s="18"/>
      <c r="F21" s="81" t="s">
        <v>1341</v>
      </c>
      <c r="G21" s="81"/>
      <c r="H21" s="81"/>
      <c r="I21" s="81"/>
      <c r="J21" s="81"/>
      <c r="K21" s="81"/>
      <c r="L21" s="81"/>
      <c r="M21" s="68"/>
      <c r="N21" s="64"/>
      <c r="O21" s="90"/>
    </row>
    <row r="22" spans="1:15" x14ac:dyDescent="0.2">
      <c r="A22" s="42"/>
      <c r="C22" s="47"/>
      <c r="D22" s="18"/>
      <c r="E22" s="18"/>
      <c r="F22" s="1540"/>
      <c r="G22" s="1540"/>
      <c r="H22" s="1540"/>
      <c r="I22" s="1540"/>
      <c r="J22" s="1540"/>
      <c r="K22" s="1540"/>
      <c r="L22" s="1540"/>
      <c r="M22" s="68"/>
      <c r="N22" s="64"/>
      <c r="O22" s="44"/>
    </row>
    <row r="23" spans="1:15" ht="12.75" customHeight="1" thickBot="1" x14ac:dyDescent="0.25">
      <c r="A23" s="42"/>
      <c r="C23" s="47"/>
      <c r="D23" s="18"/>
      <c r="E23" s="18"/>
      <c r="F23" s="18"/>
      <c r="G23" s="18"/>
      <c r="H23" s="18"/>
      <c r="I23" s="18"/>
      <c r="J23" s="18"/>
      <c r="K23" s="18"/>
      <c r="L23" s="18"/>
      <c r="M23" s="18"/>
      <c r="N23" s="51"/>
      <c r="O23" s="44"/>
    </row>
    <row r="24" spans="1:15" ht="15" thickBot="1" x14ac:dyDescent="0.25">
      <c r="A24" s="42"/>
      <c r="C24" s="47"/>
      <c r="D24" s="80"/>
      <c r="E24" s="18"/>
      <c r="F24" s="1541" t="s">
        <v>1342</v>
      </c>
      <c r="G24" s="1541"/>
      <c r="H24" s="1541"/>
      <c r="I24" s="1541"/>
      <c r="J24" s="1541"/>
      <c r="K24" s="1541"/>
      <c r="L24" s="1541"/>
      <c r="M24" s="69"/>
      <c r="N24" s="65"/>
      <c r="O24" s="50"/>
    </row>
    <row r="25" spans="1:15" x14ac:dyDescent="0.2">
      <c r="A25" s="42"/>
      <c r="C25" s="47"/>
      <c r="D25" s="18"/>
      <c r="E25" s="18"/>
      <c r="F25" s="18" t="s">
        <v>145</v>
      </c>
      <c r="G25" s="18"/>
      <c r="H25" s="18"/>
      <c r="I25" s="18"/>
      <c r="J25" s="18"/>
      <c r="K25" s="18"/>
      <c r="L25" s="18"/>
      <c r="M25" s="69"/>
      <c r="N25" s="65"/>
      <c r="O25" s="44"/>
    </row>
    <row r="26" spans="1:15" x14ac:dyDescent="0.2">
      <c r="A26" s="42"/>
      <c r="C26" s="47"/>
      <c r="D26" s="18"/>
      <c r="E26" s="18"/>
      <c r="F26" s="1541"/>
      <c r="G26" s="1541"/>
      <c r="H26" s="1541"/>
      <c r="I26" s="1541"/>
      <c r="J26" s="1541"/>
      <c r="K26" s="1541"/>
      <c r="L26" s="1541"/>
      <c r="M26" s="69"/>
      <c r="N26" s="65"/>
      <c r="O26" s="44"/>
    </row>
    <row r="27" spans="1:15" ht="14.85" customHeight="1" x14ac:dyDescent="0.2">
      <c r="A27" s="52"/>
      <c r="B27" s="53"/>
      <c r="C27" s="54"/>
      <c r="D27" s="55"/>
      <c r="E27" s="55"/>
      <c r="F27" s="55"/>
      <c r="G27" s="55"/>
      <c r="H27" s="55"/>
      <c r="I27" s="55"/>
      <c r="J27" s="55"/>
      <c r="K27" s="55"/>
      <c r="L27" s="55"/>
      <c r="M27" s="55"/>
      <c r="N27" s="56"/>
      <c r="O27" s="44"/>
    </row>
    <row r="28" spans="1:15" ht="14.85" customHeight="1" x14ac:dyDescent="0.2">
      <c r="A28" s="42"/>
      <c r="C28" s="47"/>
      <c r="D28" s="18"/>
      <c r="E28" s="18"/>
      <c r="F28" s="18"/>
      <c r="G28" s="18"/>
      <c r="H28" s="18"/>
      <c r="I28" s="18"/>
      <c r="J28" s="18"/>
      <c r="K28" s="18"/>
      <c r="L28" s="18"/>
      <c r="M28" s="18"/>
      <c r="N28" s="51"/>
      <c r="O28" s="44"/>
    </row>
    <row r="29" spans="1:15" s="73" customFormat="1" ht="15" x14ac:dyDescent="0.2">
      <c r="A29" s="75"/>
      <c r="B29" s="76" t="s">
        <v>106</v>
      </c>
      <c r="C29" s="76" t="s">
        <v>1343</v>
      </c>
      <c r="D29" s="76"/>
      <c r="E29" s="76"/>
      <c r="F29" s="76"/>
      <c r="G29" s="76"/>
      <c r="H29" s="76"/>
      <c r="I29" s="76"/>
      <c r="J29" s="76"/>
      <c r="L29" s="76"/>
      <c r="M29" s="76"/>
      <c r="N29" s="79"/>
    </row>
    <row r="30" spans="1:15" ht="12.75" customHeight="1" x14ac:dyDescent="0.2">
      <c r="A30" s="42"/>
      <c r="C30" s="47"/>
      <c r="D30" s="18"/>
      <c r="E30" s="18"/>
      <c r="F30" s="18"/>
      <c r="G30" s="18"/>
      <c r="H30" s="18"/>
      <c r="I30" s="18"/>
      <c r="J30" s="18"/>
      <c r="K30" s="18"/>
      <c r="L30" s="18"/>
      <c r="M30" s="18"/>
      <c r="N30" s="51"/>
      <c r="O30" s="44"/>
    </row>
    <row r="31" spans="1:15" x14ac:dyDescent="0.2">
      <c r="A31" s="42"/>
      <c r="B31" t="s">
        <v>126</v>
      </c>
      <c r="N31" s="45"/>
      <c r="O31" s="44"/>
    </row>
    <row r="32" spans="1:15" x14ac:dyDescent="0.2">
      <c r="A32" s="42"/>
      <c r="B32" s="47" t="s">
        <v>127</v>
      </c>
      <c r="N32" s="45"/>
      <c r="O32" s="44"/>
    </row>
    <row r="33" spans="1:15" x14ac:dyDescent="0.2">
      <c r="A33" s="42"/>
      <c r="B33" s="47" t="s">
        <v>128</v>
      </c>
      <c r="N33" s="45"/>
      <c r="O33" s="44"/>
    </row>
    <row r="34" spans="1:15" x14ac:dyDescent="0.2">
      <c r="A34" s="42"/>
      <c r="B34" s="47" t="s">
        <v>129</v>
      </c>
      <c r="N34" s="45"/>
      <c r="O34" s="44"/>
    </row>
    <row r="35" spans="1:15" x14ac:dyDescent="0.2">
      <c r="A35" s="42"/>
      <c r="B35" s="47" t="s">
        <v>130</v>
      </c>
      <c r="N35" s="45"/>
      <c r="O35" s="44"/>
    </row>
    <row r="36" spans="1:15" x14ac:dyDescent="0.2">
      <c r="A36" s="42"/>
      <c r="B36"/>
      <c r="N36" s="45"/>
      <c r="O36" s="44"/>
    </row>
    <row r="37" spans="1:15" x14ac:dyDescent="0.2">
      <c r="A37" s="42"/>
      <c r="B37" s="47" t="s">
        <v>1344</v>
      </c>
      <c r="C37" s="47"/>
      <c r="D37" s="47"/>
      <c r="E37" s="47"/>
      <c r="F37" s="47"/>
      <c r="G37" s="47"/>
      <c r="H37" s="47"/>
      <c r="I37" s="47"/>
      <c r="J37" s="47"/>
      <c r="K37" s="47"/>
      <c r="L37" s="47"/>
      <c r="M37" s="47"/>
      <c r="N37" s="45"/>
      <c r="O37" s="44"/>
    </row>
    <row r="38" spans="1:15" x14ac:dyDescent="0.2">
      <c r="A38" s="42"/>
      <c r="B38" s="1542"/>
      <c r="C38" s="1543"/>
      <c r="D38" s="1543"/>
      <c r="E38" s="1543"/>
      <c r="F38" s="1543"/>
      <c r="G38" s="1543"/>
      <c r="H38" s="1543"/>
      <c r="I38" s="1543"/>
      <c r="J38" s="1543"/>
      <c r="K38" s="1543"/>
      <c r="L38" s="1543"/>
      <c r="M38" s="1543"/>
      <c r="N38" s="45"/>
      <c r="O38" s="1"/>
    </row>
    <row r="39" spans="1:15" x14ac:dyDescent="0.2">
      <c r="A39" s="42"/>
      <c r="B39" s="1543"/>
      <c r="C39" s="1543"/>
      <c r="D39" s="1543"/>
      <c r="E39" s="1543"/>
      <c r="F39" s="1543"/>
      <c r="G39" s="1543"/>
      <c r="H39" s="1543"/>
      <c r="I39" s="1543"/>
      <c r="J39" s="1543"/>
      <c r="K39" s="1543"/>
      <c r="L39" s="1543"/>
      <c r="M39" s="1543"/>
      <c r="N39" s="45"/>
      <c r="O39" s="44"/>
    </row>
    <row r="40" spans="1:15" x14ac:dyDescent="0.2">
      <c r="A40" s="42"/>
      <c r="B40" s="1543"/>
      <c r="C40" s="1543"/>
      <c r="D40" s="1543"/>
      <c r="E40" s="1543"/>
      <c r="F40" s="1543"/>
      <c r="G40" s="1543"/>
      <c r="H40" s="1543"/>
      <c r="I40" s="1543"/>
      <c r="J40" s="1543"/>
      <c r="K40" s="1543"/>
      <c r="L40" s="1543"/>
      <c r="M40" s="1543"/>
      <c r="N40" s="45"/>
      <c r="O40" s="44"/>
    </row>
    <row r="41" spans="1:15" x14ac:dyDescent="0.2">
      <c r="A41" s="42"/>
      <c r="B41" s="1543"/>
      <c r="C41" s="1543"/>
      <c r="D41" s="1543"/>
      <c r="E41" s="1543"/>
      <c r="F41" s="1543"/>
      <c r="G41" s="1543"/>
      <c r="H41" s="1543"/>
      <c r="I41" s="1543"/>
      <c r="J41" s="1543"/>
      <c r="K41" s="1543"/>
      <c r="L41" s="1543"/>
      <c r="M41" s="1543"/>
      <c r="N41" s="45"/>
      <c r="O41" s="44"/>
    </row>
    <row r="42" spans="1:15" x14ac:dyDescent="0.2">
      <c r="A42" s="42"/>
      <c r="B42" s="1543"/>
      <c r="C42" s="1543"/>
      <c r="D42" s="1543"/>
      <c r="E42" s="1543"/>
      <c r="F42" s="1543"/>
      <c r="G42" s="1543"/>
      <c r="H42" s="1543"/>
      <c r="I42" s="1543"/>
      <c r="J42" s="1543"/>
      <c r="K42" s="1543"/>
      <c r="L42" s="1543"/>
      <c r="M42" s="1543"/>
      <c r="N42" s="45"/>
      <c r="O42" s="44"/>
    </row>
    <row r="43" spans="1:15" x14ac:dyDescent="0.2">
      <c r="A43" s="42"/>
      <c r="B43" s="1543"/>
      <c r="C43" s="1543"/>
      <c r="D43" s="1543"/>
      <c r="E43" s="1543"/>
      <c r="F43" s="1543"/>
      <c r="G43" s="1543"/>
      <c r="H43" s="1543"/>
      <c r="I43" s="1543"/>
      <c r="J43" s="1543"/>
      <c r="K43" s="1543"/>
      <c r="L43" s="1543"/>
      <c r="M43" s="1543"/>
      <c r="N43" s="45"/>
      <c r="O43" s="44"/>
    </row>
    <row r="44" spans="1:15" x14ac:dyDescent="0.2">
      <c r="A44" s="42"/>
      <c r="B44" s="1543"/>
      <c r="C44" s="1543"/>
      <c r="D44" s="1543"/>
      <c r="E44" s="1543"/>
      <c r="F44" s="1543"/>
      <c r="G44" s="1543"/>
      <c r="H44" s="1543"/>
      <c r="I44" s="1543"/>
      <c r="J44" s="1543"/>
      <c r="K44" s="1543"/>
      <c r="L44" s="1543"/>
      <c r="M44" s="1543"/>
      <c r="N44" s="45"/>
      <c r="O44" s="44"/>
    </row>
    <row r="45" spans="1:15" x14ac:dyDescent="0.2">
      <c r="A45" s="42"/>
      <c r="B45" s="1543"/>
      <c r="C45" s="1543"/>
      <c r="D45" s="1543"/>
      <c r="E45" s="1543"/>
      <c r="F45" s="1543"/>
      <c r="G45" s="1543"/>
      <c r="H45" s="1543"/>
      <c r="I45" s="1543"/>
      <c r="J45" s="1543"/>
      <c r="K45" s="1543"/>
      <c r="L45" s="1543"/>
      <c r="M45" s="1543"/>
      <c r="N45" s="45"/>
      <c r="O45" s="44"/>
    </row>
    <row r="46" spans="1:15" x14ac:dyDescent="0.2">
      <c r="A46" s="42"/>
      <c r="B46" s="1543"/>
      <c r="C46" s="1543"/>
      <c r="D46" s="1543"/>
      <c r="E46" s="1543"/>
      <c r="F46" s="1543"/>
      <c r="G46" s="1543"/>
      <c r="H46" s="1543"/>
      <c r="I46" s="1543"/>
      <c r="J46" s="1543"/>
      <c r="K46" s="1543"/>
      <c r="L46" s="1543"/>
      <c r="M46" s="1543"/>
      <c r="N46" s="45"/>
      <c r="O46" s="44"/>
    </row>
    <row r="47" spans="1:15" x14ac:dyDescent="0.2">
      <c r="A47" s="42"/>
      <c r="B47" s="1543"/>
      <c r="C47" s="1543"/>
      <c r="D47" s="1543"/>
      <c r="E47" s="1543"/>
      <c r="F47" s="1543"/>
      <c r="G47" s="1543"/>
      <c r="H47" s="1543"/>
      <c r="I47" s="1543"/>
      <c r="J47" s="1543"/>
      <c r="K47" s="1543"/>
      <c r="L47" s="1543"/>
      <c r="M47" s="1543"/>
      <c r="N47" s="45"/>
      <c r="O47" s="44"/>
    </row>
    <row r="48" spans="1:15" x14ac:dyDescent="0.2">
      <c r="A48" s="42"/>
      <c r="B48" s="1543"/>
      <c r="C48" s="1543"/>
      <c r="D48" s="1543"/>
      <c r="E48" s="1543"/>
      <c r="F48" s="1543"/>
      <c r="G48" s="1543"/>
      <c r="H48" s="1543"/>
      <c r="I48" s="1543"/>
      <c r="J48" s="1543"/>
      <c r="K48" s="1543"/>
      <c r="L48" s="1543"/>
      <c r="M48" s="1543"/>
      <c r="N48" s="45"/>
      <c r="O48" s="44"/>
    </row>
    <row r="49" spans="1:15" x14ac:dyDescent="0.2">
      <c r="A49" s="42"/>
      <c r="B49" s="1543"/>
      <c r="C49" s="1543"/>
      <c r="D49" s="1543"/>
      <c r="E49" s="1543"/>
      <c r="F49" s="1543"/>
      <c r="G49" s="1543"/>
      <c r="H49" s="1543"/>
      <c r="I49" s="1543"/>
      <c r="J49" s="1543"/>
      <c r="K49" s="1543"/>
      <c r="L49" s="1543"/>
      <c r="M49" s="1543"/>
      <c r="N49" s="45"/>
      <c r="O49" s="44"/>
    </row>
    <row r="50" spans="1:15" x14ac:dyDescent="0.2">
      <c r="A50" s="42"/>
      <c r="B50" s="1543"/>
      <c r="C50" s="1543"/>
      <c r="D50" s="1543"/>
      <c r="E50" s="1543"/>
      <c r="F50" s="1543"/>
      <c r="G50" s="1543"/>
      <c r="H50" s="1543"/>
      <c r="I50" s="1543"/>
      <c r="J50" s="1543"/>
      <c r="K50" s="1543"/>
      <c r="L50" s="1543"/>
      <c r="M50" s="1543"/>
      <c r="N50" s="45"/>
      <c r="O50" s="44"/>
    </row>
    <row r="51" spans="1:15" x14ac:dyDescent="0.2">
      <c r="A51" s="42"/>
      <c r="B51" s="1543"/>
      <c r="C51" s="1543"/>
      <c r="D51" s="1543"/>
      <c r="E51" s="1543"/>
      <c r="F51" s="1543"/>
      <c r="G51" s="1543"/>
      <c r="H51" s="1543"/>
      <c r="I51" s="1543"/>
      <c r="J51" s="1543"/>
      <c r="K51" s="1543"/>
      <c r="L51" s="1543"/>
      <c r="M51" s="1543"/>
      <c r="N51" s="45"/>
      <c r="O51" s="44"/>
    </row>
    <row r="52" spans="1:15" x14ac:dyDescent="0.2">
      <c r="A52" s="42"/>
      <c r="B52" s="1543"/>
      <c r="C52" s="1543"/>
      <c r="D52" s="1543"/>
      <c r="E52" s="1543"/>
      <c r="F52" s="1543"/>
      <c r="G52" s="1543"/>
      <c r="H52" s="1543"/>
      <c r="I52" s="1543"/>
      <c r="J52" s="1543"/>
      <c r="K52" s="1543"/>
      <c r="L52" s="1543"/>
      <c r="M52" s="1543"/>
      <c r="N52" s="45"/>
      <c r="O52" s="44"/>
    </row>
    <row r="53" spans="1:15" x14ac:dyDescent="0.2">
      <c r="A53" s="42"/>
      <c r="B53" s="1543"/>
      <c r="C53" s="1543"/>
      <c r="D53" s="1543"/>
      <c r="E53" s="1543"/>
      <c r="F53" s="1543"/>
      <c r="G53" s="1543"/>
      <c r="H53" s="1543"/>
      <c r="I53" s="1543"/>
      <c r="J53" s="1543"/>
      <c r="K53" s="1543"/>
      <c r="L53" s="1543"/>
      <c r="M53" s="1543"/>
      <c r="N53" s="45"/>
      <c r="O53" s="44"/>
    </row>
    <row r="54" spans="1:15" x14ac:dyDescent="0.2">
      <c r="A54" s="42"/>
      <c r="B54" s="1543"/>
      <c r="C54" s="1543"/>
      <c r="D54" s="1543"/>
      <c r="E54" s="1543"/>
      <c r="F54" s="1543"/>
      <c r="G54" s="1543"/>
      <c r="H54" s="1543"/>
      <c r="I54" s="1543"/>
      <c r="J54" s="1543"/>
      <c r="K54" s="1543"/>
      <c r="L54" s="1543"/>
      <c r="M54" s="1543"/>
      <c r="N54" s="45"/>
      <c r="O54" s="44"/>
    </row>
    <row r="55" spans="1:15" x14ac:dyDescent="0.2">
      <c r="A55" s="42"/>
      <c r="B55" s="1543"/>
      <c r="C55" s="1543"/>
      <c r="D55" s="1543"/>
      <c r="E55" s="1543"/>
      <c r="F55" s="1543"/>
      <c r="G55" s="1543"/>
      <c r="H55" s="1543"/>
      <c r="I55" s="1543"/>
      <c r="J55" s="1543"/>
      <c r="K55" s="1543"/>
      <c r="L55" s="1543"/>
      <c r="M55" s="1543"/>
      <c r="N55" s="45"/>
      <c r="O55" s="44"/>
    </row>
    <row r="56" spans="1:15" x14ac:dyDescent="0.2">
      <c r="A56" s="42"/>
      <c r="B56" s="1543"/>
      <c r="C56" s="1543"/>
      <c r="D56" s="1543"/>
      <c r="E56" s="1543"/>
      <c r="F56" s="1543"/>
      <c r="G56" s="1543"/>
      <c r="H56" s="1543"/>
      <c r="I56" s="1543"/>
      <c r="J56" s="1543"/>
      <c r="K56" s="1543"/>
      <c r="L56" s="1543"/>
      <c r="M56" s="1543"/>
      <c r="N56" s="45"/>
      <c r="O56" s="44"/>
    </row>
    <row r="57" spans="1:15" x14ac:dyDescent="0.2">
      <c r="A57" s="42"/>
      <c r="N57" s="45"/>
      <c r="O57" s="44"/>
    </row>
    <row r="58" spans="1:15" x14ac:dyDescent="0.2">
      <c r="A58" s="42"/>
      <c r="N58" s="45"/>
      <c r="O58" s="44"/>
    </row>
    <row r="59" spans="1:15" x14ac:dyDescent="0.2">
      <c r="A59" s="42"/>
      <c r="J59" s="1544"/>
      <c r="K59" s="1544"/>
      <c r="L59" s="1544"/>
      <c r="M59" s="70"/>
      <c r="N59" s="45"/>
      <c r="O59" s="44"/>
    </row>
    <row r="60" spans="1:15" x14ac:dyDescent="0.2">
      <c r="A60" s="42"/>
      <c r="I60" s="57"/>
      <c r="N60" s="45"/>
      <c r="O60" s="44"/>
    </row>
    <row r="61" spans="1:15" x14ac:dyDescent="0.2">
      <c r="A61" s="42"/>
      <c r="N61" s="45"/>
      <c r="O61" s="44"/>
    </row>
    <row r="62" spans="1:15" x14ac:dyDescent="0.2">
      <c r="A62" s="42"/>
      <c r="B62" s="1547"/>
      <c r="C62" s="1402"/>
      <c r="D62" s="1402"/>
      <c r="E62" s="1402"/>
      <c r="F62" s="1402"/>
      <c r="G62" s="1402"/>
      <c r="H62" s="1402"/>
      <c r="I62" s="1402"/>
      <c r="K62" s="1547"/>
      <c r="L62" s="1402"/>
      <c r="M62" s="1402"/>
      <c r="N62" s="45"/>
      <c r="O62" s="44"/>
    </row>
    <row r="63" spans="1:15" x14ac:dyDescent="0.2">
      <c r="A63" s="42"/>
      <c r="B63" s="47" t="s">
        <v>61</v>
      </c>
      <c r="C63"/>
      <c r="D63"/>
      <c r="E63"/>
      <c r="F63"/>
      <c r="G63"/>
      <c r="H63"/>
      <c r="I63"/>
      <c r="J63"/>
      <c r="K63" s="1545" t="s">
        <v>107</v>
      </c>
      <c r="L63" s="1545"/>
      <c r="M63" s="1545"/>
      <c r="N63" s="45"/>
      <c r="O63" s="44"/>
    </row>
    <row r="64" spans="1:15" x14ac:dyDescent="0.2">
      <c r="A64" s="58"/>
      <c r="B64" s="82"/>
      <c r="C64" s="82"/>
      <c r="D64" s="82"/>
      <c r="E64" s="82"/>
      <c r="F64" s="82"/>
      <c r="G64" s="82"/>
      <c r="H64" s="82"/>
      <c r="I64" s="82"/>
      <c r="J64" s="83"/>
      <c r="K64" s="1546" t="s">
        <v>1345</v>
      </c>
      <c r="L64" s="1546"/>
      <c r="M64" s="1546"/>
      <c r="N64" s="59"/>
      <c r="O64" s="44"/>
    </row>
    <row r="65" spans="1:14" ht="15" thickBot="1" x14ac:dyDescent="0.25"/>
    <row r="66" spans="1:14" ht="14.45" customHeight="1" thickBot="1" x14ac:dyDescent="0.25">
      <c r="A66" s="1008"/>
      <c r="B66" s="1410" t="s">
        <v>545</v>
      </c>
      <c r="C66" s="1469"/>
      <c r="D66" s="1469"/>
      <c r="E66" s="1469"/>
      <c r="F66" s="1469"/>
      <c r="G66" s="1469"/>
      <c r="H66" s="1469"/>
      <c r="I66" s="1469"/>
      <c r="J66" s="1469"/>
      <c r="K66" s="1469"/>
      <c r="L66" s="1469"/>
      <c r="M66" s="1470"/>
      <c r="N66" s="1008"/>
    </row>
    <row r="67" spans="1:14" x14ac:dyDescent="0.2">
      <c r="M67" s="1008"/>
    </row>
  </sheetData>
  <sheetProtection algorithmName="SHA-512" hashValue="4BJfDpyVTAsAPvNbY4PFvoxhV8KtglebadFqQmcQ0b0jAze4ZB/AmfPK0q/Pj5hb7Q5TCuGl2ga9S1U8hmwy2A==" saltValue="OyGRJ7E5UblsOpfd1FSdMg==" spinCount="100000" sheet="1" objects="1" scenarios="1"/>
  <customSheetViews>
    <customSheetView guid="{9119B1A0-FD79-4FE4-B78E-10E0AEB8080B}" showPageBreaks="1" showGridLines="0" fitToPage="1" printArea="1" view="pageLayout" topLeftCell="A53">
      <selection activeCell="B62" sqref="B62:I62"/>
      <pageMargins left="0.70866141732283472" right="0.70866141732283472" top="0.78740157480314965" bottom="0.78740157480314965" header="0.31496062992125984" footer="0.31496062992125984"/>
      <pageSetup paperSize="9" scale="79" orientation="portrait" r:id="rId1"/>
      <headerFooter>
        <oddHeader>&amp;C&amp;9Bewohnervertretung</oddHeader>
        <oddFooter>&amp;L&amp;8Version: 21.06.2022&amp;C&amp;8Verhandlungsunterlagen SGB XI (vereinfacht B1)&amp;R&amp;8PSK-Beschluss Nr. 3-2022 vom 21.06.2022</oddFooter>
      </headerFooter>
    </customSheetView>
  </customSheetViews>
  <mergeCells count="18">
    <mergeCell ref="B66:M66"/>
    <mergeCell ref="K63:M63"/>
    <mergeCell ref="K64:M64"/>
    <mergeCell ref="K62:M62"/>
    <mergeCell ref="B62:I62"/>
    <mergeCell ref="B8:M8"/>
    <mergeCell ref="F20:L20"/>
    <mergeCell ref="F24:L24"/>
    <mergeCell ref="B38:M56"/>
    <mergeCell ref="J59:L59"/>
    <mergeCell ref="F22:L22"/>
    <mergeCell ref="F26:L26"/>
    <mergeCell ref="A1:N1"/>
    <mergeCell ref="A2:N2"/>
    <mergeCell ref="A3:N3"/>
    <mergeCell ref="A4:N4"/>
    <mergeCell ref="B6:G6"/>
    <mergeCell ref="L6:M6"/>
  </mergeCells>
  <hyperlinks>
    <hyperlink ref="B66" location="'Anlage 1'!A1" display="Anlage 1" xr:uid="{A7A07D3B-2085-454B-92CD-5764EBD7CE87}"/>
    <hyperlink ref="B66:J66" location="B_PH_Bewohnervertretung!Druckbereich" display="gehe weiter zu B_PH_Bewohnervertretung" xr:uid="{F36A631D-B979-4B8A-A9D8-20A4D727FCFB}"/>
    <hyperlink ref="B66:M66" location="B_PH_Ergebnis!A1" display="gehe weiter zu B_PH_Ergebnis" xr:uid="{C7696CF0-7D6F-4955-8283-A565ACC64057}"/>
  </hyperlinks>
  <pageMargins left="0.70866141732283472" right="0.70866141732283472" top="0.78740157480314965" bottom="0.78740157480314965" header="0.31496062992125984" footer="0.31496062992125984"/>
  <pageSetup paperSize="9" scale="79" orientation="portrait"/>
  <headerFooter>
    <oddHeader>&amp;C&amp;9B_PH_Bewohnervertretung</oddHeader>
    <oddFooter>&amp;L&amp;8Version: 19.10.2026&amp;C&amp;8Verhandlungsunterlagen SGB XI (vereinfacht B_PH)&amp;R&amp;8PSK-Beschluss vom 08.10.2026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9B99B-60B5-4470-8979-FF2AC09E60FA}">
  <dimension ref="A1:Q101"/>
  <sheetViews>
    <sheetView showGridLines="0" zoomScaleNormal="100" workbookViewId="0">
      <selection activeCell="A4" sqref="A4"/>
    </sheetView>
  </sheetViews>
  <sheetFormatPr baseColWidth="10" defaultColWidth="11" defaultRowHeight="14.25" x14ac:dyDescent="0.2"/>
  <cols>
    <col min="1" max="1" width="3.875" style="3" customWidth="1"/>
    <col min="2" max="2" width="24.125" style="3" customWidth="1"/>
    <col min="3" max="3" width="13.625" style="3" customWidth="1"/>
    <col min="4" max="4" width="1.25" style="3" customWidth="1"/>
    <col min="5" max="5" width="2.375" style="3" customWidth="1"/>
    <col min="6" max="6" width="12.75" style="3" customWidth="1"/>
    <col min="7" max="7" width="2.25" style="3" customWidth="1"/>
    <col min="8" max="10" width="12.75" style="3" customWidth="1"/>
    <col min="11" max="11" width="3.25" style="3" customWidth="1"/>
    <col min="12" max="12" width="12.75" style="3" customWidth="1"/>
    <col min="13" max="13" width="2.25" style="3" customWidth="1"/>
    <col min="14" max="14" width="12.75" style="3" customWidth="1"/>
    <col min="15" max="15" width="4.75" style="3" customWidth="1"/>
    <col min="16" max="16384" width="11" style="3"/>
  </cols>
  <sheetData>
    <row r="1" spans="1:16" ht="26.25" customHeight="1" x14ac:dyDescent="0.2">
      <c r="A1" s="1548" t="str">
        <f>'B_PH_Allgemeine Angaben'!A1:N1</f>
        <v>Vereinfachtes Verfahren der Aufforderung zum Abschluss einer Pflegesatzvereinbarung gemäß § 84, 85 SGB XI - Vollstationäre Pflegeeinrichtungen
und für Kurzzeitpflegeeinrichtungen im Sinne § 1 Abs. 7 dieses Rahmenvertrages</v>
      </c>
      <c r="B1" s="1549"/>
      <c r="C1" s="1549"/>
      <c r="D1" s="1549"/>
      <c r="E1" s="1549"/>
      <c r="F1" s="1549"/>
      <c r="G1" s="1549"/>
      <c r="H1" s="1549"/>
      <c r="I1" s="1549"/>
      <c r="J1" s="1549"/>
      <c r="K1" s="1549"/>
      <c r="L1" s="1549"/>
      <c r="M1" s="1549"/>
      <c r="N1" s="1549"/>
      <c r="O1" s="1550"/>
      <c r="P1" s="2"/>
    </row>
    <row r="2" spans="1:16" ht="15" customHeight="1" x14ac:dyDescent="0.2">
      <c r="A2" s="1556" t="s">
        <v>333</v>
      </c>
      <c r="B2" s="1557"/>
      <c r="C2" s="1557"/>
      <c r="D2" s="1557"/>
      <c r="E2" s="1557"/>
      <c r="F2" s="1557"/>
      <c r="G2" s="1557"/>
      <c r="H2" s="1557"/>
      <c r="I2" s="1557"/>
      <c r="J2" s="1557"/>
      <c r="K2" s="1557"/>
      <c r="L2" s="1557"/>
      <c r="M2" s="1011"/>
      <c r="N2" s="1011"/>
      <c r="O2" s="846"/>
      <c r="P2" s="2"/>
    </row>
    <row r="3" spans="1:16" ht="15" customHeight="1" x14ac:dyDescent="0.2">
      <c r="A3" s="450"/>
      <c r="B3" s="1012"/>
      <c r="C3" s="1012"/>
      <c r="D3" s="1012"/>
      <c r="E3" s="1012"/>
      <c r="F3" s="1012"/>
      <c r="G3" s="1012"/>
      <c r="H3" s="1012"/>
      <c r="I3" s="1012"/>
      <c r="J3" s="38"/>
      <c r="K3" s="38"/>
      <c r="L3" s="1013" t="s">
        <v>227</v>
      </c>
      <c r="M3" s="1013"/>
      <c r="N3" s="1014">
        <f>'B_PH_Allgemeine Angaben'!L4</f>
        <v>0</v>
      </c>
      <c r="O3" s="846"/>
      <c r="P3" s="2"/>
    </row>
    <row r="4" spans="1:16" ht="9.6" customHeight="1" x14ac:dyDescent="0.2">
      <c r="A4" s="1006"/>
      <c r="B4" s="396"/>
      <c r="C4" s="396"/>
      <c r="D4" s="396"/>
      <c r="E4" s="396"/>
      <c r="F4" s="396"/>
      <c r="G4" s="396"/>
      <c r="H4" s="396"/>
      <c r="I4" s="396"/>
      <c r="J4" s="396"/>
      <c r="K4" s="396"/>
      <c r="L4" s="396"/>
      <c r="M4" s="396"/>
      <c r="N4" s="396"/>
      <c r="O4" s="4"/>
      <c r="P4" s="2"/>
    </row>
    <row r="5" spans="1:16" x14ac:dyDescent="0.2">
      <c r="A5" s="395"/>
      <c r="B5" s="1558" t="s">
        <v>245</v>
      </c>
      <c r="C5" s="1558"/>
      <c r="D5" s="1558"/>
      <c r="E5" s="397"/>
      <c r="F5" s="1015" t="s">
        <v>238</v>
      </c>
      <c r="G5" s="1015"/>
      <c r="H5" s="1015"/>
      <c r="I5" s="1015"/>
      <c r="J5" s="1015"/>
      <c r="K5" s="396"/>
      <c r="L5" s="396"/>
      <c r="M5" s="396"/>
      <c r="N5" s="396"/>
      <c r="O5" s="4"/>
      <c r="P5" s="2"/>
    </row>
    <row r="6" spans="1:16" x14ac:dyDescent="0.2">
      <c r="A6" s="395"/>
      <c r="B6" s="1559" t="str">
        <f>IF('B_PH_Allgemeine Angaben'!D12&lt;&gt;0,'B_PH_Allgemeine Angaben'!D12,"")</f>
        <v/>
      </c>
      <c r="C6" s="1559"/>
      <c r="D6" s="1559"/>
      <c r="E6" s="397"/>
      <c r="F6" s="1016" t="str">
        <f>IF('B_PH_Allgemeine Angaben'!D26&lt;&gt;0,'B_PH_Allgemeine Angaben'!D26,"")</f>
        <v/>
      </c>
      <c r="G6" s="1016"/>
      <c r="H6" s="1016"/>
      <c r="I6" s="1016"/>
      <c r="J6" s="1016"/>
      <c r="K6" s="396"/>
      <c r="L6" s="396"/>
      <c r="M6" s="396"/>
      <c r="N6" s="396"/>
      <c r="O6" s="4"/>
      <c r="P6" s="2"/>
    </row>
    <row r="7" spans="1:16" x14ac:dyDescent="0.2">
      <c r="A7" s="395"/>
      <c r="B7" s="1559" t="str">
        <f>IF('B_PH_Allgemeine Angaben'!D14&lt;&gt;0,'B_PH_Allgemeine Angaben'!D14,"")</f>
        <v/>
      </c>
      <c r="C7" s="1559"/>
      <c r="D7" s="1559"/>
      <c r="E7" s="397"/>
      <c r="F7" s="1016" t="str">
        <f>IF('B_PH_Allgemeine Angaben'!D28&lt;&gt;0,'B_PH_Allgemeine Angaben'!D28,"")</f>
        <v/>
      </c>
      <c r="G7" s="1016"/>
      <c r="H7" s="1016"/>
      <c r="I7" s="1016"/>
      <c r="J7" s="1016"/>
      <c r="K7" s="396"/>
      <c r="L7" s="396"/>
      <c r="M7" s="396"/>
      <c r="N7" s="396"/>
      <c r="O7" s="4"/>
      <c r="P7" s="2"/>
    </row>
    <row r="8" spans="1:16" x14ac:dyDescent="0.2">
      <c r="A8" s="395"/>
      <c r="B8" s="1559" t="str">
        <f>IF('B_PH_Allgemeine Angaben'!D16&lt;&gt;0,'B_PH_Allgemeine Angaben'!D16&amp;" "&amp;'B_PH_Allgemeine Angaben'!J16,"")</f>
        <v/>
      </c>
      <c r="C8" s="1559"/>
      <c r="D8" s="1559"/>
      <c r="E8" s="397"/>
      <c r="F8" s="1016" t="str">
        <f>IF('B_PH_Allgemeine Angaben'!D30&lt;&gt;0,'B_PH_Allgemeine Angaben'!D30&amp;" "&amp;'B_PH_Allgemeine Angaben'!J30,"")</f>
        <v/>
      </c>
      <c r="G8" s="1016"/>
      <c r="H8" s="1016"/>
      <c r="I8" s="1016"/>
      <c r="J8" s="1016"/>
      <c r="K8" s="396"/>
      <c r="L8" s="396"/>
      <c r="M8" s="396"/>
      <c r="N8" s="396"/>
      <c r="O8" s="4"/>
      <c r="P8" s="2"/>
    </row>
    <row r="9" spans="1:16" s="396" customFormat="1" ht="14.25" customHeight="1" x14ac:dyDescent="0.2">
      <c r="A9" s="395"/>
      <c r="B9" s="397" t="str">
        <f>'B_PH_Allgemeine Angaben'!K6</f>
        <v>Institutionskennzeichen (IK):</v>
      </c>
      <c r="C9" s="1555">
        <f>'B_PH_Allgemeine Angaben'!L6</f>
        <v>0</v>
      </c>
      <c r="D9" s="1555"/>
      <c r="E9" s="397"/>
      <c r="F9" s="1017" t="s">
        <v>536</v>
      </c>
      <c r="G9" s="398"/>
      <c r="H9" s="1018"/>
      <c r="J9" s="1019" t="str">
        <f>IF('B_PH_Allgemeine Angaben'!L7&lt;&gt;0,'B_PH_Allgemeine Angaben'!L7,"")</f>
        <v/>
      </c>
      <c r="O9" s="399"/>
      <c r="P9" s="395"/>
    </row>
    <row r="10" spans="1:16" ht="10.15" customHeight="1" x14ac:dyDescent="0.2">
      <c r="A10" s="395"/>
      <c r="E10" s="397"/>
      <c r="K10" s="396"/>
      <c r="L10" s="396"/>
      <c r="M10" s="396"/>
      <c r="N10" s="396"/>
      <c r="O10" s="4"/>
      <c r="P10" s="2"/>
    </row>
    <row r="11" spans="1:16" x14ac:dyDescent="0.2">
      <c r="A11" s="395"/>
      <c r="B11" s="5" t="s">
        <v>534</v>
      </c>
      <c r="E11" s="1020"/>
      <c r="F11" s="896" t="str">
        <f>IF('B_PH_Allgemeine Angaben'!H52&gt;0,'B_PH_Allgemeine Angaben'!H52,"")</f>
        <v/>
      </c>
      <c r="H11" s="1021" t="s">
        <v>239</v>
      </c>
      <c r="I11" s="896">
        <f>IFERROR('B_PH_Allgemeine Angaben'!K52,"")</f>
        <v>0</v>
      </c>
      <c r="J11" s="396"/>
      <c r="K11" s="396"/>
      <c r="L11" s="396"/>
      <c r="M11" s="396"/>
      <c r="N11" s="396"/>
      <c r="O11" s="4"/>
      <c r="P11" s="2"/>
    </row>
    <row r="12" spans="1:16" ht="10.15" customHeight="1" x14ac:dyDescent="0.2">
      <c r="A12" s="395"/>
      <c r="B12" s="5"/>
      <c r="J12" s="396"/>
      <c r="K12" s="396"/>
      <c r="L12" s="396"/>
      <c r="M12" s="396"/>
      <c r="N12" s="396"/>
      <c r="O12" s="4"/>
      <c r="P12" s="2"/>
    </row>
    <row r="13" spans="1:16" ht="30" customHeight="1" x14ac:dyDescent="0.2">
      <c r="A13" s="395"/>
      <c r="B13" s="5"/>
      <c r="F13" s="841" t="s">
        <v>531</v>
      </c>
      <c r="G13" s="1022"/>
      <c r="H13" s="897" t="str">
        <f>IF(KAT!J8=1,"Belegung","davon Belegung")</f>
        <v>davon Belegung</v>
      </c>
      <c r="I13" s="841" t="s">
        <v>532</v>
      </c>
      <c r="J13" s="396"/>
      <c r="K13" s="396"/>
      <c r="L13" s="396"/>
      <c r="M13" s="396"/>
      <c r="N13" s="396"/>
      <c r="O13" s="4"/>
      <c r="P13" s="2"/>
    </row>
    <row r="14" spans="1:16" ht="42.75" x14ac:dyDescent="0.2">
      <c r="A14" s="395"/>
      <c r="B14" s="1023" t="s">
        <v>519</v>
      </c>
      <c r="E14" s="1020"/>
      <c r="F14" s="880" t="s">
        <v>533</v>
      </c>
      <c r="G14" s="1024"/>
      <c r="H14" s="898" t="str">
        <f>IF(KAT!J8=2,"für vollstationäre Pflege-einrichtung","vollstationäre Pflege-einrichtung")</f>
        <v>vollstationäre Pflege-einrichtung</v>
      </c>
      <c r="I14" s="909" t="s">
        <v>537</v>
      </c>
      <c r="J14" s="396"/>
      <c r="K14" s="396"/>
      <c r="L14" s="396"/>
      <c r="M14" s="396"/>
      <c r="N14" s="396"/>
      <c r="O14" s="4"/>
      <c r="P14" s="2"/>
    </row>
    <row r="15" spans="1:16" ht="10.15" customHeight="1" x14ac:dyDescent="0.2">
      <c r="A15" s="395"/>
      <c r="B15" s="5"/>
      <c r="E15" s="1020"/>
      <c r="F15" s="1025"/>
      <c r="G15" s="396"/>
      <c r="H15" s="1026"/>
      <c r="I15" s="1025"/>
      <c r="J15" s="396"/>
      <c r="K15" s="396"/>
      <c r="L15" s="396"/>
      <c r="M15" s="396"/>
      <c r="N15" s="396"/>
      <c r="O15" s="4"/>
      <c r="P15" s="2"/>
    </row>
    <row r="16" spans="1:16" x14ac:dyDescent="0.2">
      <c r="A16" s="395"/>
      <c r="B16" s="850" t="s">
        <v>56</v>
      </c>
      <c r="C16" s="851"/>
      <c r="E16" s="1020"/>
      <c r="F16" s="853">
        <f>B_PH_Kalkulation!H15</f>
        <v>0</v>
      </c>
      <c r="G16" s="396"/>
      <c r="H16" s="857">
        <f>IFERROR(IF(KAT!J8=2,(F16-I16),F16),0)</f>
        <v>0</v>
      </c>
      <c r="I16" s="853">
        <f>B_PH_Kalkulation!H18</f>
        <v>0</v>
      </c>
      <c r="J16" s="396"/>
      <c r="K16" s="396"/>
      <c r="L16" s="396"/>
      <c r="M16" s="396"/>
      <c r="N16" s="396"/>
      <c r="O16" s="4"/>
      <c r="P16" s="2"/>
    </row>
    <row r="17" spans="1:16" x14ac:dyDescent="0.2">
      <c r="A17" s="395"/>
      <c r="B17" s="850" t="s">
        <v>57</v>
      </c>
      <c r="C17" s="851"/>
      <c r="E17" s="1020"/>
      <c r="F17" s="853">
        <f>B_PH_Kalkulation!I15</f>
        <v>0</v>
      </c>
      <c r="G17" s="396"/>
      <c r="H17" s="857">
        <f>IFERROR(IF(KAT!J8=2,(F17-I17),F17),0)</f>
        <v>0</v>
      </c>
      <c r="I17" s="853">
        <f>B_PH_Kalkulation!I18</f>
        <v>0</v>
      </c>
      <c r="J17" s="396"/>
      <c r="K17" s="396"/>
      <c r="L17" s="396"/>
      <c r="M17" s="396"/>
      <c r="N17" s="396"/>
      <c r="O17" s="4"/>
      <c r="P17" s="2"/>
    </row>
    <row r="18" spans="1:16" x14ac:dyDescent="0.2">
      <c r="A18" s="395"/>
      <c r="B18" s="850" t="s">
        <v>58</v>
      </c>
      <c r="C18" s="851"/>
      <c r="E18" s="1020"/>
      <c r="F18" s="853">
        <f>B_PH_Kalkulation!J15</f>
        <v>0</v>
      </c>
      <c r="G18" s="396"/>
      <c r="H18" s="857">
        <f>IFERROR(IF(KAT!J8=2,(F18-I18),F18),0)</f>
        <v>0</v>
      </c>
      <c r="I18" s="853">
        <f>B_PH_Kalkulation!J18</f>
        <v>0</v>
      </c>
      <c r="J18" s="396"/>
      <c r="K18" s="396"/>
      <c r="L18" s="396"/>
      <c r="M18" s="396"/>
      <c r="N18" s="396"/>
      <c r="O18" s="4"/>
      <c r="P18" s="2"/>
    </row>
    <row r="19" spans="1:16" x14ac:dyDescent="0.2">
      <c r="A19" s="395"/>
      <c r="B19" s="850" t="s">
        <v>59</v>
      </c>
      <c r="C19" s="851"/>
      <c r="E19" s="1020"/>
      <c r="F19" s="853">
        <f>B_PH_Kalkulation!K15</f>
        <v>0</v>
      </c>
      <c r="G19" s="396"/>
      <c r="H19" s="857">
        <f>IFERROR(IF(KAT!J8=2,(F19-I19),F19),0)</f>
        <v>0</v>
      </c>
      <c r="I19" s="853">
        <f>B_PH_Kalkulation!K18</f>
        <v>0</v>
      </c>
      <c r="J19" s="396"/>
      <c r="K19" s="396"/>
      <c r="L19" s="396"/>
      <c r="M19" s="396"/>
      <c r="N19" s="396"/>
      <c r="O19" s="4"/>
      <c r="P19" s="2"/>
    </row>
    <row r="20" spans="1:16" x14ac:dyDescent="0.2">
      <c r="A20" s="395"/>
      <c r="B20" s="850" t="s">
        <v>60</v>
      </c>
      <c r="C20" s="851"/>
      <c r="E20" s="1020"/>
      <c r="F20" s="853">
        <f>B_PH_Kalkulation!L15</f>
        <v>0</v>
      </c>
      <c r="G20" s="396"/>
      <c r="H20" s="857">
        <f>IFERROR(IF(KAT!J8=2,(F20-I20),F20),0)</f>
        <v>0</v>
      </c>
      <c r="I20" s="853">
        <f>B_PH_Kalkulation!L18</f>
        <v>0</v>
      </c>
      <c r="J20" s="396"/>
      <c r="K20" s="396"/>
      <c r="L20" s="396"/>
      <c r="M20" s="396"/>
      <c r="N20" s="396"/>
      <c r="O20" s="4"/>
      <c r="P20" s="2"/>
    </row>
    <row r="21" spans="1:16" ht="6" customHeight="1" x14ac:dyDescent="0.2">
      <c r="A21" s="395"/>
      <c r="B21" s="1027"/>
      <c r="E21" s="1020"/>
      <c r="F21" s="1025"/>
      <c r="G21" s="396"/>
      <c r="H21" s="1028"/>
      <c r="I21" s="1025"/>
      <c r="J21" s="396"/>
      <c r="K21" s="396"/>
      <c r="L21" s="396"/>
      <c r="M21" s="396"/>
      <c r="N21" s="396"/>
      <c r="O21" s="4"/>
      <c r="P21" s="2"/>
    </row>
    <row r="22" spans="1:16" x14ac:dyDescent="0.2">
      <c r="A22" s="395"/>
      <c r="B22" s="850" t="s">
        <v>492</v>
      </c>
      <c r="C22" s="851"/>
      <c r="E22" s="1020"/>
      <c r="F22" s="853">
        <f>B_PH_Kalkulation!L13</f>
        <v>0</v>
      </c>
      <c r="G22" s="396"/>
      <c r="H22" s="857">
        <f>IFERROR(IF(KAT!J8=2,(F22-I22),F22),0)</f>
        <v>0</v>
      </c>
      <c r="I22" s="853">
        <f>B_PH_Kalkulation!L17</f>
        <v>0</v>
      </c>
      <c r="J22" s="396"/>
      <c r="K22" s="396"/>
      <c r="L22" s="396"/>
      <c r="M22" s="396"/>
      <c r="N22" s="396"/>
      <c r="O22" s="4"/>
      <c r="P22" s="2"/>
    </row>
    <row r="23" spans="1:16" ht="10.15" customHeight="1" x14ac:dyDescent="0.2">
      <c r="A23" s="395"/>
      <c r="H23" s="36"/>
      <c r="J23" s="396"/>
      <c r="K23" s="396"/>
      <c r="L23" s="396"/>
      <c r="M23" s="396"/>
      <c r="N23" s="396"/>
      <c r="O23" s="4"/>
      <c r="P23" s="2"/>
    </row>
    <row r="24" spans="1:16" ht="40.15" customHeight="1" x14ac:dyDescent="0.2">
      <c r="A24" s="395"/>
      <c r="F24" s="838" t="s">
        <v>483</v>
      </c>
      <c r="H24" s="841" t="s">
        <v>485</v>
      </c>
      <c r="I24" s="843" t="s">
        <v>485</v>
      </c>
      <c r="J24" s="1551" t="s">
        <v>488</v>
      </c>
      <c r="L24" s="841" t="s">
        <v>486</v>
      </c>
      <c r="M24" s="852"/>
      <c r="N24" s="841" t="s">
        <v>525</v>
      </c>
      <c r="O24" s="4"/>
      <c r="P24" s="2"/>
    </row>
    <row r="25" spans="1:16" x14ac:dyDescent="0.2">
      <c r="A25" s="395"/>
      <c r="F25" s="839"/>
      <c r="H25" s="837"/>
      <c r="I25" s="2"/>
      <c r="J25" s="1552"/>
      <c r="L25" s="844"/>
      <c r="M25" s="844"/>
      <c r="N25" s="844"/>
      <c r="O25" s="4"/>
      <c r="P25" s="2"/>
    </row>
    <row r="26" spans="1:16" ht="55.15" customHeight="1" x14ac:dyDescent="0.2">
      <c r="A26" s="395"/>
      <c r="F26" s="840" t="s">
        <v>484</v>
      </c>
      <c r="H26" s="842" t="s">
        <v>487</v>
      </c>
      <c r="I26" s="879" t="s">
        <v>537</v>
      </c>
      <c r="J26" s="1553"/>
      <c r="L26" s="505"/>
      <c r="M26" s="844"/>
      <c r="N26" s="505"/>
      <c r="O26" s="4"/>
      <c r="P26" s="2"/>
    </row>
    <row r="27" spans="1:16" ht="6" customHeight="1" x14ac:dyDescent="0.2">
      <c r="A27" s="395"/>
      <c r="J27" s="396"/>
      <c r="K27" s="396"/>
      <c r="L27" s="396"/>
      <c r="M27" s="396"/>
      <c r="N27" s="396"/>
      <c r="O27" s="4"/>
      <c r="P27" s="2"/>
    </row>
    <row r="28" spans="1:16" x14ac:dyDescent="0.2">
      <c r="A28" s="395"/>
      <c r="B28" s="5" t="s">
        <v>481</v>
      </c>
      <c r="E28" s="397"/>
      <c r="F28" s="1029"/>
      <c r="G28" s="1030"/>
      <c r="H28" s="1031"/>
      <c r="I28" s="397"/>
      <c r="J28" s="452"/>
      <c r="K28" s="396"/>
      <c r="L28" s="396"/>
      <c r="M28" s="396"/>
      <c r="N28" s="396"/>
      <c r="O28" s="4"/>
      <c r="P28" s="2"/>
    </row>
    <row r="29" spans="1:16" ht="10.15" customHeight="1" x14ac:dyDescent="0.2">
      <c r="A29" s="395"/>
      <c r="E29" s="397"/>
      <c r="F29" s="1029"/>
      <c r="G29" s="1030"/>
      <c r="H29" s="397"/>
      <c r="I29" s="397"/>
      <c r="J29" s="452"/>
      <c r="K29" s="396"/>
      <c r="L29" s="396"/>
      <c r="M29" s="396"/>
      <c r="N29" s="396"/>
      <c r="O29" s="4"/>
      <c r="P29" s="2"/>
    </row>
    <row r="30" spans="1:16" x14ac:dyDescent="0.2">
      <c r="A30" s="395"/>
      <c r="B30" s="1032" t="s">
        <v>482</v>
      </c>
      <c r="E30" s="397"/>
      <c r="F30" s="1029"/>
      <c r="G30" s="1030"/>
      <c r="H30" s="397"/>
      <c r="I30" s="397"/>
      <c r="J30" s="239"/>
      <c r="O30" s="4"/>
      <c r="P30" s="2"/>
    </row>
    <row r="31" spans="1:16" x14ac:dyDescent="0.2">
      <c r="A31" s="395"/>
      <c r="B31" s="1027" t="s">
        <v>433</v>
      </c>
      <c r="E31" s="397"/>
      <c r="F31" s="855">
        <f>IF(B_PH_Kalkulation!J21&gt;0,B_PH_Kalkulation!J21,0)</f>
        <v>0</v>
      </c>
      <c r="G31" s="1033"/>
      <c r="H31" s="856">
        <f>IFERROR(ROUND(F31/'B_PH_Allgemeine Angaben'!L47*('B_PH_Allgemeine Angaben'!L47-'B_PH_Allgemeine Angaben'!L48),4),0)</f>
        <v>0</v>
      </c>
      <c r="I31" s="856">
        <f>IFERROR(ROUND(F31/'B_PH_Allgemeine Angaben'!L47*'B_PH_Allgemeine Angaben'!L48,4),0)</f>
        <v>0</v>
      </c>
      <c r="J31" s="396"/>
      <c r="K31" s="474" t="str">
        <f>IF(AND(F31&gt;0,N31=0),"Bitte Angaben prüfen!","")</f>
        <v/>
      </c>
      <c r="L31" s="396"/>
      <c r="M31" s="396"/>
      <c r="N31" s="875">
        <f>IF(B_PH_Kalkulation!L21&gt;0,B_PH_Kalkulation!L21,0)</f>
        <v>0</v>
      </c>
      <c r="O31" s="4"/>
      <c r="P31" s="2"/>
    </row>
    <row r="32" spans="1:16" x14ac:dyDescent="0.2">
      <c r="A32" s="395"/>
      <c r="B32" s="1027" t="s">
        <v>423</v>
      </c>
      <c r="E32" s="397"/>
      <c r="F32" s="855">
        <f>IF(B_PH_Kalkulation!J22&gt;0,B_PH_Kalkulation!J22,0)</f>
        <v>0</v>
      </c>
      <c r="G32" s="1033"/>
      <c r="H32" s="856">
        <f>IFERROR(ROUND(F32/'B_PH_Allgemeine Angaben'!L47*('B_PH_Allgemeine Angaben'!L47-'B_PH_Allgemeine Angaben'!L48),4),0)</f>
        <v>0</v>
      </c>
      <c r="I32" s="856">
        <f>IFERROR(ROUND(F32/'B_PH_Allgemeine Angaben'!L47*'B_PH_Allgemeine Angaben'!L48,4),0)</f>
        <v>0</v>
      </c>
      <c r="K32" s="474" t="str">
        <f t="shared" ref="K32:K33" si="0">IF(AND(F32&gt;0,N32=0),"Bitte Angaben prüfen!","")</f>
        <v/>
      </c>
      <c r="L32" s="396"/>
      <c r="M32" s="396"/>
      <c r="N32" s="875">
        <f>IF(B_PH_Kalkulation!L22&gt;0,B_PH_Kalkulation!L22,0)</f>
        <v>0</v>
      </c>
      <c r="O32" s="4"/>
      <c r="P32" s="2"/>
    </row>
    <row r="33" spans="1:17" x14ac:dyDescent="0.2">
      <c r="A33" s="395"/>
      <c r="B33" s="1027" t="s">
        <v>424</v>
      </c>
      <c r="E33" s="397"/>
      <c r="F33" s="855">
        <f>IF(B_PH_Kalkulation!J23&gt;0,B_PH_Kalkulation!J23,0)</f>
        <v>0</v>
      </c>
      <c r="G33" s="1033"/>
      <c r="H33" s="856">
        <f>IFERROR(ROUND(F33/'B_PH_Allgemeine Angaben'!L47*('B_PH_Allgemeine Angaben'!L47-'B_PH_Allgemeine Angaben'!L48),4),0)</f>
        <v>0</v>
      </c>
      <c r="I33" s="856">
        <f>IFERROR(ROUND(F33/'B_PH_Allgemeine Angaben'!L47*'B_PH_Allgemeine Angaben'!L48,4),0)</f>
        <v>0</v>
      </c>
      <c r="J33" s="396"/>
      <c r="K33" s="474" t="str">
        <f t="shared" si="0"/>
        <v/>
      </c>
      <c r="M33" s="396"/>
      <c r="N33" s="875">
        <f>IF(B_PH_Kalkulation!L23&gt;0,B_PH_Kalkulation!L23,0)</f>
        <v>0</v>
      </c>
      <c r="O33" s="4"/>
      <c r="P33" s="2"/>
    </row>
    <row r="34" spans="1:17" ht="10.15" customHeight="1" x14ac:dyDescent="0.2">
      <c r="A34" s="395"/>
      <c r="E34" s="397"/>
      <c r="F34" s="1029"/>
      <c r="G34" s="1030"/>
      <c r="H34" s="397"/>
      <c r="I34" s="397"/>
      <c r="J34" s="396"/>
      <c r="K34" s="396"/>
      <c r="L34" s="396"/>
      <c r="M34" s="396"/>
      <c r="N34" s="396"/>
      <c r="O34" s="4"/>
      <c r="P34" s="2"/>
    </row>
    <row r="35" spans="1:17" x14ac:dyDescent="0.2">
      <c r="A35" s="395"/>
      <c r="B35" s="1032" t="s">
        <v>387</v>
      </c>
      <c r="E35" s="397"/>
      <c r="F35" s="1029"/>
      <c r="G35" s="1030"/>
      <c r="H35" s="397"/>
      <c r="I35" s="397"/>
      <c r="J35" s="396"/>
      <c r="K35" s="396"/>
      <c r="L35" s="396"/>
      <c r="M35" s="396"/>
      <c r="N35" s="396"/>
      <c r="O35" s="4"/>
      <c r="P35" s="2"/>
    </row>
    <row r="36" spans="1:17" ht="25.9" customHeight="1" x14ac:dyDescent="0.2">
      <c r="A36" s="395"/>
      <c r="B36" s="1560" t="s">
        <v>489</v>
      </c>
      <c r="C36" s="1560"/>
      <c r="D36" s="1560"/>
      <c r="E36" s="397"/>
      <c r="F36" s="856">
        <f>IF(B_PH_Kalkulation!J24&gt;0,B_PH_Kalkulation!J24,0)</f>
        <v>0</v>
      </c>
      <c r="G36" s="1033"/>
      <c r="H36" s="856">
        <f>IFERROR(ROUND(F36/'B_PH_Allgemeine Angaben'!L47*('B_PH_Allgemeine Angaben'!L47-'B_PH_Allgemeine Angaben'!L48),4),0)</f>
        <v>0</v>
      </c>
      <c r="I36" s="856">
        <f>IFERROR(ROUND(F36/'B_PH_Allgemeine Angaben'!L47*'B_PH_Allgemeine Angaben'!L48,4),0)</f>
        <v>0</v>
      </c>
      <c r="J36" s="854">
        <f>IFERROR(B_PH_Kalkulation!I24,"")</f>
        <v>0</v>
      </c>
      <c r="K36" s="1034" t="str">
        <f>IF(AND(F36&gt;0,N36=0),"Bitte Angaben prüfen!","")</f>
        <v/>
      </c>
      <c r="L36" s="396"/>
      <c r="M36" s="396"/>
      <c r="N36" s="875">
        <f>IF(B_PH_Kalkulation!L24&gt;0,B_PH_Kalkulation!L24,0)</f>
        <v>0</v>
      </c>
      <c r="O36" s="4"/>
      <c r="P36" s="2"/>
      <c r="Q36" s="862"/>
    </row>
    <row r="37" spans="1:17" ht="25.9" customHeight="1" x14ac:dyDescent="0.2">
      <c r="A37" s="395"/>
      <c r="B37" s="1561" t="s">
        <v>490</v>
      </c>
      <c r="C37" s="1561"/>
      <c r="D37" s="1561"/>
      <c r="E37" s="397"/>
      <c r="F37" s="856">
        <f>IF(B_PH_Kalkulation!J25&gt;0,B_PH_Kalkulation!J25,0)</f>
        <v>0</v>
      </c>
      <c r="G37" s="1033"/>
      <c r="H37" s="856">
        <f>IFERROR(ROUND(F37/'B_PH_Allgemeine Angaben'!L47*('B_PH_Allgemeine Angaben'!L47-'B_PH_Allgemeine Angaben'!L48),4),0)</f>
        <v>0</v>
      </c>
      <c r="I37" s="856">
        <f>IFERROR(ROUND(F37/'B_PH_Allgemeine Angaben'!L47*'B_PH_Allgemeine Angaben'!L48,4),0)</f>
        <v>0</v>
      </c>
      <c r="J37" s="854">
        <f>IFERROR(B_PH_Kalkulation!I25,"")</f>
        <v>0</v>
      </c>
      <c r="K37" s="1034" t="str">
        <f t="shared" ref="K37:K38" si="1">IF(AND(F37&gt;0,N37=0),"Bitte Angaben prüfen!","")</f>
        <v/>
      </c>
      <c r="L37" s="396"/>
      <c r="M37" s="396"/>
      <c r="N37" s="875">
        <f>IF(B_PH_Kalkulation!L25&gt;0,B_PH_Kalkulation!L25,0)</f>
        <v>0</v>
      </c>
      <c r="O37" s="4"/>
      <c r="P37" s="2"/>
    </row>
    <row r="38" spans="1:17" ht="25.9" customHeight="1" x14ac:dyDescent="0.2">
      <c r="A38" s="395"/>
      <c r="B38" s="1562" t="s">
        <v>491</v>
      </c>
      <c r="C38" s="1562"/>
      <c r="D38" s="1562"/>
      <c r="E38" s="397"/>
      <c r="F38" s="856">
        <f>IF(B_PH_Kalkulation!J26&gt;0,B_PH_Kalkulation!J26,0)</f>
        <v>0</v>
      </c>
      <c r="G38" s="1033"/>
      <c r="H38" s="856">
        <f>IFERROR(ROUND(F38/'B_PH_Allgemeine Angaben'!L47*('B_PH_Allgemeine Angaben'!L47-'B_PH_Allgemeine Angaben'!L48),4),0)</f>
        <v>0</v>
      </c>
      <c r="I38" s="856">
        <f>IFERROR(ROUND(F38/'B_PH_Allgemeine Angaben'!L47*'B_PH_Allgemeine Angaben'!L48,4),0)</f>
        <v>0</v>
      </c>
      <c r="J38" s="854">
        <f>IFERROR(B_PH_Kalkulation!I26,"")</f>
        <v>0</v>
      </c>
      <c r="K38" s="1034" t="str">
        <f t="shared" si="1"/>
        <v/>
      </c>
      <c r="L38" s="452"/>
      <c r="M38" s="396"/>
      <c r="N38" s="875">
        <f>IF(B_PH_Kalkulation!L26&gt;0,B_PH_Kalkulation!L26,0)</f>
        <v>0</v>
      </c>
      <c r="O38" s="4"/>
      <c r="P38" s="2"/>
    </row>
    <row r="39" spans="1:17" ht="10.15" customHeight="1" x14ac:dyDescent="0.2">
      <c r="A39" s="395"/>
      <c r="B39" s="1027"/>
      <c r="C39" s="1027"/>
      <c r="D39" s="1027"/>
      <c r="E39" s="397"/>
      <c r="F39" s="1029"/>
      <c r="G39" s="1030"/>
      <c r="H39" s="397"/>
      <c r="I39" s="397"/>
      <c r="J39" s="396"/>
      <c r="K39" s="396"/>
      <c r="L39" s="396"/>
      <c r="M39" s="396"/>
      <c r="N39" s="396"/>
      <c r="O39" s="4"/>
      <c r="P39" s="2"/>
    </row>
    <row r="40" spans="1:17" x14ac:dyDescent="0.2">
      <c r="A40" s="395"/>
      <c r="B40" s="1027" t="s">
        <v>492</v>
      </c>
      <c r="C40" s="1027"/>
      <c r="D40" s="1027"/>
      <c r="E40" s="397"/>
      <c r="F40" s="856">
        <f>SUM(F36:F38)</f>
        <v>0</v>
      </c>
      <c r="G40" s="1033"/>
      <c r="H40" s="856">
        <f>SUM(H36:H38)</f>
        <v>0</v>
      </c>
      <c r="I40" s="856">
        <f>SUM(I36:I38)</f>
        <v>0</v>
      </c>
      <c r="J40" s="396"/>
      <c r="K40" s="396"/>
      <c r="L40" s="396"/>
      <c r="M40" s="396"/>
      <c r="N40" s="396"/>
      <c r="O40" s="4"/>
      <c r="P40" s="2"/>
    </row>
    <row r="41" spans="1:17" ht="10.15" customHeight="1" x14ac:dyDescent="0.2">
      <c r="A41" s="395"/>
      <c r="B41" s="1027"/>
      <c r="C41" s="1027"/>
      <c r="D41" s="1027"/>
      <c r="E41" s="397"/>
      <c r="F41" s="1029"/>
      <c r="G41" s="1030"/>
      <c r="H41" s="397"/>
      <c r="I41" s="397"/>
      <c r="J41" s="396"/>
      <c r="K41" s="396"/>
      <c r="L41" s="396"/>
      <c r="M41" s="396"/>
      <c r="N41" s="396"/>
      <c r="O41" s="4"/>
      <c r="P41" s="2"/>
    </row>
    <row r="42" spans="1:17" s="849" customFormat="1" ht="25.9" customHeight="1" x14ac:dyDescent="0.2">
      <c r="A42" s="847"/>
      <c r="B42" s="1563" t="s">
        <v>524</v>
      </c>
      <c r="C42" s="1563"/>
      <c r="D42" s="1563"/>
      <c r="E42" s="1035"/>
      <c r="F42" s="855">
        <f>IF(B_PH_Kalkulation!J27&gt;0,B_PH_Kalkulation!J27,0)</f>
        <v>0</v>
      </c>
      <c r="G42" s="1035"/>
      <c r="H42" s="856">
        <f>IFERROR(ROUND(F42/'B_PH_Allgemeine Angaben'!L47*('B_PH_Allgemeine Angaben'!L47-'B_PH_Allgemeine Angaben'!L48),4),0)</f>
        <v>0</v>
      </c>
      <c r="I42" s="856">
        <f>IFERROR(ROUND(F42/'B_PH_Allgemeine Angaben'!L47*'B_PH_Allgemeine Angaben'!L48,4),0)</f>
        <v>0</v>
      </c>
      <c r="J42" s="1036" t="str">
        <f>IF(AND(F42&gt;0,N42=0),"Angaben prüfen!","")</f>
        <v/>
      </c>
      <c r="K42" s="710" t="s">
        <v>493</v>
      </c>
      <c r="L42" s="1057">
        <f>B_PH_Kalkulation!I27</f>
        <v>20</v>
      </c>
      <c r="M42" s="1037"/>
      <c r="N42" s="875">
        <f>IF(B_PH_Kalkulation!L27&gt;0,B_PH_Kalkulation!L27,0)</f>
        <v>0</v>
      </c>
      <c r="O42" s="848"/>
      <c r="P42" s="1055"/>
    </row>
    <row r="43" spans="1:17" ht="10.15" customHeight="1" x14ac:dyDescent="0.2">
      <c r="A43" s="395"/>
      <c r="B43" s="1038"/>
      <c r="C43" s="1038"/>
      <c r="D43" s="1038"/>
      <c r="E43" s="397"/>
      <c r="F43" s="1028"/>
      <c r="G43" s="1030"/>
      <c r="H43" s="397"/>
      <c r="I43" s="397"/>
      <c r="J43" s="1037"/>
      <c r="K43" s="396"/>
      <c r="L43" s="396"/>
      <c r="M43" s="396"/>
      <c r="N43" s="396"/>
      <c r="O43" s="4"/>
      <c r="P43" s="2"/>
    </row>
    <row r="44" spans="1:17" x14ac:dyDescent="0.2">
      <c r="A44" s="395"/>
      <c r="B44" s="1038" t="s">
        <v>119</v>
      </c>
      <c r="C44" s="1038"/>
      <c r="D44" s="1038"/>
      <c r="E44" s="397"/>
      <c r="F44" s="855">
        <f>IF(B_PH_Kalkulation!J28&gt;0,B_PH_Kalkulation!J28,0)</f>
        <v>0</v>
      </c>
      <c r="G44" s="1030"/>
      <c r="H44" s="856">
        <f>IFERROR(ROUND(F44/'B_PH_Allgemeine Angaben'!L47*('B_PH_Allgemeine Angaben'!L47-'B_PH_Allgemeine Angaben'!L48),4),0)</f>
        <v>0</v>
      </c>
      <c r="I44" s="856">
        <f>IFERROR(ROUND(F44/'B_PH_Allgemeine Angaben'!L47*'B_PH_Allgemeine Angaben'!L48,4),0)</f>
        <v>0</v>
      </c>
      <c r="J44" s="1036" t="str">
        <f>IF(AND(F44&gt;0,N44=0),"Angaben prüfen!","")</f>
        <v/>
      </c>
      <c r="K44" s="396"/>
      <c r="L44" s="396"/>
      <c r="M44" s="396"/>
      <c r="N44" s="875">
        <f>IF(B_PH_Kalkulation!L28&gt;0,B_PH_Kalkulation!L28,0)</f>
        <v>0</v>
      </c>
      <c r="O44" s="4"/>
      <c r="P44" s="2"/>
    </row>
    <row r="45" spans="1:17" ht="10.15" customHeight="1" x14ac:dyDescent="0.2">
      <c r="A45" s="395"/>
      <c r="B45" s="1038"/>
      <c r="C45" s="1038"/>
      <c r="D45" s="1038"/>
      <c r="E45" s="397"/>
      <c r="F45" s="1028"/>
      <c r="G45" s="1030"/>
      <c r="H45" s="397"/>
      <c r="I45" s="397"/>
      <c r="J45" s="849"/>
      <c r="K45" s="396"/>
      <c r="L45" s="396"/>
      <c r="M45" s="396"/>
      <c r="N45" s="396"/>
      <c r="O45" s="4"/>
      <c r="P45" s="2"/>
    </row>
    <row r="46" spans="1:17" x14ac:dyDescent="0.2">
      <c r="A46" s="395"/>
      <c r="B46" s="1038" t="s">
        <v>55</v>
      </c>
      <c r="C46" s="1038"/>
      <c r="D46" s="1038"/>
      <c r="E46" s="397"/>
      <c r="F46" s="855">
        <f>IF(B_PH_Kalkulation!J29&gt;0,B_PH_Kalkulation!J29,0)</f>
        <v>0</v>
      </c>
      <c r="G46" s="1030"/>
      <c r="H46" s="856">
        <f>IFERROR(ROUND(F46/'B_PH_Allgemeine Angaben'!L47*('B_PH_Allgemeine Angaben'!L47-'B_PH_Allgemeine Angaben'!L48),4),0)</f>
        <v>0</v>
      </c>
      <c r="I46" s="856">
        <f>IFERROR(ROUND(F46/'B_PH_Allgemeine Angaben'!L47*'B_PH_Allgemeine Angaben'!L48,4),0)</f>
        <v>0</v>
      </c>
      <c r="J46" s="1036" t="str">
        <f>IF(AND(F46&gt;0,N46=0),"Angaben prüfen!","")</f>
        <v/>
      </c>
      <c r="K46" s="710" t="s">
        <v>493</v>
      </c>
      <c r="L46" s="1057" t="str">
        <f>IF(B_PH_Kalkulation!I29&gt;0,B_PH_Kalkulation!I29,"")</f>
        <v/>
      </c>
      <c r="M46" s="396"/>
      <c r="N46" s="875">
        <f>IF(B_PH_Kalkulation!L29&gt;0,B_PH_Kalkulation!L29,0)</f>
        <v>0</v>
      </c>
      <c r="O46" s="4"/>
      <c r="P46" s="2"/>
    </row>
    <row r="47" spans="1:17" ht="10.15" customHeight="1" x14ac:dyDescent="0.2">
      <c r="A47" s="395"/>
      <c r="B47" s="1038"/>
      <c r="C47" s="1038"/>
      <c r="D47" s="1038"/>
      <c r="E47" s="397"/>
      <c r="F47" s="1028"/>
      <c r="G47" s="1030"/>
      <c r="H47" s="397"/>
      <c r="I47" s="397"/>
      <c r="J47" s="849"/>
      <c r="K47" s="396"/>
      <c r="L47" s="396"/>
      <c r="M47" s="396"/>
      <c r="N47" s="396"/>
      <c r="O47" s="4"/>
      <c r="P47" s="2"/>
    </row>
    <row r="48" spans="1:17" x14ac:dyDescent="0.2">
      <c r="A48" s="395"/>
      <c r="B48" s="1038" t="s">
        <v>30</v>
      </c>
      <c r="C48" s="1038"/>
      <c r="D48" s="1038"/>
      <c r="E48" s="397"/>
      <c r="F48" s="855">
        <f>IF(B_PH_Kalkulation!J30&gt;0,B_PH_Kalkulation!J30,0)</f>
        <v>0</v>
      </c>
      <c r="G48" s="1030"/>
      <c r="H48" s="856">
        <f>IFERROR(ROUND(F48/'B_PH_Allgemeine Angaben'!L47*('B_PH_Allgemeine Angaben'!L47-'B_PH_Allgemeine Angaben'!L48),4),0)</f>
        <v>0</v>
      </c>
      <c r="I48" s="856">
        <f>IFERROR(ROUND(F48/'B_PH_Allgemeine Angaben'!L47*'B_PH_Allgemeine Angaben'!L48,4),0)</f>
        <v>0</v>
      </c>
      <c r="J48" s="1036" t="str">
        <f>IF(AND(F48&gt;0,N48=0),"Angaben prüfen!","")</f>
        <v/>
      </c>
      <c r="K48" s="710" t="s">
        <v>493</v>
      </c>
      <c r="L48" s="1057" t="str">
        <f>IF(B_PH_Kalkulation!I30&gt;0,B_PH_Kalkulation!I30,"")</f>
        <v/>
      </c>
      <c r="M48" s="396"/>
      <c r="N48" s="875">
        <f>IF(B_PH_Kalkulation!L30&gt;0,B_PH_Kalkulation!L30,0)</f>
        <v>0</v>
      </c>
      <c r="O48" s="4"/>
      <c r="P48" s="2"/>
    </row>
    <row r="49" spans="1:16" ht="10.15" customHeight="1" x14ac:dyDescent="0.2">
      <c r="A49" s="395"/>
      <c r="B49" s="1038"/>
      <c r="C49" s="1038"/>
      <c r="D49" s="1038"/>
      <c r="E49" s="397"/>
      <c r="F49" s="1028"/>
      <c r="G49" s="1030"/>
      <c r="H49" s="397"/>
      <c r="I49" s="397"/>
      <c r="J49" s="849"/>
      <c r="K49" s="396"/>
      <c r="L49" s="396"/>
      <c r="M49" s="396"/>
      <c r="N49" s="396"/>
      <c r="O49" s="4"/>
      <c r="P49" s="2"/>
    </row>
    <row r="50" spans="1:16" x14ac:dyDescent="0.2">
      <c r="A50" s="395"/>
      <c r="B50" s="1038" t="s">
        <v>31</v>
      </c>
      <c r="C50" s="1038"/>
      <c r="D50" s="1038"/>
      <c r="E50" s="397"/>
      <c r="F50" s="855">
        <f>IF(B_PH_Kalkulation!J31&gt;0,B_PH_Kalkulation!J31,0)</f>
        <v>0</v>
      </c>
      <c r="G50" s="1030"/>
      <c r="H50" s="856">
        <f>IFERROR(ROUND(F50/'B_PH_Allgemeine Angaben'!L47*('B_PH_Allgemeine Angaben'!L47-'B_PH_Allgemeine Angaben'!L48),4),0)</f>
        <v>0</v>
      </c>
      <c r="I50" s="856">
        <f>IFERROR(ROUND(F50/'B_PH_Allgemeine Angaben'!L47*'B_PH_Allgemeine Angaben'!L48,4),0)</f>
        <v>0</v>
      </c>
      <c r="J50" s="1036" t="str">
        <f>IF(AND(F50&gt;0,N50=0),"Angaben prüfen!","")</f>
        <v/>
      </c>
      <c r="K50" s="710" t="s">
        <v>493</v>
      </c>
      <c r="L50" s="1057" t="str">
        <f>IF(B_PH_Kalkulation!I31&gt;0,B_PH_Kalkulation!I31,"")</f>
        <v/>
      </c>
      <c r="M50" s="396"/>
      <c r="N50" s="875">
        <f>IF(B_PH_Kalkulation!L31&gt;0,B_PH_Kalkulation!L31,0)</f>
        <v>0</v>
      </c>
      <c r="O50" s="4"/>
      <c r="P50" s="2"/>
    </row>
    <row r="51" spans="1:16" ht="10.15" customHeight="1" x14ac:dyDescent="0.2">
      <c r="A51" s="395"/>
      <c r="E51" s="397"/>
      <c r="F51" s="1028"/>
      <c r="G51" s="1030"/>
      <c r="H51" s="397"/>
      <c r="I51" s="397"/>
      <c r="J51" s="1037"/>
      <c r="K51" s="396"/>
      <c r="L51" s="396"/>
      <c r="M51" s="396"/>
      <c r="N51" s="396"/>
      <c r="O51" s="4"/>
      <c r="P51" s="2"/>
    </row>
    <row r="52" spans="1:16" x14ac:dyDescent="0.2">
      <c r="A52" s="395"/>
      <c r="E52" s="397"/>
      <c r="F52" s="1028" t="s">
        <v>495</v>
      </c>
      <c r="G52" s="1030"/>
      <c r="H52" s="1031" t="s">
        <v>495</v>
      </c>
      <c r="I52" s="1031" t="s">
        <v>495</v>
      </c>
      <c r="J52" s="1037"/>
      <c r="K52" s="396"/>
      <c r="L52" s="396"/>
      <c r="M52" s="396"/>
      <c r="N52" s="86" t="s">
        <v>496</v>
      </c>
      <c r="O52" s="4"/>
      <c r="P52" s="2"/>
    </row>
    <row r="53" spans="1:16" x14ac:dyDescent="0.2">
      <c r="A53" s="395"/>
      <c r="B53" s="1027" t="s">
        <v>494</v>
      </c>
      <c r="E53" s="397"/>
      <c r="F53" s="857">
        <f>IF(B_PH_Kalkulation!J32&gt;0,B_PH_Kalkulation!J32,0)</f>
        <v>0</v>
      </c>
      <c r="G53" s="1030"/>
      <c r="H53" s="858">
        <f>IFERROR(ROUND(F53/'B_PH_Allgemeine Angaben'!L47*('B_PH_Allgemeine Angaben'!L47-'B_PH_Allgemeine Angaben'!L48),4),0)</f>
        <v>0</v>
      </c>
      <c r="I53" s="858">
        <f>IFERROR(ROUND(F53/'B_PH_Allgemeine Angaben'!L47*'B_PH_Allgemeine Angaben'!L48,4),0)</f>
        <v>0</v>
      </c>
      <c r="K53" s="1036" t="str">
        <f>IF(AND(F53&gt;0,N53=0),"Angaben prüfen!","")</f>
        <v/>
      </c>
      <c r="L53" s="396"/>
      <c r="M53" s="396"/>
      <c r="N53" s="875">
        <f>IF(B_PH_Kalkulation!L32&gt;0,B_PH_Kalkulation!L32,0)</f>
        <v>0</v>
      </c>
      <c r="O53" s="4"/>
      <c r="P53" s="2"/>
    </row>
    <row r="54" spans="1:16" ht="10.15" customHeight="1" x14ac:dyDescent="0.2">
      <c r="A54" s="395"/>
      <c r="E54" s="397"/>
      <c r="F54" s="1029"/>
      <c r="G54" s="1030"/>
      <c r="H54" s="397"/>
      <c r="I54" s="397"/>
      <c r="J54" s="396"/>
      <c r="K54" s="396"/>
      <c r="L54" s="396"/>
      <c r="M54" s="396"/>
      <c r="N54" s="396"/>
      <c r="O54" s="4"/>
      <c r="P54" s="2"/>
    </row>
    <row r="55" spans="1:16" x14ac:dyDescent="0.2">
      <c r="A55" s="395"/>
      <c r="B55" s="5" t="s">
        <v>530</v>
      </c>
      <c r="E55" s="397"/>
      <c r="F55" s="1029"/>
      <c r="G55" s="1030"/>
      <c r="H55" s="397"/>
      <c r="I55" s="1018" t="s">
        <v>529</v>
      </c>
      <c r="J55" s="396"/>
      <c r="K55" s="396"/>
      <c r="L55" s="396"/>
      <c r="M55" s="396"/>
      <c r="N55" s="396"/>
      <c r="O55" s="4"/>
      <c r="P55" s="2"/>
    </row>
    <row r="56" spans="1:16" ht="10.15" customHeight="1" x14ac:dyDescent="0.2">
      <c r="A56" s="395"/>
      <c r="E56" s="397"/>
      <c r="F56" s="1029"/>
      <c r="G56" s="1030"/>
      <c r="H56" s="397"/>
      <c r="I56" s="397"/>
      <c r="J56" s="396"/>
      <c r="K56" s="396"/>
      <c r="L56" s="396"/>
      <c r="M56" s="396"/>
      <c r="N56" s="396"/>
      <c r="O56" s="4"/>
      <c r="P56" s="2"/>
    </row>
    <row r="57" spans="1:16" x14ac:dyDescent="0.2">
      <c r="A57" s="395"/>
      <c r="B57" s="1027" t="s">
        <v>497</v>
      </c>
      <c r="E57" s="397"/>
      <c r="F57" s="845">
        <f>B_PH_Kalkulation!L36</f>
        <v>0</v>
      </c>
      <c r="G57" s="1030"/>
      <c r="H57" s="397"/>
      <c r="I57" s="1031" t="s">
        <v>505</v>
      </c>
      <c r="J57" s="396"/>
      <c r="K57" s="396"/>
      <c r="L57" s="869">
        <f>B_PH_Kalkulation!L47</f>
        <v>0</v>
      </c>
      <c r="M57" s="719"/>
      <c r="N57" s="396"/>
      <c r="O57" s="4"/>
      <c r="P57" s="2"/>
    </row>
    <row r="58" spans="1:16" x14ac:dyDescent="0.2">
      <c r="A58" s="395"/>
      <c r="B58" s="1027" t="s">
        <v>498</v>
      </c>
      <c r="E58" s="397"/>
      <c r="F58" s="845">
        <f>B_PH_Kalkulation!L37</f>
        <v>0</v>
      </c>
      <c r="G58" s="1030"/>
      <c r="H58" s="397"/>
      <c r="I58" s="1031" t="s">
        <v>506</v>
      </c>
      <c r="J58" s="396"/>
      <c r="K58" s="396"/>
      <c r="L58" s="869">
        <f>B_PH_Kalkulation!L48</f>
        <v>0</v>
      </c>
      <c r="M58" s="719"/>
      <c r="N58" s="396"/>
      <c r="O58" s="4"/>
      <c r="P58" s="2"/>
    </row>
    <row r="59" spans="1:16" x14ac:dyDescent="0.2">
      <c r="A59" s="395"/>
      <c r="B59" s="1027" t="s">
        <v>499</v>
      </c>
      <c r="E59" s="397"/>
      <c r="F59" s="845">
        <f>B_PH_Kalkulation!L38</f>
        <v>0</v>
      </c>
      <c r="G59" s="1030"/>
      <c r="H59" s="397"/>
      <c r="I59" s="1031" t="s">
        <v>507</v>
      </c>
      <c r="J59" s="396"/>
      <c r="K59" s="396"/>
      <c r="L59" s="869">
        <f>B_PH_Kalkulation!L49</f>
        <v>0</v>
      </c>
      <c r="M59" s="719"/>
      <c r="N59" s="396"/>
      <c r="O59" s="4"/>
      <c r="P59" s="2"/>
    </row>
    <row r="60" spans="1:16" x14ac:dyDescent="0.2">
      <c r="A60" s="395"/>
      <c r="B60" s="1027" t="s">
        <v>500</v>
      </c>
      <c r="E60" s="397"/>
      <c r="F60" s="845">
        <f>B_PH_Kalkulation!L39</f>
        <v>0</v>
      </c>
      <c r="G60" s="1030"/>
      <c r="H60" s="397"/>
      <c r="I60" s="1031" t="s">
        <v>508</v>
      </c>
      <c r="J60" s="396"/>
      <c r="K60" s="396"/>
      <c r="L60" s="869">
        <f>B_PH_Kalkulation!L50</f>
        <v>0</v>
      </c>
      <c r="M60" s="719"/>
      <c r="N60" s="396"/>
      <c r="O60" s="4"/>
      <c r="P60" s="2"/>
    </row>
    <row r="61" spans="1:16" x14ac:dyDescent="0.2">
      <c r="A61" s="395"/>
      <c r="B61" s="1027" t="s">
        <v>501</v>
      </c>
      <c r="E61" s="397"/>
      <c r="F61" s="845">
        <f>B_PH_Kalkulation!L40</f>
        <v>0</v>
      </c>
      <c r="G61" s="1030"/>
      <c r="H61" s="397"/>
      <c r="I61" s="1031" t="s">
        <v>509</v>
      </c>
      <c r="J61" s="396"/>
      <c r="K61" s="396"/>
      <c r="L61" s="869">
        <f>B_PH_Kalkulation!L51</f>
        <v>0</v>
      </c>
      <c r="M61" s="719"/>
      <c r="N61" s="396"/>
      <c r="O61" s="4"/>
      <c r="P61" s="2"/>
    </row>
    <row r="62" spans="1:16" x14ac:dyDescent="0.2">
      <c r="A62" s="395"/>
      <c r="B62" s="1027" t="s">
        <v>502</v>
      </c>
      <c r="E62" s="397"/>
      <c r="F62" s="845">
        <f>B_PH_Kalkulation!L41</f>
        <v>0</v>
      </c>
      <c r="G62" s="1030"/>
      <c r="H62" s="397"/>
      <c r="I62" s="1031" t="str">
        <f>"3.6. "&amp;IF(B_PH_Kalkulation!C52&lt;&gt;"",B_PH_Kalkulation!C52,"")</f>
        <v xml:space="preserve">3.6. </v>
      </c>
      <c r="J62" s="396"/>
      <c r="K62" s="396"/>
      <c r="L62" s="869">
        <f>B_PH_Kalkulation!L52</f>
        <v>0</v>
      </c>
      <c r="M62" s="719"/>
      <c r="N62" s="396"/>
      <c r="O62" s="4"/>
      <c r="P62" s="2"/>
    </row>
    <row r="63" spans="1:16" x14ac:dyDescent="0.2">
      <c r="A63" s="395"/>
      <c r="B63" s="1027" t="s">
        <v>503</v>
      </c>
      <c r="E63" s="397"/>
      <c r="F63" s="845">
        <f>B_PH_Kalkulation!L42</f>
        <v>0</v>
      </c>
      <c r="G63" s="1030"/>
      <c r="H63" s="397"/>
      <c r="I63" s="1031" t="str">
        <f>"3.7. "&amp;IF(B_PH_Kalkulation!C53&lt;&gt;"",B_PH_Kalkulation!C53,"")</f>
        <v xml:space="preserve">3.7. </v>
      </c>
      <c r="J63" s="396"/>
      <c r="K63" s="396"/>
      <c r="L63" s="869">
        <f>B_PH_Kalkulation!L53</f>
        <v>0</v>
      </c>
      <c r="M63" s="396"/>
      <c r="N63" s="396"/>
      <c r="O63" s="4"/>
      <c r="P63" s="2"/>
    </row>
    <row r="64" spans="1:16" x14ac:dyDescent="0.2">
      <c r="A64" s="395"/>
      <c r="B64" s="1027" t="s">
        <v>504</v>
      </c>
      <c r="E64" s="397"/>
      <c r="F64" s="845">
        <f>B_PH_Kalkulation!L43</f>
        <v>0</v>
      </c>
      <c r="G64" s="1030"/>
      <c r="H64" s="397"/>
      <c r="I64" s="397"/>
      <c r="J64" s="396"/>
      <c r="K64" s="396"/>
      <c r="L64" s="396"/>
      <c r="M64" s="396"/>
      <c r="N64" s="396"/>
      <c r="O64" s="4"/>
      <c r="P64" s="2"/>
    </row>
    <row r="65" spans="1:16" ht="4.9000000000000004" customHeight="1" x14ac:dyDescent="0.2">
      <c r="A65" s="395"/>
      <c r="B65" s="1027"/>
      <c r="E65" s="397"/>
      <c r="F65" s="397"/>
      <c r="G65" s="397"/>
      <c r="H65" s="397"/>
      <c r="I65" s="397"/>
      <c r="J65" s="396"/>
      <c r="K65" s="396"/>
      <c r="L65" s="396"/>
      <c r="M65" s="396"/>
      <c r="N65" s="396"/>
      <c r="O65" s="4"/>
      <c r="P65" s="2"/>
    </row>
    <row r="66" spans="1:16" x14ac:dyDescent="0.2">
      <c r="A66" s="395"/>
      <c r="B66" s="1027" t="s">
        <v>492</v>
      </c>
      <c r="E66" s="397"/>
      <c r="F66" s="845">
        <f>B_PH_Kalkulation!L44</f>
        <v>0</v>
      </c>
      <c r="G66" s="1030"/>
      <c r="H66" s="397"/>
      <c r="I66" s="1031" t="s">
        <v>492</v>
      </c>
      <c r="J66" s="396"/>
      <c r="K66" s="396"/>
      <c r="L66" s="869">
        <f>B_PH_Kalkulation!L54</f>
        <v>0</v>
      </c>
      <c r="M66" s="719"/>
      <c r="N66" s="396"/>
      <c r="O66" s="4"/>
      <c r="P66" s="2"/>
    </row>
    <row r="67" spans="1:16" ht="10.15" customHeight="1" x14ac:dyDescent="0.2">
      <c r="A67" s="395"/>
      <c r="E67" s="397"/>
      <c r="F67" s="1029"/>
      <c r="G67" s="1030"/>
      <c r="H67" s="397"/>
      <c r="I67" s="397"/>
      <c r="J67" s="396"/>
      <c r="K67" s="396"/>
      <c r="L67" s="396"/>
      <c r="M67" s="396"/>
      <c r="N67" s="396"/>
      <c r="O67" s="4"/>
      <c r="P67" s="2"/>
    </row>
    <row r="68" spans="1:16" x14ac:dyDescent="0.2">
      <c r="A68" s="395"/>
      <c r="B68" s="5" t="s">
        <v>528</v>
      </c>
      <c r="E68" s="397"/>
      <c r="F68" s="874" t="str">
        <f>"entsprechend Prozentsatz " &amp; TEXT(B_PH_Kalkulation!L58,"0,00%")</f>
        <v>entsprechend Prozentsatz 0,00%</v>
      </c>
      <c r="G68" s="870"/>
      <c r="H68" s="868"/>
      <c r="I68" s="873" t="s">
        <v>395</v>
      </c>
      <c r="J68" s="836"/>
      <c r="K68" s="396"/>
      <c r="L68" s="872" t="s">
        <v>188</v>
      </c>
      <c r="M68" s="719"/>
      <c r="N68" s="396"/>
      <c r="O68" s="4"/>
      <c r="P68" s="2"/>
    </row>
    <row r="69" spans="1:16" x14ac:dyDescent="0.2">
      <c r="A69" s="395"/>
      <c r="B69" s="1027"/>
      <c r="E69" s="397"/>
      <c r="F69" s="866">
        <f>IFERROR(B_PH_Kalkulation!M58,"")</f>
        <v>0</v>
      </c>
      <c r="G69" s="867"/>
      <c r="H69" s="868"/>
      <c r="I69" s="871">
        <f>IFERROR(B_PH_Kalkulation!M60,"")</f>
        <v>0</v>
      </c>
      <c r="J69" s="836"/>
      <c r="K69" s="396"/>
      <c r="L69" s="869">
        <f>IFERROR(B_PH_Kalkulation!M61,"")</f>
        <v>0</v>
      </c>
      <c r="M69" s="719"/>
      <c r="N69" s="396"/>
      <c r="O69" s="4"/>
      <c r="P69" s="2"/>
    </row>
    <row r="70" spans="1:16" ht="10.15" customHeight="1" x14ac:dyDescent="0.2">
      <c r="A70" s="395"/>
      <c r="E70" s="397"/>
      <c r="F70" s="1029"/>
      <c r="G70" s="1030"/>
      <c r="H70" s="397"/>
      <c r="I70" s="397"/>
      <c r="J70" s="396"/>
      <c r="K70" s="396"/>
      <c r="L70" s="396"/>
      <c r="M70" s="396"/>
      <c r="N70" s="396"/>
      <c r="O70" s="4"/>
      <c r="P70" s="2"/>
    </row>
    <row r="71" spans="1:16" x14ac:dyDescent="0.2">
      <c r="A71" s="395"/>
      <c r="B71" s="5" t="s">
        <v>510</v>
      </c>
      <c r="E71" s="397"/>
      <c r="F71" s="1029"/>
      <c r="G71" s="1030"/>
      <c r="H71" s="397"/>
      <c r="I71" s="397"/>
      <c r="J71" s="396"/>
      <c r="K71" s="396"/>
      <c r="L71" s="396"/>
      <c r="M71" s="396"/>
      <c r="N71" s="396"/>
      <c r="O71" s="4"/>
      <c r="P71" s="2"/>
    </row>
    <row r="72" spans="1:16" ht="10.15" customHeight="1" x14ac:dyDescent="0.2">
      <c r="A72" s="395"/>
      <c r="E72" s="397"/>
      <c r="F72" s="1029"/>
      <c r="G72" s="1030"/>
      <c r="H72" s="397"/>
      <c r="I72" s="397"/>
      <c r="J72" s="396"/>
      <c r="K72" s="396"/>
      <c r="L72" s="396"/>
      <c r="M72" s="396"/>
      <c r="N72" s="396"/>
      <c r="O72" s="4"/>
      <c r="P72" s="2"/>
    </row>
    <row r="73" spans="1:16" x14ac:dyDescent="0.2">
      <c r="A73" s="395"/>
      <c r="B73" s="1032" t="s">
        <v>522</v>
      </c>
      <c r="E73" s="397"/>
      <c r="F73" s="1029"/>
      <c r="G73" s="1030"/>
      <c r="H73" s="397"/>
      <c r="I73" s="397"/>
      <c r="J73" s="396"/>
      <c r="K73" s="396"/>
      <c r="L73" s="396"/>
      <c r="M73" s="396"/>
      <c r="N73" s="396"/>
      <c r="O73" s="4"/>
      <c r="P73" s="2"/>
    </row>
    <row r="74" spans="1:16" x14ac:dyDescent="0.2">
      <c r="A74" s="395"/>
      <c r="B74" s="1039" t="s">
        <v>511</v>
      </c>
      <c r="E74" s="397"/>
      <c r="F74" s="859" t="str">
        <f>IFERROR(B_PH_Gesamtkalkulation!J59,"")</f>
        <v/>
      </c>
      <c r="G74" s="1030"/>
      <c r="H74" s="1031" t="s">
        <v>514</v>
      </c>
      <c r="I74" s="397"/>
      <c r="J74" s="396"/>
      <c r="K74" s="396"/>
      <c r="L74" s="396"/>
      <c r="M74" s="396"/>
      <c r="N74" s="396"/>
      <c r="O74" s="4"/>
      <c r="P74" s="2"/>
    </row>
    <row r="75" spans="1:16" ht="10.15" customHeight="1" x14ac:dyDescent="0.2">
      <c r="A75" s="395"/>
      <c r="E75" s="397"/>
      <c r="F75" s="1029"/>
      <c r="G75" s="1030"/>
      <c r="H75" s="397"/>
      <c r="I75" s="397"/>
      <c r="J75" s="396"/>
      <c r="K75" s="396"/>
      <c r="L75" s="396"/>
      <c r="M75" s="396"/>
      <c r="N75" s="396"/>
      <c r="O75" s="4"/>
      <c r="P75" s="2"/>
    </row>
    <row r="76" spans="1:16" x14ac:dyDescent="0.2">
      <c r="A76" s="395"/>
      <c r="B76" s="1032" t="s">
        <v>512</v>
      </c>
      <c r="E76" s="397"/>
      <c r="F76" s="1040" t="s">
        <v>513</v>
      </c>
      <c r="G76" s="1030"/>
      <c r="H76" s="397"/>
      <c r="I76" s="86" t="s">
        <v>538</v>
      </c>
      <c r="J76" s="396"/>
      <c r="K76" s="396"/>
      <c r="L76" s="396"/>
      <c r="M76" s="396"/>
      <c r="N76" s="396"/>
      <c r="O76" s="4"/>
      <c r="P76" s="2"/>
    </row>
    <row r="77" spans="1:16" ht="10.15" customHeight="1" x14ac:dyDescent="0.2">
      <c r="A77" s="395"/>
      <c r="E77" s="397"/>
      <c r="F77" s="1029"/>
      <c r="G77" s="1030"/>
      <c r="H77" s="397"/>
      <c r="I77" s="397"/>
      <c r="J77" s="396"/>
      <c r="K77" s="396"/>
      <c r="L77" s="396"/>
      <c r="M77" s="396"/>
      <c r="N77" s="396"/>
      <c r="O77" s="4"/>
      <c r="P77" s="2"/>
    </row>
    <row r="78" spans="1:16" x14ac:dyDescent="0.2">
      <c r="A78" s="395"/>
      <c r="B78" s="850" t="s">
        <v>56</v>
      </c>
      <c r="C78" s="851"/>
      <c r="E78" s="397"/>
      <c r="F78" s="859" t="str">
        <f>IFERROR(B_PH_Gesamtkalkulation!J57,"")</f>
        <v/>
      </c>
      <c r="G78" s="1030"/>
      <c r="H78" s="1031" t="s">
        <v>514</v>
      </c>
      <c r="I78" s="1564" t="s">
        <v>535</v>
      </c>
      <c r="J78" s="1565"/>
      <c r="K78" s="396"/>
      <c r="L78" s="859" t="str">
        <f>IFERROR(B_PH_Gesamtkalkulation!J61,"")</f>
        <v/>
      </c>
      <c r="M78" s="396"/>
      <c r="N78" s="1041" t="s">
        <v>514</v>
      </c>
      <c r="O78" s="1042"/>
      <c r="P78" s="2"/>
    </row>
    <row r="79" spans="1:16" ht="10.15" customHeight="1" x14ac:dyDescent="0.2">
      <c r="A79" s="395"/>
      <c r="B79" s="1027"/>
      <c r="E79" s="397"/>
      <c r="F79" s="1029"/>
      <c r="G79" s="1030"/>
      <c r="H79" s="397"/>
      <c r="I79" s="397"/>
      <c r="J79" s="396"/>
      <c r="K79" s="396"/>
      <c r="L79" s="396"/>
      <c r="M79" s="396"/>
      <c r="N79" s="396"/>
      <c r="O79" s="4"/>
      <c r="P79" s="2"/>
    </row>
    <row r="80" spans="1:16" x14ac:dyDescent="0.2">
      <c r="A80" s="395"/>
      <c r="B80" s="850" t="s">
        <v>57</v>
      </c>
      <c r="C80" s="851"/>
      <c r="E80" s="397"/>
      <c r="F80" s="859" t="str">
        <f>IFERROR(B_PH_Gesamtkalkulation!L57,"")</f>
        <v/>
      </c>
      <c r="G80" s="1030"/>
      <c r="H80" s="1031" t="s">
        <v>514</v>
      </c>
      <c r="I80" s="397"/>
      <c r="J80" s="396"/>
      <c r="K80" s="396"/>
      <c r="L80" s="396"/>
      <c r="M80" s="396"/>
      <c r="N80" s="396"/>
      <c r="O80" s="4"/>
      <c r="P80" s="2"/>
    </row>
    <row r="81" spans="1:16" ht="10.15" customHeight="1" x14ac:dyDescent="0.2">
      <c r="A81" s="395"/>
      <c r="B81" s="1027"/>
      <c r="E81" s="397"/>
      <c r="F81" s="1029"/>
      <c r="G81" s="1030"/>
      <c r="H81" s="397"/>
      <c r="I81" s="397"/>
      <c r="J81" s="396"/>
      <c r="K81" s="396"/>
      <c r="L81" s="396"/>
      <c r="M81" s="396"/>
      <c r="N81" s="396"/>
      <c r="O81" s="4"/>
      <c r="P81" s="2"/>
    </row>
    <row r="82" spans="1:16" x14ac:dyDescent="0.2">
      <c r="A82" s="395"/>
      <c r="B82" s="850" t="s">
        <v>58</v>
      </c>
      <c r="C82" s="851"/>
      <c r="E82" s="397"/>
      <c r="F82" s="859" t="str">
        <f>IFERROR(B_PH_Gesamtkalkulation!N57,"")</f>
        <v/>
      </c>
      <c r="G82" s="1030"/>
      <c r="H82" s="1031" t="s">
        <v>514</v>
      </c>
      <c r="I82" s="397"/>
      <c r="J82" s="396"/>
      <c r="K82" s="396"/>
      <c r="L82" s="396"/>
      <c r="M82" s="396"/>
      <c r="N82" s="396"/>
      <c r="O82" s="4"/>
      <c r="P82" s="2"/>
    </row>
    <row r="83" spans="1:16" ht="10.15" customHeight="1" x14ac:dyDescent="0.2">
      <c r="A83" s="395"/>
      <c r="B83" s="1027"/>
      <c r="C83" s="1043"/>
      <c r="D83" s="1043"/>
      <c r="E83" s="397"/>
      <c r="F83" s="1044"/>
      <c r="G83" s="1044"/>
      <c r="H83" s="397"/>
      <c r="I83" s="397"/>
      <c r="J83" s="396"/>
      <c r="K83" s="396"/>
      <c r="L83" s="396"/>
      <c r="M83" s="396"/>
      <c r="N83" s="396"/>
      <c r="O83" s="4"/>
      <c r="P83" s="2"/>
    </row>
    <row r="84" spans="1:16" x14ac:dyDescent="0.2">
      <c r="A84" s="400"/>
      <c r="B84" s="850" t="s">
        <v>515</v>
      </c>
      <c r="C84" s="851"/>
      <c r="F84" s="859" t="str">
        <f>IFERROR(B_PH_Gesamtkalkulation!P57,"")</f>
        <v/>
      </c>
      <c r="G84" s="1030"/>
      <c r="H84" s="1031" t="s">
        <v>514</v>
      </c>
      <c r="J84" s="396"/>
      <c r="K84" s="396"/>
      <c r="L84" s="396"/>
      <c r="M84" s="396"/>
      <c r="N84" s="396"/>
      <c r="O84" s="4"/>
      <c r="P84" s="2"/>
    </row>
    <row r="85" spans="1:16" ht="10.15" customHeight="1" x14ac:dyDescent="0.2">
      <c r="A85" s="400"/>
      <c r="B85" s="1027"/>
      <c r="J85" s="396"/>
      <c r="K85" s="396"/>
      <c r="L85" s="396"/>
      <c r="M85" s="396"/>
      <c r="N85" s="396"/>
      <c r="O85" s="4"/>
      <c r="P85" s="2"/>
    </row>
    <row r="86" spans="1:16" x14ac:dyDescent="0.2">
      <c r="A86" s="400"/>
      <c r="B86" s="850" t="s">
        <v>60</v>
      </c>
      <c r="C86" s="851"/>
      <c r="F86" s="859" t="str">
        <f>IFERROR(B_PH_Gesamtkalkulation!R57,"")</f>
        <v/>
      </c>
      <c r="G86" s="1030"/>
      <c r="H86" s="1031" t="s">
        <v>514</v>
      </c>
      <c r="J86" s="396"/>
      <c r="K86" s="396"/>
      <c r="L86" s="396"/>
      <c r="M86" s="396"/>
      <c r="N86" s="396"/>
      <c r="O86" s="4"/>
      <c r="P86" s="2"/>
    </row>
    <row r="87" spans="1:16" ht="10.15" customHeight="1" x14ac:dyDescent="0.2">
      <c r="A87" s="400"/>
      <c r="J87" s="396"/>
      <c r="K87" s="396"/>
      <c r="L87" s="396"/>
      <c r="M87" s="396"/>
      <c r="N87" s="396"/>
      <c r="O87" s="4"/>
      <c r="P87" s="2"/>
    </row>
    <row r="88" spans="1:16" x14ac:dyDescent="0.2">
      <c r="A88" s="400"/>
      <c r="B88" s="1032" t="s">
        <v>521</v>
      </c>
      <c r="F88" s="859" t="str">
        <f>IFERROR(B_PH_Gesamtkalkulation!X57,"")</f>
        <v/>
      </c>
      <c r="G88" s="1030"/>
      <c r="H88" s="1031" t="s">
        <v>514</v>
      </c>
      <c r="I88" s="1032" t="s">
        <v>521</v>
      </c>
      <c r="J88" s="396"/>
      <c r="K88" s="396"/>
      <c r="L88" s="859" t="str">
        <f>IFERROR(B_PH_Gesamtkalkulation!X61,"")</f>
        <v/>
      </c>
      <c r="M88" s="1030"/>
      <c r="N88" s="1031" t="s">
        <v>514</v>
      </c>
      <c r="O88" s="4"/>
      <c r="P88" s="2"/>
    </row>
    <row r="89" spans="1:16" ht="10.15" customHeight="1" x14ac:dyDescent="0.2">
      <c r="A89" s="400"/>
      <c r="J89" s="396"/>
      <c r="K89" s="396"/>
      <c r="L89" s="396"/>
      <c r="M89" s="396"/>
      <c r="N89" s="396"/>
      <c r="O89" s="4"/>
      <c r="P89" s="2"/>
    </row>
    <row r="90" spans="1:16" x14ac:dyDescent="0.2">
      <c r="A90" s="400"/>
      <c r="B90" s="1032" t="s">
        <v>516</v>
      </c>
      <c r="F90" s="1040" t="s">
        <v>513</v>
      </c>
      <c r="G90" s="1030"/>
      <c r="H90" s="397"/>
      <c r="I90" s="86" t="s">
        <v>538</v>
      </c>
      <c r="J90" s="396"/>
      <c r="K90" s="396"/>
      <c r="L90" s="396"/>
      <c r="M90" s="396"/>
      <c r="N90" s="396"/>
      <c r="O90" s="4"/>
      <c r="P90" s="2"/>
    </row>
    <row r="91" spans="1:16" ht="10.15" customHeight="1" x14ac:dyDescent="0.2">
      <c r="A91" s="400"/>
      <c r="J91" s="396"/>
      <c r="K91" s="396"/>
      <c r="L91" s="396"/>
      <c r="M91" s="396"/>
      <c r="N91" s="396"/>
      <c r="O91" s="4"/>
      <c r="P91" s="2"/>
    </row>
    <row r="92" spans="1:16" x14ac:dyDescent="0.2">
      <c r="A92" s="400"/>
      <c r="B92" s="850" t="s">
        <v>517</v>
      </c>
      <c r="C92" s="851"/>
      <c r="F92" s="859" t="str">
        <f>IFERROR(B_PH_Gesamtkalkulation!T57,"")</f>
        <v/>
      </c>
      <c r="G92" s="1030"/>
      <c r="H92" s="1031" t="s">
        <v>514</v>
      </c>
      <c r="I92" s="850" t="s">
        <v>517</v>
      </c>
      <c r="J92" s="836"/>
      <c r="K92" s="396"/>
      <c r="L92" s="859" t="str">
        <f>IFERROR(B_PH_Gesamtkalkulation!T61,"")</f>
        <v/>
      </c>
      <c r="M92" s="396"/>
      <c r="N92" s="1041" t="s">
        <v>514</v>
      </c>
      <c r="O92" s="4"/>
      <c r="P92" s="2"/>
    </row>
    <row r="93" spans="1:16" ht="10.15" customHeight="1" x14ac:dyDescent="0.2">
      <c r="A93" s="400"/>
      <c r="J93" s="396"/>
      <c r="K93" s="396"/>
      <c r="L93" s="396"/>
      <c r="M93" s="396"/>
      <c r="N93" s="396"/>
      <c r="O93" s="4"/>
      <c r="P93" s="2"/>
    </row>
    <row r="94" spans="1:16" x14ac:dyDescent="0.2">
      <c r="A94" s="400"/>
      <c r="B94" s="850" t="s">
        <v>518</v>
      </c>
      <c r="C94" s="851"/>
      <c r="F94" s="859" t="str">
        <f>IFERROR(B_PH_Gesamtkalkulation!V57,"")</f>
        <v/>
      </c>
      <c r="G94" s="1030"/>
      <c r="H94" s="1031" t="s">
        <v>514</v>
      </c>
      <c r="I94" s="850" t="s">
        <v>518</v>
      </c>
      <c r="J94" s="836"/>
      <c r="K94" s="396"/>
      <c r="L94" s="859" t="str">
        <f>IFERROR(B_PH_Gesamtkalkulation!V61,"")</f>
        <v/>
      </c>
      <c r="M94" s="396"/>
      <c r="N94" s="1041" t="s">
        <v>514</v>
      </c>
      <c r="O94" s="4"/>
      <c r="P94" s="2"/>
    </row>
    <row r="95" spans="1:16" ht="10.15" customHeight="1" x14ac:dyDescent="0.2">
      <c r="A95" s="400"/>
      <c r="J95" s="396"/>
      <c r="K95" s="396"/>
      <c r="L95" s="396"/>
      <c r="M95" s="396"/>
      <c r="N95" s="396"/>
      <c r="O95" s="4"/>
      <c r="P95" s="2"/>
    </row>
    <row r="96" spans="1:16" ht="15" x14ac:dyDescent="0.2">
      <c r="A96" s="400"/>
      <c r="B96" s="1554"/>
      <c r="C96" s="1554"/>
      <c r="D96" s="1554"/>
      <c r="E96" s="1554"/>
      <c r="F96" s="1554"/>
      <c r="G96" s="1554"/>
      <c r="H96" s="1554"/>
      <c r="J96" s="396"/>
      <c r="K96" s="396"/>
      <c r="L96" s="396"/>
      <c r="M96" s="396"/>
      <c r="N96" s="396"/>
      <c r="O96" s="4"/>
      <c r="P96" s="2"/>
    </row>
    <row r="97" spans="1:16" ht="14.25" customHeight="1" x14ac:dyDescent="0.2">
      <c r="A97" s="395"/>
      <c r="B97" s="1045"/>
      <c r="C97" s="239"/>
      <c r="D97" s="239"/>
      <c r="E97" s="239"/>
      <c r="F97" s="239"/>
      <c r="H97" s="1046"/>
      <c r="I97" s="1047"/>
      <c r="J97" s="1047"/>
      <c r="K97" s="1047"/>
      <c r="L97" s="1048"/>
      <c r="M97" s="1048"/>
      <c r="N97" s="1048"/>
      <c r="O97" s="4"/>
      <c r="P97" s="2"/>
    </row>
    <row r="98" spans="1:16" x14ac:dyDescent="0.2">
      <c r="A98" s="395"/>
      <c r="B98" s="1049"/>
      <c r="C98" s="1049"/>
      <c r="D98" s="1050"/>
      <c r="E98" s="1050"/>
      <c r="F98" s="1051"/>
      <c r="G98" s="1051"/>
      <c r="H98" s="1051"/>
      <c r="I98" s="1052"/>
      <c r="J98" s="1052"/>
      <c r="K98" s="1052"/>
      <c r="L98" s="1052"/>
      <c r="M98" s="1052"/>
      <c r="N98" s="1052"/>
      <c r="O98" s="4"/>
      <c r="P98" s="2"/>
    </row>
    <row r="99" spans="1:16" x14ac:dyDescent="0.2">
      <c r="A99" s="395"/>
      <c r="B99" s="1303"/>
      <c r="C99" s="907"/>
      <c r="J99" s="1053"/>
      <c r="K99" s="1053"/>
      <c r="L99" s="1053"/>
      <c r="M99" s="1053"/>
      <c r="N99" s="1053"/>
      <c r="O99" s="4"/>
      <c r="P99" s="2"/>
    </row>
    <row r="100" spans="1:16" x14ac:dyDescent="0.2">
      <c r="A100" s="395"/>
      <c r="B100" s="1054" t="s">
        <v>1194</v>
      </c>
      <c r="C100" s="1027"/>
      <c r="D100" s="1027"/>
      <c r="E100" s="1027"/>
      <c r="F100" s="1045"/>
      <c r="G100" s="1027"/>
      <c r="H100" s="1027"/>
      <c r="J100" s="863" t="s">
        <v>343</v>
      </c>
      <c r="K100" s="863"/>
      <c r="L100" s="863"/>
      <c r="M100" s="863"/>
      <c r="N100" s="401"/>
      <c r="O100" s="4"/>
      <c r="P100" s="2"/>
    </row>
    <row r="101" spans="1:16" ht="15" x14ac:dyDescent="0.25">
      <c r="A101" s="35"/>
      <c r="B101" s="404"/>
      <c r="C101" s="403"/>
      <c r="D101" s="403"/>
      <c r="E101" s="403"/>
      <c r="F101" s="403"/>
      <c r="G101" s="403"/>
      <c r="H101" s="403"/>
      <c r="I101" s="403"/>
      <c r="J101" s="403"/>
      <c r="K101" s="403"/>
      <c r="L101" s="403"/>
      <c r="M101" s="403"/>
      <c r="N101" s="403"/>
      <c r="O101" s="232"/>
      <c r="P101" s="2"/>
    </row>
  </sheetData>
  <sheetProtection algorithmName="SHA-512" hashValue="Ri0oo/66pQkjpMxwQUG7FlGP5eBwbISa7Xzk9QHeMg009BrXCRhHeubnanNB/UmH4b/OXQzANztzSKLWqWpFZg==" saltValue="gx/9xcKUe9GAp1/1x/aNEw==" spinCount="100000" sheet="1" selectLockedCells="1"/>
  <mergeCells count="14">
    <mergeCell ref="A1:O1"/>
    <mergeCell ref="J24:J26"/>
    <mergeCell ref="B96:H96"/>
    <mergeCell ref="C9:D9"/>
    <mergeCell ref="A2:L2"/>
    <mergeCell ref="B5:D5"/>
    <mergeCell ref="B6:D6"/>
    <mergeCell ref="B7:D7"/>
    <mergeCell ref="B8:D8"/>
    <mergeCell ref="B36:D36"/>
    <mergeCell ref="B37:D37"/>
    <mergeCell ref="B38:D38"/>
    <mergeCell ref="B42:D42"/>
    <mergeCell ref="I78:J78"/>
  </mergeCells>
  <pageMargins left="0.70866141732283472" right="0.70866141732283472" top="0.78740157480314965" bottom="0.78740157480314965" header="0.31496062992125984" footer="0.31496062992125984"/>
  <pageSetup paperSize="9" scale="50" orientation="portrait"/>
  <headerFooter>
    <oddHeader>&amp;C&amp;9&amp;A</oddHeader>
    <oddFooter xml:space="preserve">&amp;LVersion: 19.10.2026&amp;CVerhandlungsunterlagen SGB XI (vereinfacht B_PH)&amp;RPSK-Beschluss vom 08.10.2026 </oddFooter>
  </headerFooter>
  <extLst>
    <ext xmlns:x14="http://schemas.microsoft.com/office/spreadsheetml/2009/9/main" uri="{78C0D931-6437-407d-A8EE-F0AAD7539E65}">
      <x14:conditionalFormattings>
        <x14:conditionalFormatting xmlns:xm="http://schemas.microsoft.com/office/excel/2006/main">
          <x14:cfRule type="expression" priority="15" id="{EE78BD91-132F-4BAF-B0C3-98A8D2E976D6}">
            <xm:f>'B_PH_Berechnung rüE'!$O$11=1</xm:f>
            <x14:dxf>
              <font>
                <color theme="0" tint="-4.9989318521683403E-2"/>
              </font>
              <fill>
                <patternFill>
                  <bgColor theme="0" tint="-0.14996795556505021"/>
                </patternFill>
              </fill>
            </x14:dxf>
          </x14:cfRule>
          <xm:sqref>B98:K98 B99:H99 J99:L99</xm:sqref>
        </x14:conditionalFormatting>
        <x14:conditionalFormatting xmlns:xm="http://schemas.microsoft.com/office/excel/2006/main">
          <x14:cfRule type="expression" priority="18" id="{0C12F5F8-799F-4E8C-A8D5-CC99B22DC256}">
            <xm:f>'B_PH_Allgemeine Angaben'!$M$48=0</xm:f>
            <x14:dxf>
              <font>
                <color theme="0"/>
              </font>
              <fill>
                <patternFill>
                  <bgColor theme="0"/>
                </patternFill>
              </fill>
              <border>
                <left/>
                <right/>
                <top/>
                <bottom/>
                <vertical/>
                <horizontal/>
              </border>
            </x14:dxf>
          </x14:cfRule>
          <xm:sqref>F9:H9 J9</xm:sqref>
        </x14:conditionalFormatting>
        <x14:conditionalFormatting xmlns:xm="http://schemas.microsoft.com/office/excel/2006/main">
          <x14:cfRule type="expression" priority="128" id="{124BC53A-D6F6-481D-80A0-02E8A2BB8F3A}">
            <xm:f>KAT!$J$8=3</xm:f>
            <x14:dxf>
              <font>
                <color theme="0"/>
              </font>
              <fill>
                <patternFill patternType="none">
                  <bgColor auto="1"/>
                </patternFill>
              </fill>
              <border>
                <left/>
                <right/>
                <top/>
                <bottom/>
                <vertical/>
                <horizontal/>
              </border>
            </x14:dxf>
          </x14:cfRule>
          <xm:sqref>H24:H53 I31:I33 I40:I53 I76:L76 I78:J78 L78 N78 I88:L88 N88 I90:K90 I92:J92 L92 N92 I94:J94 L94 N94</xm:sqref>
        </x14:conditionalFormatting>
        <x14:conditionalFormatting xmlns:xm="http://schemas.microsoft.com/office/excel/2006/main">
          <x14:cfRule type="expression" priority="2" id="{2B153C64-F357-48E1-ABEF-79C533A7DBAB}">
            <xm:f>KAT!$A$126="ja"</xm:f>
            <x14:dxf>
              <fill>
                <patternFill>
                  <bgColor rgb="FFCCECFF"/>
                </patternFill>
              </fill>
            </x14:dxf>
          </x14:cfRule>
          <xm:sqref>H13:I22 H24:I26 H31:I33 H36:I53 I76:K76 I78:J78 L78 N78 I88:L88 N88 I90:K90 I92:J92 L92 N92 I94:J94 L94 N94</xm:sqref>
        </x14:conditionalFormatting>
        <x14:conditionalFormatting xmlns:xm="http://schemas.microsoft.com/office/excel/2006/main">
          <x14:cfRule type="expression" priority="131" id="{E79F78F6-DE21-4AC2-BD1B-7CB20E0E12BA}">
            <xm:f>OR(KAT!$J$8=3,KAT!$J$8=1)</xm:f>
            <x14:dxf>
              <font>
                <color theme="0"/>
              </font>
              <fill>
                <patternFill patternType="none">
                  <bgColor auto="1"/>
                </patternFill>
              </fill>
              <border>
                <left/>
                <right/>
                <top/>
                <bottom/>
                <vertical/>
                <horizontal/>
              </border>
            </x14:dxf>
          </x14:cfRule>
          <xm:sqref>H13:I22</xm:sqref>
        </x14:conditionalFormatting>
        <x14:conditionalFormatting xmlns:xm="http://schemas.microsoft.com/office/excel/2006/main">
          <x14:cfRule type="expression" priority="132" id="{BCB6C23A-90F6-4201-A4BE-436AD7CD8F6F}">
            <xm:f>KAT!$J$8=3</xm:f>
            <x14:dxf>
              <font>
                <color theme="0"/>
              </font>
              <border>
                <left/>
                <top/>
                <bottom/>
                <vertical/>
                <horizontal/>
              </border>
            </x14:dxf>
          </x14:cfRule>
          <xm:sqref>I24:I26 I36:I38</xm:sqref>
        </x14:conditionalFormatting>
        <x14:conditionalFormatting xmlns:xm="http://schemas.microsoft.com/office/excel/2006/main">
          <x14:cfRule type="expression" priority="1" id="{E46681C3-B4BF-465E-A8AD-B1F74A39020F}">
            <xm:f>KAT!$A$126="nein"</xm:f>
            <x14:dxf>
              <fill>
                <patternFill patternType="none">
                  <bgColor auto="1"/>
                </patternFill>
              </fill>
            </x14:dxf>
          </x14:cfRule>
          <xm:sqref>K31:K33 K36:K38 J42 J44 J46 J48 J50 K53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A9E7C6DD-59ED-40AC-9D77-DCFC8C3D7DF2}">
          <x14:formula1>
            <xm:f>KAT!$H$2:$H$4</xm:f>
          </x14:formula1>
          <xm:sqref>B99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AQ67"/>
  <sheetViews>
    <sheetView showGridLines="0" zoomScaleNormal="100" workbookViewId="0">
      <selection activeCell="A5" sqref="A5"/>
    </sheetView>
  </sheetViews>
  <sheetFormatPr baseColWidth="10" defaultColWidth="11" defaultRowHeight="14.25" x14ac:dyDescent="0.2"/>
  <cols>
    <col min="1" max="1" width="2.125" style="3" customWidth="1"/>
    <col min="2" max="2" width="5.625" style="3" customWidth="1"/>
    <col min="3" max="3" width="39.75" style="3" customWidth="1"/>
    <col min="4" max="6" width="17.25" style="3" customWidth="1"/>
    <col min="7" max="7" width="13.625" style="3" hidden="1" customWidth="1"/>
    <col min="8" max="8" width="11.625" style="3" hidden="1" customWidth="1"/>
    <col min="9" max="9" width="12.625" style="3" hidden="1" customWidth="1"/>
    <col min="10" max="10" width="13.625" style="3" customWidth="1"/>
    <col min="11" max="11" width="12.625" style="11" hidden="1" customWidth="1"/>
    <col min="12" max="12" width="13.625" style="3" customWidth="1"/>
    <col min="13" max="13" width="12.625" style="11" hidden="1" customWidth="1"/>
    <col min="14" max="14" width="13.625" style="3" customWidth="1"/>
    <col min="15" max="15" width="12.625" style="3" hidden="1" customWidth="1"/>
    <col min="16" max="16" width="13.625" style="3" customWidth="1"/>
    <col min="17" max="17" width="12.625" style="3" hidden="1" customWidth="1"/>
    <col min="18" max="18" width="13.625" style="3" customWidth="1"/>
    <col min="19" max="19" width="12.625" style="11" hidden="1" customWidth="1"/>
    <col min="20" max="20" width="13.625" style="3" customWidth="1"/>
    <col min="21" max="21" width="12.625" style="3" hidden="1" customWidth="1"/>
    <col min="22" max="22" width="13.625" style="3" customWidth="1"/>
    <col min="23" max="23" width="12.625" style="3" hidden="1" customWidth="1"/>
    <col min="24" max="24" width="13.625" style="3" customWidth="1"/>
    <col min="25" max="25" width="2.125" style="3" customWidth="1"/>
    <col min="26" max="44" width="11" style="3" customWidth="1"/>
    <col min="45" max="16384" width="11" style="3"/>
  </cols>
  <sheetData>
    <row r="1" spans="1:29" ht="30.75" customHeight="1" x14ac:dyDescent="0.25">
      <c r="A1" s="1566" t="str">
        <f>'B_PH_Allgemeine Angaben'!A1:N1</f>
        <v>Vereinfachtes Verfahren der Aufforderung zum Abschluss einer Pflegesatzvereinbarung gemäß § 84, 85 SGB XI - Vollstationäre Pflegeeinrichtungen
und für Kurzzeitpflegeeinrichtungen im Sinne § 1 Abs. 7 dieses Rahmenvertrages</v>
      </c>
      <c r="B1" s="1567"/>
      <c r="C1" s="1567"/>
      <c r="D1" s="1567"/>
      <c r="E1" s="1567"/>
      <c r="F1" s="1567"/>
      <c r="G1" s="1567"/>
      <c r="H1" s="1567"/>
      <c r="I1" s="1567"/>
      <c r="J1" s="1567"/>
      <c r="K1" s="1568"/>
      <c r="L1" s="1568"/>
      <c r="M1" s="1568"/>
      <c r="N1" s="1568"/>
      <c r="O1" s="1568"/>
      <c r="P1" s="1568"/>
      <c r="Q1" s="1568"/>
      <c r="R1" s="1568"/>
      <c r="S1" s="1568"/>
      <c r="T1" s="1568"/>
      <c r="U1" s="1568"/>
      <c r="V1" s="1568"/>
      <c r="W1" s="1568"/>
      <c r="X1" s="1568"/>
      <c r="Y1" s="1569"/>
      <c r="Z1" s="253"/>
      <c r="AA1" s="254"/>
      <c r="AB1" s="255"/>
      <c r="AC1" s="256"/>
    </row>
    <row r="2" spans="1:29" ht="15" customHeight="1" x14ac:dyDescent="0.25">
      <c r="A2" s="1424" t="s">
        <v>62</v>
      </c>
      <c r="B2" s="1425"/>
      <c r="C2" s="1425"/>
      <c r="D2" s="1425"/>
      <c r="E2" s="1425"/>
      <c r="F2" s="1425"/>
      <c r="G2" s="1425"/>
      <c r="H2" s="1425"/>
      <c r="I2" s="1425"/>
      <c r="J2" s="1425"/>
      <c r="K2" s="1570"/>
      <c r="L2" s="1570"/>
      <c r="M2" s="1570"/>
      <c r="N2" s="1570"/>
      <c r="O2" s="1570"/>
      <c r="P2" s="1570"/>
      <c r="Q2" s="1570"/>
      <c r="R2" s="1570"/>
      <c r="S2" s="1570"/>
      <c r="T2" s="1570"/>
      <c r="U2" s="1570"/>
      <c r="V2" s="1570"/>
      <c r="W2" s="1570"/>
      <c r="X2" s="1570"/>
      <c r="Y2" s="1571"/>
      <c r="Z2" s="257"/>
    </row>
    <row r="3" spans="1:29" ht="15" customHeight="1" x14ac:dyDescent="0.2">
      <c r="A3" s="1572" t="str">
        <f>'B_PH_Allgemeine Angaben'!A3</f>
        <v/>
      </c>
      <c r="B3" s="1573"/>
      <c r="C3" s="1573"/>
      <c r="D3" s="1573"/>
      <c r="E3" s="1573"/>
      <c r="F3" s="1573"/>
      <c r="G3" s="1573"/>
      <c r="H3" s="1573"/>
      <c r="I3" s="1573"/>
      <c r="J3" s="1573"/>
      <c r="K3" s="1570"/>
      <c r="L3" s="1570"/>
      <c r="M3" s="1570"/>
      <c r="N3" s="1570"/>
      <c r="O3" s="1570"/>
      <c r="P3" s="1570"/>
      <c r="Q3" s="1570"/>
      <c r="R3" s="1570"/>
      <c r="S3" s="1570"/>
      <c r="T3" s="1570"/>
      <c r="U3" s="1570"/>
      <c r="V3" s="1570"/>
      <c r="W3" s="1570"/>
      <c r="X3" s="1570"/>
      <c r="Y3" s="1571"/>
      <c r="Z3" s="258"/>
    </row>
    <row r="4" spans="1:29" ht="15" customHeight="1" x14ac:dyDescent="0.2">
      <c r="A4" s="1574" t="str">
        <f>'B_PH_Allgemeine Angaben'!A4</f>
        <v/>
      </c>
      <c r="B4" s="1575"/>
      <c r="C4" s="1575"/>
      <c r="D4" s="1575"/>
      <c r="E4" s="1575"/>
      <c r="F4" s="1575"/>
      <c r="G4" s="1575"/>
      <c r="H4" s="1575"/>
      <c r="I4" s="1575"/>
      <c r="J4" s="1575"/>
      <c r="K4" s="1576"/>
      <c r="L4" s="1576"/>
      <c r="M4" s="1576"/>
      <c r="N4" s="1576"/>
      <c r="O4" s="1576"/>
      <c r="P4" s="1576"/>
      <c r="Q4" s="1576"/>
      <c r="R4" s="1576"/>
      <c r="S4" s="1576"/>
      <c r="T4" s="1576"/>
      <c r="U4" s="1576"/>
      <c r="V4" s="1576"/>
      <c r="W4" s="1576"/>
      <c r="X4" s="1576"/>
      <c r="Y4" s="1577"/>
      <c r="Z4" s="259"/>
    </row>
    <row r="5" spans="1:29" ht="14.25" customHeight="1" x14ac:dyDescent="0.2">
      <c r="A5" s="1009"/>
      <c r="B5" s="260"/>
      <c r="C5" s="261"/>
      <c r="D5" s="261"/>
      <c r="E5" s="261"/>
      <c r="F5" s="261"/>
      <c r="G5" s="262" t="s">
        <v>63</v>
      </c>
      <c r="H5" s="262"/>
      <c r="I5" s="263"/>
      <c r="K5" s="40"/>
      <c r="L5" s="264" t="s">
        <v>110</v>
      </c>
      <c r="M5" s="40"/>
      <c r="N5" s="264" t="s">
        <v>111</v>
      </c>
      <c r="O5" s="263"/>
      <c r="P5" s="264" t="s">
        <v>123</v>
      </c>
      <c r="Q5" s="263"/>
      <c r="R5" s="264" t="s">
        <v>66</v>
      </c>
      <c r="S5" s="40"/>
      <c r="U5" s="263"/>
      <c r="W5" s="263"/>
      <c r="Y5" s="4"/>
      <c r="Z5" s="258"/>
    </row>
    <row r="6" spans="1:29" x14ac:dyDescent="0.2">
      <c r="A6" s="2"/>
      <c r="C6" s="265" t="s">
        <v>64</v>
      </c>
      <c r="D6" s="266" t="str">
        <f>IF('B_PH_Allgemeine Angaben'!L47&gt;0,'B_PH_Allgemeine Angaben'!L47,"")</f>
        <v/>
      </c>
      <c r="E6" s="265"/>
      <c r="F6" s="265"/>
      <c r="G6" s="40" t="s">
        <v>65</v>
      </c>
      <c r="H6" s="40"/>
      <c r="I6" s="263"/>
      <c r="K6" s="40"/>
      <c r="L6" s="267">
        <f>IF(B_PH_Kalkulation!I7&gt;0,B_PH_Kalkulation!I7,"")</f>
        <v>365</v>
      </c>
      <c r="M6" s="40"/>
      <c r="N6" s="268" t="str">
        <f>IF(B_PH_Kalkulation!D7&gt;0,B_PH_Kalkulation!D7,"")</f>
        <v/>
      </c>
      <c r="O6" s="41"/>
      <c r="P6" s="269" t="str">
        <f>IFERROR(N6*L6*'B_PH_Allgemeine Angaben'!L47/100,"")</f>
        <v/>
      </c>
      <c r="Q6" s="263"/>
      <c r="R6" s="269">
        <f>IFERROR(ROUND(L6/12,2),"")</f>
        <v>30.42</v>
      </c>
      <c r="S6" s="270"/>
      <c r="U6" s="263"/>
      <c r="V6" s="37"/>
      <c r="W6" s="271"/>
      <c r="X6" s="37"/>
      <c r="Y6" s="4"/>
    </row>
    <row r="7" spans="1:29" ht="3" customHeight="1" x14ac:dyDescent="0.2">
      <c r="A7" s="2"/>
      <c r="C7" s="265"/>
      <c r="D7" s="265"/>
      <c r="E7" s="265"/>
      <c r="F7" s="265"/>
      <c r="G7" s="272"/>
      <c r="H7" s="272"/>
      <c r="I7" s="263"/>
      <c r="K7" s="273"/>
      <c r="L7" s="265"/>
      <c r="M7" s="273"/>
      <c r="N7" s="265"/>
      <c r="O7" s="273"/>
      <c r="P7" s="265"/>
      <c r="Q7" s="263"/>
      <c r="S7" s="273"/>
      <c r="T7" s="265"/>
      <c r="U7" s="273"/>
      <c r="V7" s="37"/>
      <c r="W7" s="271"/>
      <c r="X7" s="37"/>
      <c r="Y7" s="4"/>
    </row>
    <row r="8" spans="1:29" x14ac:dyDescent="0.2">
      <c r="A8" s="2"/>
      <c r="C8" s="37"/>
      <c r="D8" s="265"/>
      <c r="E8" s="265"/>
      <c r="F8" s="265"/>
      <c r="G8" s="40" t="s">
        <v>67</v>
      </c>
      <c r="H8" s="40"/>
      <c r="I8" s="263"/>
      <c r="K8" s="273"/>
      <c r="L8" s="274" t="s">
        <v>124</v>
      </c>
      <c r="M8" s="40"/>
      <c r="N8" s="268">
        <v>100</v>
      </c>
      <c r="O8" s="272"/>
      <c r="P8" s="269">
        <f>IFERROR(B_PH_Kalkulation!L13*L6*N8/100,"")</f>
        <v>0</v>
      </c>
      <c r="Q8" s="263"/>
      <c r="S8" s="270"/>
      <c r="U8" s="263"/>
      <c r="V8" s="37"/>
      <c r="W8" s="271"/>
      <c r="X8" s="37"/>
      <c r="Y8" s="4"/>
      <c r="Z8" s="275"/>
    </row>
    <row r="9" spans="1:29" ht="9.9499999999999993" customHeight="1" x14ac:dyDescent="0.2">
      <c r="A9" s="2"/>
      <c r="C9" s="37"/>
      <c r="D9" s="265"/>
      <c r="E9" s="265"/>
      <c r="F9" s="265"/>
      <c r="G9" s="263"/>
      <c r="H9" s="263"/>
      <c r="I9" s="263"/>
      <c r="K9" s="273"/>
      <c r="L9" s="265"/>
      <c r="M9" s="265"/>
      <c r="N9" s="265"/>
      <c r="O9" s="41"/>
      <c r="P9" s="17"/>
      <c r="Q9" s="263"/>
      <c r="S9" s="41"/>
      <c r="T9" s="17"/>
      <c r="U9" s="263"/>
      <c r="V9" s="37"/>
      <c r="W9" s="271"/>
      <c r="X9" s="37"/>
      <c r="Y9" s="4"/>
      <c r="Z9" s="275"/>
    </row>
    <row r="10" spans="1:29" x14ac:dyDescent="0.2">
      <c r="A10" s="2"/>
      <c r="C10" s="274"/>
      <c r="D10" s="11" t="s">
        <v>27</v>
      </c>
      <c r="E10" s="11"/>
      <c r="F10" s="11"/>
      <c r="G10" s="276">
        <f>SUM(J10:R10)</f>
        <v>0</v>
      </c>
      <c r="H10" s="276" t="s">
        <v>174</v>
      </c>
      <c r="I10" s="263"/>
      <c r="J10" s="277">
        <f>B_PH_Kalkulation!H15</f>
        <v>0</v>
      </c>
      <c r="K10" s="278"/>
      <c r="L10" s="277">
        <f>B_PH_Kalkulation!I15</f>
        <v>0</v>
      </c>
      <c r="M10" s="278"/>
      <c r="N10" s="277">
        <f>B_PH_Kalkulation!J15</f>
        <v>0</v>
      </c>
      <c r="O10" s="279"/>
      <c r="P10" s="277">
        <f>B_PH_Kalkulation!K15</f>
        <v>0</v>
      </c>
      <c r="Q10" s="279"/>
      <c r="R10" s="277">
        <f>B_PH_Kalkulation!L15</f>
        <v>0</v>
      </c>
      <c r="S10" s="40"/>
      <c r="U10" s="263"/>
      <c r="V10" s="37"/>
      <c r="W10" s="271"/>
      <c r="X10" s="37"/>
      <c r="Y10" s="4"/>
      <c r="Z10" s="275"/>
    </row>
    <row r="11" spans="1:29" x14ac:dyDescent="0.2">
      <c r="A11" s="2"/>
      <c r="C11" s="274"/>
      <c r="D11" s="11" t="s">
        <v>49</v>
      </c>
      <c r="E11" s="11"/>
      <c r="F11" s="11"/>
      <c r="G11" s="280">
        <f>SUM(J11:R11)</f>
        <v>0</v>
      </c>
      <c r="H11" s="281" t="e">
        <f>L11+N11+P11+R11</f>
        <v>#VALUE!</v>
      </c>
      <c r="I11" s="263"/>
      <c r="J11" s="282" t="str">
        <f>IFERROR(J10*$L$6*$N$6/100,"")</f>
        <v/>
      </c>
      <c r="K11" s="40"/>
      <c r="L11" s="282" t="str">
        <f>IFERROR(L10*$L$6*$N$6/100,"")</f>
        <v/>
      </c>
      <c r="M11" s="40"/>
      <c r="N11" s="282" t="str">
        <f>IFERROR(N10*$L$6*$N$6/100,"")</f>
        <v/>
      </c>
      <c r="O11" s="263"/>
      <c r="P11" s="282" t="str">
        <f>IFERROR(P10*$L$6*$N$6/100,"")</f>
        <v/>
      </c>
      <c r="Q11" s="263"/>
      <c r="R11" s="282" t="str">
        <f>IFERROR(R10*$L$6*$N$6/100,"")</f>
        <v/>
      </c>
      <c r="S11" s="40"/>
      <c r="U11" s="263"/>
      <c r="W11" s="263"/>
      <c r="Y11" s="4"/>
    </row>
    <row r="12" spans="1:29" x14ac:dyDescent="0.2">
      <c r="A12" s="2"/>
      <c r="C12" s="274"/>
      <c r="D12" s="17" t="s">
        <v>68</v>
      </c>
      <c r="E12" s="17"/>
      <c r="F12" s="17"/>
      <c r="G12" s="281"/>
      <c r="H12" s="281"/>
      <c r="I12" s="263"/>
      <c r="J12" s="283"/>
      <c r="K12" s="40"/>
      <c r="L12" s="284">
        <v>805</v>
      </c>
      <c r="M12" s="40"/>
      <c r="N12" s="284">
        <v>1319</v>
      </c>
      <c r="O12" s="263"/>
      <c r="P12" s="284">
        <v>1855</v>
      </c>
      <c r="Q12" s="263"/>
      <c r="R12" s="284">
        <v>2096</v>
      </c>
      <c r="S12" s="40"/>
      <c r="U12" s="263"/>
      <c r="W12" s="263"/>
      <c r="Y12" s="4"/>
      <c r="Z12" s="259"/>
    </row>
    <row r="13" spans="1:29" ht="9.9499999999999993" customHeight="1" x14ac:dyDescent="0.2">
      <c r="A13" s="2"/>
      <c r="G13" s="263"/>
      <c r="H13" s="285"/>
      <c r="I13" s="286"/>
      <c r="K13" s="286"/>
      <c r="M13" s="286"/>
      <c r="O13" s="286"/>
      <c r="Q13" s="263"/>
      <c r="S13" s="40"/>
      <c r="U13" s="263"/>
      <c r="W13" s="263"/>
      <c r="Y13" s="4"/>
      <c r="Z13" s="259"/>
    </row>
    <row r="14" spans="1:29" ht="39.950000000000003" customHeight="1" x14ac:dyDescent="0.2">
      <c r="A14" s="2"/>
      <c r="C14" s="239"/>
      <c r="D14" s="287"/>
      <c r="E14" s="287"/>
      <c r="F14" s="287"/>
      <c r="G14" s="288"/>
      <c r="H14" s="288"/>
      <c r="I14" s="289" t="s">
        <v>69</v>
      </c>
      <c r="J14" s="290" t="s">
        <v>132</v>
      </c>
      <c r="K14" s="289" t="s">
        <v>70</v>
      </c>
      <c r="L14" s="291" t="s">
        <v>133</v>
      </c>
      <c r="M14" s="289" t="s">
        <v>71</v>
      </c>
      <c r="N14" s="291" t="s">
        <v>134</v>
      </c>
      <c r="O14" s="289" t="s">
        <v>72</v>
      </c>
      <c r="P14" s="291" t="s">
        <v>135</v>
      </c>
      <c r="Q14" s="289" t="s">
        <v>73</v>
      </c>
      <c r="R14" s="291" t="s">
        <v>136</v>
      </c>
      <c r="S14" s="289" t="s">
        <v>74</v>
      </c>
      <c r="T14" s="291" t="s">
        <v>137</v>
      </c>
      <c r="U14" s="289" t="s">
        <v>75</v>
      </c>
      <c r="V14" s="290" t="s">
        <v>138</v>
      </c>
      <c r="W14" s="289" t="s">
        <v>125</v>
      </c>
      <c r="X14" s="290" t="s">
        <v>139</v>
      </c>
      <c r="Y14" s="4"/>
      <c r="Z14" s="259"/>
    </row>
    <row r="15" spans="1:29" x14ac:dyDescent="0.2">
      <c r="A15" s="2"/>
      <c r="B15" s="292"/>
      <c r="C15" s="292"/>
      <c r="D15" s="293" t="s">
        <v>76</v>
      </c>
      <c r="E15" s="779" t="s">
        <v>455</v>
      </c>
      <c r="F15" s="781" t="s">
        <v>456</v>
      </c>
      <c r="G15" s="294" t="s">
        <v>77</v>
      </c>
      <c r="H15" s="294" t="s">
        <v>122</v>
      </c>
      <c r="I15" s="295" t="s">
        <v>78</v>
      </c>
      <c r="J15" s="480" t="s">
        <v>342</v>
      </c>
      <c r="K15" s="297" t="s">
        <v>78</v>
      </c>
      <c r="L15" s="482" t="s">
        <v>342</v>
      </c>
      <c r="M15" s="295" t="s">
        <v>78</v>
      </c>
      <c r="N15" s="296" t="s">
        <v>342</v>
      </c>
      <c r="O15" s="295" t="s">
        <v>78</v>
      </c>
      <c r="P15" s="296" t="s">
        <v>342</v>
      </c>
      <c r="Q15" s="295" t="s">
        <v>78</v>
      </c>
      <c r="R15" s="296" t="s">
        <v>342</v>
      </c>
      <c r="S15" s="295" t="s">
        <v>78</v>
      </c>
      <c r="T15" s="296" t="s">
        <v>342</v>
      </c>
      <c r="U15" s="295" t="s">
        <v>78</v>
      </c>
      <c r="V15" s="296" t="s">
        <v>342</v>
      </c>
      <c r="W15" s="295" t="s">
        <v>78</v>
      </c>
      <c r="X15" s="296" t="s">
        <v>342</v>
      </c>
      <c r="Y15" s="4"/>
      <c r="Z15" s="275"/>
    </row>
    <row r="16" spans="1:29" x14ac:dyDescent="0.2">
      <c r="A16" s="2"/>
      <c r="B16" s="298" t="s">
        <v>79</v>
      </c>
      <c r="C16" s="298" t="s">
        <v>246</v>
      </c>
      <c r="D16" s="299" t="str">
        <f>IF(SUM(D17:D28)=0,"",SUM(D17:D28))</f>
        <v/>
      </c>
      <c r="E16" s="777" t="e">
        <f>D16/'B_PH_Allgemeine Angaben'!$L$47*('B_PH_Allgemeine Angaben'!$L$47-'B_PH_Allgemeine Angaben'!$L$48)</f>
        <v>#VALUE!</v>
      </c>
      <c r="F16" s="782" t="e">
        <f>D16/'B_PH_Allgemeine Angaben'!$L$47*'B_PH_Allgemeine Angaben'!$L$48</f>
        <v>#VALUE!</v>
      </c>
      <c r="G16" s="300" t="e">
        <f>I16+K16+M16+O16+Q16+S16</f>
        <v>#VALUE!</v>
      </c>
      <c r="H16" s="301"/>
      <c r="I16" s="302" t="e">
        <f t="shared" ref="I16:R16" si="0">SUM(I17:I28)</f>
        <v>#VALUE!</v>
      </c>
      <c r="J16" s="303" t="e">
        <f t="shared" si="0"/>
        <v>#VALUE!</v>
      </c>
      <c r="K16" s="304" t="e">
        <f t="shared" si="0"/>
        <v>#VALUE!</v>
      </c>
      <c r="L16" s="303" t="e">
        <f t="shared" si="0"/>
        <v>#VALUE!</v>
      </c>
      <c r="M16" s="305" t="e">
        <f t="shared" si="0"/>
        <v>#VALUE!</v>
      </c>
      <c r="N16" s="306" t="e">
        <f t="shared" si="0"/>
        <v>#VALUE!</v>
      </c>
      <c r="O16" s="305" t="e">
        <f t="shared" si="0"/>
        <v>#VALUE!</v>
      </c>
      <c r="P16" s="306" t="e">
        <f t="shared" si="0"/>
        <v>#VALUE!</v>
      </c>
      <c r="Q16" s="305" t="e">
        <f t="shared" si="0"/>
        <v>#VALUE!</v>
      </c>
      <c r="R16" s="306" t="e">
        <f t="shared" si="0"/>
        <v>#VALUE!</v>
      </c>
      <c r="S16" s="305">
        <f>SUM(S24:S28)</f>
        <v>0</v>
      </c>
      <c r="T16" s="306" t="e">
        <f>SUM(T24:T28)</f>
        <v>#VALUE!</v>
      </c>
      <c r="U16" s="307"/>
      <c r="V16" s="308"/>
      <c r="W16" s="307"/>
      <c r="X16" s="308"/>
      <c r="Y16" s="4"/>
    </row>
    <row r="17" spans="1:26" x14ac:dyDescent="0.2">
      <c r="A17" s="2"/>
      <c r="B17" s="605" t="s">
        <v>401</v>
      </c>
      <c r="C17" s="310" t="s">
        <v>433</v>
      </c>
      <c r="D17" s="311">
        <f>B_PH_Kalkulation!L21*B_PH_Kalkulation!J21</f>
        <v>0</v>
      </c>
      <c r="E17" s="778" t="e">
        <f>D17/'B_PH_Allgemeine Angaben'!$L$47*('B_PH_Allgemeine Angaben'!$L$47-'B_PH_Allgemeine Angaben'!$L$48)</f>
        <v>#DIV/0!</v>
      </c>
      <c r="F17" s="783" t="e">
        <f>D17/'B_PH_Allgemeine Angaben'!$L$47*'B_PH_Allgemeine Angaben'!$L$48</f>
        <v>#DIV/0!</v>
      </c>
      <c r="G17" s="300" t="e">
        <f>I17+K17+M17+O17+Q17</f>
        <v>#VALUE!</v>
      </c>
      <c r="H17" s="301">
        <v>1</v>
      </c>
      <c r="I17" s="312" t="e">
        <f>D17*H17/$P$6*$J$11</f>
        <v>#VALUE!</v>
      </c>
      <c r="J17" s="313" t="e">
        <f>I17/$J$11</f>
        <v>#VALUE!</v>
      </c>
      <c r="K17" s="324" t="e">
        <f>$D17*$H17/$P$6*L$11</f>
        <v>#VALUE!</v>
      </c>
      <c r="L17" s="313" t="e">
        <f>K17/$L$11</f>
        <v>#VALUE!</v>
      </c>
      <c r="M17" s="324" t="e">
        <f>$D17*$H17/$P$6*N$11</f>
        <v>#VALUE!</v>
      </c>
      <c r="N17" s="313" t="e">
        <f t="shared" ref="N17:N28" si="1">M17/$N$11</f>
        <v>#VALUE!</v>
      </c>
      <c r="O17" s="324" t="e">
        <f>$D17*$H17/$P$6*P$11</f>
        <v>#VALUE!</v>
      </c>
      <c r="P17" s="313" t="e">
        <f t="shared" ref="P17:P28" si="2">O17/$P$11</f>
        <v>#VALUE!</v>
      </c>
      <c r="Q17" s="324" t="e">
        <f>$D17*$H17/$P$6*R$11</f>
        <v>#VALUE!</v>
      </c>
      <c r="R17" s="313" t="e">
        <f t="shared" ref="R17:R28" si="3">Q17/$R$11</f>
        <v>#VALUE!</v>
      </c>
      <c r="S17" s="314"/>
      <c r="T17" s="315"/>
      <c r="U17" s="307"/>
      <c r="V17" s="308"/>
      <c r="W17" s="307"/>
      <c r="X17" s="308"/>
      <c r="Y17" s="4"/>
      <c r="Z17" s="238"/>
    </row>
    <row r="18" spans="1:26" x14ac:dyDescent="0.2">
      <c r="A18" s="2"/>
      <c r="B18" s="605" t="s">
        <v>402</v>
      </c>
      <c r="C18" s="310" t="s">
        <v>423</v>
      </c>
      <c r="D18" s="311">
        <f>B_PH_Kalkulation!L22*B_PH_Kalkulation!J22</f>
        <v>0</v>
      </c>
      <c r="E18" s="778" t="e">
        <f>D18/'B_PH_Allgemeine Angaben'!$L$47*('B_PH_Allgemeine Angaben'!$L$47-'B_PH_Allgemeine Angaben'!$L$48)</f>
        <v>#DIV/0!</v>
      </c>
      <c r="F18" s="783" t="e">
        <f>D18/'B_PH_Allgemeine Angaben'!$L$47*'B_PH_Allgemeine Angaben'!$L$48</f>
        <v>#DIV/0!</v>
      </c>
      <c r="G18" s="300" t="e">
        <f t="shared" ref="G18:G23" si="4">I18+K18+M18+O18+Q18</f>
        <v>#VALUE!</v>
      </c>
      <c r="H18" s="301">
        <v>1</v>
      </c>
      <c r="I18" s="312" t="e">
        <f t="shared" ref="I18:I23" si="5">D18*H18/$P$6*$J$11</f>
        <v>#VALUE!</v>
      </c>
      <c r="J18" s="313" t="e">
        <f t="shared" ref="J18:J22" si="6">I18/$J$11</f>
        <v>#VALUE!</v>
      </c>
      <c r="K18" s="324" t="e">
        <f>$D18*$H18/$P$6*L$11</f>
        <v>#VALUE!</v>
      </c>
      <c r="L18" s="313" t="e">
        <f t="shared" ref="L18:L22" si="7">K18/$L$11</f>
        <v>#VALUE!</v>
      </c>
      <c r="M18" s="324" t="e">
        <f>$D18*$H18/$P$6*N$11</f>
        <v>#VALUE!</v>
      </c>
      <c r="N18" s="313" t="e">
        <f t="shared" si="1"/>
        <v>#VALUE!</v>
      </c>
      <c r="O18" s="324" t="e">
        <f t="shared" ref="O18" si="8">$D18*$H18/$P$6*P$11</f>
        <v>#VALUE!</v>
      </c>
      <c r="P18" s="313" t="e">
        <f t="shared" si="2"/>
        <v>#VALUE!</v>
      </c>
      <c r="Q18" s="324" t="e">
        <f t="shared" ref="Q18" si="9">$D18*$H18/$P$6*R$11</f>
        <v>#VALUE!</v>
      </c>
      <c r="R18" s="313" t="e">
        <f t="shared" si="3"/>
        <v>#VALUE!</v>
      </c>
      <c r="S18" s="316"/>
      <c r="T18" s="308"/>
      <c r="U18" s="307"/>
      <c r="V18" s="308"/>
      <c r="W18" s="307"/>
      <c r="X18" s="308"/>
      <c r="Y18" s="4"/>
      <c r="Z18" s="238"/>
    </row>
    <row r="19" spans="1:26" x14ac:dyDescent="0.2">
      <c r="A19" s="2"/>
      <c r="B19" s="605" t="s">
        <v>403</v>
      </c>
      <c r="C19" s="310" t="s">
        <v>424</v>
      </c>
      <c r="D19" s="311">
        <f>B_PH_Kalkulation!L23*B_PH_Kalkulation!J23</f>
        <v>0</v>
      </c>
      <c r="E19" s="778" t="e">
        <f>D19/'B_PH_Allgemeine Angaben'!$L$47*('B_PH_Allgemeine Angaben'!$L$47-'B_PH_Allgemeine Angaben'!$L$48)</f>
        <v>#DIV/0!</v>
      </c>
      <c r="F19" s="783" t="e">
        <f>D19/'B_PH_Allgemeine Angaben'!$L$47*'B_PH_Allgemeine Angaben'!$L$48</f>
        <v>#DIV/0!</v>
      </c>
      <c r="G19" s="300" t="e">
        <f t="shared" si="4"/>
        <v>#VALUE!</v>
      </c>
      <c r="H19" s="301">
        <v>1</v>
      </c>
      <c r="I19" s="312" t="e">
        <f t="shared" si="5"/>
        <v>#VALUE!</v>
      </c>
      <c r="J19" s="313" t="e">
        <f t="shared" si="6"/>
        <v>#VALUE!</v>
      </c>
      <c r="K19" s="324" t="e">
        <f>$D19*$H19/$P$6*L$11</f>
        <v>#VALUE!</v>
      </c>
      <c r="L19" s="313" t="e">
        <f t="shared" si="7"/>
        <v>#VALUE!</v>
      </c>
      <c r="M19" s="324" t="e">
        <f>$D19*$H19/$P$6*N$11</f>
        <v>#VALUE!</v>
      </c>
      <c r="N19" s="313" t="e">
        <f t="shared" si="1"/>
        <v>#VALUE!</v>
      </c>
      <c r="O19" s="324" t="e">
        <f t="shared" ref="O19" si="10">$D19*$H19/$P$6*P$11</f>
        <v>#VALUE!</v>
      </c>
      <c r="P19" s="313" t="e">
        <f t="shared" si="2"/>
        <v>#VALUE!</v>
      </c>
      <c r="Q19" s="324" t="e">
        <f t="shared" ref="Q19" si="11">$D19*$H19/$P$6*R$11</f>
        <v>#VALUE!</v>
      </c>
      <c r="R19" s="313" t="e">
        <f t="shared" si="3"/>
        <v>#VALUE!</v>
      </c>
      <c r="S19" s="316"/>
      <c r="T19" s="308"/>
      <c r="U19" s="307"/>
      <c r="V19" s="308"/>
      <c r="W19" s="307"/>
      <c r="X19" s="308"/>
      <c r="Y19" s="4"/>
      <c r="Z19" s="238"/>
    </row>
    <row r="20" spans="1:26" ht="25.5" x14ac:dyDescent="0.2">
      <c r="A20" s="2"/>
      <c r="B20" s="605" t="s">
        <v>404</v>
      </c>
      <c r="C20" s="749" t="s">
        <v>430</v>
      </c>
      <c r="D20" s="311">
        <f>B_PH_Kalkulation!L24*B_PH_Kalkulation!J24</f>
        <v>0</v>
      </c>
      <c r="E20" s="778" t="e">
        <f>D20/'B_PH_Allgemeine Angaben'!$L$47*('B_PH_Allgemeine Angaben'!$L$47-'B_PH_Allgemeine Angaben'!$L$48)</f>
        <v>#DIV/0!</v>
      </c>
      <c r="F20" s="783" t="e">
        <f>D20/'B_PH_Allgemeine Angaben'!$L$47*'B_PH_Allgemeine Angaben'!$L$48</f>
        <v>#DIV/0!</v>
      </c>
      <c r="G20" s="300">
        <f t="shared" si="4"/>
        <v>0</v>
      </c>
      <c r="H20" s="301">
        <v>1</v>
      </c>
      <c r="I20" s="312">
        <f>D20*KAT!$K$35</f>
        <v>0</v>
      </c>
      <c r="J20" s="313" t="e">
        <f>I20/$J$11</f>
        <v>#VALUE!</v>
      </c>
      <c r="K20" s="324">
        <f>$D20*KAT!$K$36</f>
        <v>0</v>
      </c>
      <c r="L20" s="313" t="e">
        <f t="shared" si="7"/>
        <v>#VALUE!</v>
      </c>
      <c r="M20" s="324">
        <f>$D20*KAT!$K$37</f>
        <v>0</v>
      </c>
      <c r="N20" s="313" t="e">
        <f t="shared" si="1"/>
        <v>#VALUE!</v>
      </c>
      <c r="O20" s="604">
        <f>$D20*KAT!$K$38</f>
        <v>0</v>
      </c>
      <c r="P20" s="313" t="e">
        <f t="shared" si="2"/>
        <v>#VALUE!</v>
      </c>
      <c r="Q20" s="604">
        <f>$D20*KAT!$K$39</f>
        <v>0</v>
      </c>
      <c r="R20" s="313" t="e">
        <f t="shared" si="3"/>
        <v>#VALUE!</v>
      </c>
      <c r="S20" s="316"/>
      <c r="T20" s="308"/>
      <c r="U20" s="307"/>
      <c r="V20" s="308"/>
      <c r="W20" s="307"/>
      <c r="X20" s="308"/>
      <c r="Y20" s="4"/>
      <c r="Z20" s="238"/>
    </row>
    <row r="21" spans="1:26" ht="25.5" x14ac:dyDescent="0.2">
      <c r="A21" s="2"/>
      <c r="B21" s="605" t="s">
        <v>405</v>
      </c>
      <c r="C21" s="750" t="s">
        <v>431</v>
      </c>
      <c r="D21" s="311">
        <f>B_PH_Kalkulation!L25*B_PH_Kalkulation!J25</f>
        <v>0</v>
      </c>
      <c r="E21" s="778" t="e">
        <f>D21/'B_PH_Allgemeine Angaben'!$L$47*('B_PH_Allgemeine Angaben'!$L$47-'B_PH_Allgemeine Angaben'!$L$48)</f>
        <v>#DIV/0!</v>
      </c>
      <c r="F21" s="783" t="e">
        <f>D21/'B_PH_Allgemeine Angaben'!$L$47*'B_PH_Allgemeine Angaben'!$L$48</f>
        <v>#DIV/0!</v>
      </c>
      <c r="G21" s="300">
        <f t="shared" si="4"/>
        <v>0</v>
      </c>
      <c r="H21" s="301">
        <v>1</v>
      </c>
      <c r="I21" s="312">
        <f>D21*KAT!$K$35</f>
        <v>0</v>
      </c>
      <c r="J21" s="313" t="e">
        <f t="shared" si="6"/>
        <v>#VALUE!</v>
      </c>
      <c r="K21" s="324">
        <f>$D21*KAT!$K$36</f>
        <v>0</v>
      </c>
      <c r="L21" s="313" t="e">
        <f t="shared" si="7"/>
        <v>#VALUE!</v>
      </c>
      <c r="M21" s="324">
        <f>$D21*KAT!$K$37</f>
        <v>0</v>
      </c>
      <c r="N21" s="313" t="e">
        <f t="shared" si="1"/>
        <v>#VALUE!</v>
      </c>
      <c r="O21" s="324">
        <f>$D21*KAT!$K$38</f>
        <v>0</v>
      </c>
      <c r="P21" s="313" t="e">
        <f t="shared" si="2"/>
        <v>#VALUE!</v>
      </c>
      <c r="Q21" s="324">
        <f>$D21*KAT!$K$39</f>
        <v>0</v>
      </c>
      <c r="R21" s="313" t="e">
        <f t="shared" si="3"/>
        <v>#VALUE!</v>
      </c>
      <c r="S21" s="316"/>
      <c r="T21" s="308"/>
      <c r="U21" s="307"/>
      <c r="V21" s="308"/>
      <c r="W21" s="307"/>
      <c r="X21" s="308"/>
      <c r="Y21" s="4"/>
      <c r="Z21" s="238"/>
    </row>
    <row r="22" spans="1:26" ht="25.5" x14ac:dyDescent="0.2">
      <c r="A22" s="2"/>
      <c r="B22" s="605" t="s">
        <v>406</v>
      </c>
      <c r="C22" s="750" t="s">
        <v>432</v>
      </c>
      <c r="D22" s="311">
        <f>B_PH_Kalkulation!L26*B_PH_Kalkulation!J26</f>
        <v>0</v>
      </c>
      <c r="E22" s="778" t="e">
        <f>D22/'B_PH_Allgemeine Angaben'!$L$47*('B_PH_Allgemeine Angaben'!$L$47-'B_PH_Allgemeine Angaben'!$L$48)</f>
        <v>#DIV/0!</v>
      </c>
      <c r="F22" s="783" t="e">
        <f>D22/'B_PH_Allgemeine Angaben'!$L$47*'B_PH_Allgemeine Angaben'!$L$48</f>
        <v>#DIV/0!</v>
      </c>
      <c r="G22" s="300">
        <f t="shared" si="4"/>
        <v>0</v>
      </c>
      <c r="H22" s="301">
        <v>1</v>
      </c>
      <c r="I22" s="312">
        <f>D22*KAT!$K$35</f>
        <v>0</v>
      </c>
      <c r="J22" s="313" t="e">
        <f t="shared" si="6"/>
        <v>#VALUE!</v>
      </c>
      <c r="K22" s="324">
        <f>$D22*KAT!$K$36</f>
        <v>0</v>
      </c>
      <c r="L22" s="313" t="e">
        <f t="shared" si="7"/>
        <v>#VALUE!</v>
      </c>
      <c r="M22" s="324">
        <f>$D22*KAT!$K$37</f>
        <v>0</v>
      </c>
      <c r="N22" s="313" t="e">
        <f t="shared" si="1"/>
        <v>#VALUE!</v>
      </c>
      <c r="O22" s="324">
        <f>$D22*KAT!$K$38</f>
        <v>0</v>
      </c>
      <c r="P22" s="313" t="e">
        <f t="shared" si="2"/>
        <v>#VALUE!</v>
      </c>
      <c r="Q22" s="324">
        <f>$D22*KAT!$K$39</f>
        <v>0</v>
      </c>
      <c r="R22" s="313" t="e">
        <f t="shared" si="3"/>
        <v>#VALUE!</v>
      </c>
      <c r="S22" s="316"/>
      <c r="T22" s="308"/>
      <c r="U22" s="307"/>
      <c r="V22" s="308"/>
      <c r="W22" s="307"/>
      <c r="X22" s="308"/>
      <c r="Y22" s="4"/>
      <c r="Z22" s="238"/>
    </row>
    <row r="23" spans="1:26" ht="25.5" x14ac:dyDescent="0.2">
      <c r="A23" s="2"/>
      <c r="B23" s="704" t="s">
        <v>80</v>
      </c>
      <c r="C23" s="689" t="s">
        <v>415</v>
      </c>
      <c r="D23" s="311">
        <f>IF((B_PH_Kalkulation!L27*B_PH_Kalkulation!J27)=0,0,(B_PH_Kalkulation!L27*B_PH_Kalkulation!J27))</f>
        <v>0</v>
      </c>
      <c r="E23" s="778" t="e">
        <f>D23/'B_PH_Allgemeine Angaben'!$L$47*('B_PH_Allgemeine Angaben'!$L$47-'B_PH_Allgemeine Angaben'!$L$48)</f>
        <v>#DIV/0!</v>
      </c>
      <c r="F23" s="783" t="e">
        <f>D23/'B_PH_Allgemeine Angaben'!$L$47*'B_PH_Allgemeine Angaben'!$L$48</f>
        <v>#DIV/0!</v>
      </c>
      <c r="G23" s="300" t="e">
        <f t="shared" si="4"/>
        <v>#VALUE!</v>
      </c>
      <c r="H23" s="301"/>
      <c r="I23" s="312" t="e">
        <f t="shared" si="5"/>
        <v>#VALUE!</v>
      </c>
      <c r="J23" s="317"/>
      <c r="K23" s="317"/>
      <c r="L23" s="317"/>
      <c r="M23" s="317"/>
      <c r="N23" s="317"/>
      <c r="O23" s="317"/>
      <c r="P23" s="317"/>
      <c r="Q23" s="317"/>
      <c r="R23" s="317"/>
      <c r="S23" s="318"/>
      <c r="T23" s="319"/>
      <c r="U23" s="319"/>
      <c r="V23" s="319"/>
      <c r="W23" s="320">
        <f>D23</f>
        <v>0</v>
      </c>
      <c r="X23" s="321" t="e">
        <f>W23/$P$8</f>
        <v>#DIV/0!</v>
      </c>
      <c r="Y23" s="4"/>
      <c r="Z23" s="322"/>
    </row>
    <row r="24" spans="1:26" x14ac:dyDescent="0.2">
      <c r="A24" s="2"/>
      <c r="B24" s="309" t="s">
        <v>81</v>
      </c>
      <c r="C24" s="586" t="s">
        <v>119</v>
      </c>
      <c r="D24" s="311">
        <f>IF((B_PH_Kalkulation!L28*B_PH_Kalkulation!J28)=0,0,(B_PH_Kalkulation!L28*B_PH_Kalkulation!J28))</f>
        <v>0</v>
      </c>
      <c r="E24" s="778" t="e">
        <f>D24/'B_PH_Allgemeine Angaben'!$L$47*('B_PH_Allgemeine Angaben'!$L$47-'B_PH_Allgemeine Angaben'!$L$48)</f>
        <v>#DIV/0!</v>
      </c>
      <c r="F24" s="783" t="e">
        <f>D24/'B_PH_Allgemeine Angaben'!$L$47*'B_PH_Allgemeine Angaben'!$L$48</f>
        <v>#DIV/0!</v>
      </c>
      <c r="G24" s="300" t="e">
        <f>I24+K24+M24+O24+Q24+S24</f>
        <v>#VALUE!</v>
      </c>
      <c r="H24" s="301">
        <v>0.5</v>
      </c>
      <c r="I24" s="312" t="e">
        <f>D24*H24/$P$6*$J$11</f>
        <v>#VALUE!</v>
      </c>
      <c r="J24" s="323" t="e">
        <f>I24/$J$11</f>
        <v>#VALUE!</v>
      </c>
      <c r="K24" s="324" t="e">
        <f>$D24*$H24/$P$6*L$11</f>
        <v>#VALUE!</v>
      </c>
      <c r="L24" s="323" t="e">
        <f>K24/$L$11</f>
        <v>#VALUE!</v>
      </c>
      <c r="M24" s="325" t="e">
        <f>D24*H24/$P$6*$N$11</f>
        <v>#VALUE!</v>
      </c>
      <c r="N24" s="323" t="e">
        <f>M24/$N$11</f>
        <v>#VALUE!</v>
      </c>
      <c r="O24" s="325" t="e">
        <f>D24*H24/$P$6*$P$11</f>
        <v>#VALUE!</v>
      </c>
      <c r="P24" s="323" t="e">
        <f t="shared" si="2"/>
        <v>#VALUE!</v>
      </c>
      <c r="Q24" s="325" t="e">
        <f>D24*H24/$P$6*$R$11</f>
        <v>#VALUE!</v>
      </c>
      <c r="R24" s="323" t="e">
        <f>Q24/$R$11</f>
        <v>#VALUE!</v>
      </c>
      <c r="S24" s="325">
        <f>D24*H24</f>
        <v>0</v>
      </c>
      <c r="T24" s="323" t="e">
        <f>S24/$P$6</f>
        <v>#VALUE!</v>
      </c>
      <c r="U24" s="307"/>
      <c r="V24" s="308"/>
      <c r="W24" s="307"/>
      <c r="X24" s="308"/>
      <c r="Y24" s="4"/>
    </row>
    <row r="25" spans="1:26" x14ac:dyDescent="0.2">
      <c r="A25" s="2"/>
      <c r="B25" s="326" t="s">
        <v>82</v>
      </c>
      <c r="C25" s="310" t="s">
        <v>55</v>
      </c>
      <c r="D25" s="311">
        <f>IF((B_PH_Kalkulation!L29*B_PH_Kalkulation!J29)=0,0,(B_PH_Kalkulation!L29*B_PH_Kalkulation!J29))</f>
        <v>0</v>
      </c>
      <c r="E25" s="778" t="e">
        <f>D25/'B_PH_Allgemeine Angaben'!$L$47*('B_PH_Allgemeine Angaben'!$L$47-'B_PH_Allgemeine Angaben'!$L$48)</f>
        <v>#DIV/0!</v>
      </c>
      <c r="F25" s="783" t="e">
        <f>D25/'B_PH_Allgemeine Angaben'!$L$47*'B_PH_Allgemeine Angaben'!$L$48</f>
        <v>#DIV/0!</v>
      </c>
      <c r="G25" s="300" t="e">
        <f>I25+K25+M25+O25+Q25+S25</f>
        <v>#VALUE!</v>
      </c>
      <c r="H25" s="301">
        <v>0.5</v>
      </c>
      <c r="I25" s="312" t="e">
        <f>D25*H25/$P$6*$J$11</f>
        <v>#VALUE!</v>
      </c>
      <c r="J25" s="313" t="e">
        <f>I25/$J$11</f>
        <v>#VALUE!</v>
      </c>
      <c r="K25" s="324" t="e">
        <f t="shared" ref="K25:K28" si="12">$D25*$H25/$P$6*L$11</f>
        <v>#VALUE!</v>
      </c>
      <c r="L25" s="313" t="e">
        <f>K25/$L$11</f>
        <v>#VALUE!</v>
      </c>
      <c r="M25" s="312" t="e">
        <f>D25*H25/$P$6*$N$11</f>
        <v>#VALUE!</v>
      </c>
      <c r="N25" s="313" t="e">
        <f>M25/$N$11</f>
        <v>#VALUE!</v>
      </c>
      <c r="O25" s="312" t="e">
        <f>D25*H25/$P$6*$P$11</f>
        <v>#VALUE!</v>
      </c>
      <c r="P25" s="313" t="e">
        <f t="shared" si="2"/>
        <v>#VALUE!</v>
      </c>
      <c r="Q25" s="312" t="e">
        <f>D25*H25/$P$6*$R$11</f>
        <v>#VALUE!</v>
      </c>
      <c r="R25" s="313" t="e">
        <f t="shared" si="3"/>
        <v>#VALUE!</v>
      </c>
      <c r="S25" s="312">
        <f>D25*H25</f>
        <v>0</v>
      </c>
      <c r="T25" s="313" t="e">
        <f t="shared" ref="T25:T28" si="13">S25/$P$6</f>
        <v>#VALUE!</v>
      </c>
      <c r="U25" s="307"/>
      <c r="V25" s="308"/>
      <c r="W25" s="307"/>
      <c r="X25" s="308"/>
      <c r="Y25" s="4"/>
      <c r="Z25" s="328"/>
    </row>
    <row r="26" spans="1:26" x14ac:dyDescent="0.2">
      <c r="A26" s="2"/>
      <c r="B26" s="309" t="s">
        <v>83</v>
      </c>
      <c r="C26" s="310" t="s">
        <v>30</v>
      </c>
      <c r="D26" s="311">
        <f>IF((B_PH_Kalkulation!L30*B_PH_Kalkulation!J30)=0,0,(B_PH_Kalkulation!L30*B_PH_Kalkulation!J30))</f>
        <v>0</v>
      </c>
      <c r="E26" s="778" t="e">
        <f>D26/'B_PH_Allgemeine Angaben'!$L$47*('B_PH_Allgemeine Angaben'!$L$47-'B_PH_Allgemeine Angaben'!$L$48)</f>
        <v>#DIV/0!</v>
      </c>
      <c r="F26" s="783" t="e">
        <f>D26/'B_PH_Allgemeine Angaben'!$L$47*'B_PH_Allgemeine Angaben'!$L$48</f>
        <v>#DIV/0!</v>
      </c>
      <c r="G26" s="300" t="e">
        <f>I26+K26+M26+O26+Q26+S26</f>
        <v>#VALUE!</v>
      </c>
      <c r="H26" s="301">
        <v>0.5</v>
      </c>
      <c r="I26" s="312" t="e">
        <f>D26*H26/$P$6*$J$11</f>
        <v>#VALUE!</v>
      </c>
      <c r="J26" s="313" t="e">
        <f>I26/$J$11</f>
        <v>#VALUE!</v>
      </c>
      <c r="K26" s="324" t="e">
        <f t="shared" si="12"/>
        <v>#VALUE!</v>
      </c>
      <c r="L26" s="313" t="e">
        <f>K26/$L$11</f>
        <v>#VALUE!</v>
      </c>
      <c r="M26" s="312" t="e">
        <f>D26*H26/$P$6*$N$11</f>
        <v>#VALUE!</v>
      </c>
      <c r="N26" s="313" t="e">
        <f t="shared" si="1"/>
        <v>#VALUE!</v>
      </c>
      <c r="O26" s="312" t="e">
        <f>D26*H26/$P$6*$P$11</f>
        <v>#VALUE!</v>
      </c>
      <c r="P26" s="313" t="e">
        <f t="shared" si="2"/>
        <v>#VALUE!</v>
      </c>
      <c r="Q26" s="312" t="e">
        <f>D26*H26/$P$6*$R$11</f>
        <v>#VALUE!</v>
      </c>
      <c r="R26" s="313" t="e">
        <f t="shared" si="3"/>
        <v>#VALUE!</v>
      </c>
      <c r="S26" s="312">
        <f>D26*H26</f>
        <v>0</v>
      </c>
      <c r="T26" s="313" t="e">
        <f t="shared" si="13"/>
        <v>#VALUE!</v>
      </c>
      <c r="U26" s="307"/>
      <c r="V26" s="308"/>
      <c r="W26" s="307"/>
      <c r="X26" s="308"/>
      <c r="Y26" s="4"/>
    </row>
    <row r="27" spans="1:26" x14ac:dyDescent="0.2">
      <c r="A27" s="2"/>
      <c r="B27" s="309" t="s">
        <v>84</v>
      </c>
      <c r="C27" s="310" t="s">
        <v>31</v>
      </c>
      <c r="D27" s="311">
        <f>IF((B_PH_Kalkulation!L31*B_PH_Kalkulation!J31)=0,0,(B_PH_Kalkulation!L31*B_PH_Kalkulation!J31))</f>
        <v>0</v>
      </c>
      <c r="E27" s="778" t="e">
        <f>D27/'B_PH_Allgemeine Angaben'!$L$47*('B_PH_Allgemeine Angaben'!$L$47-'B_PH_Allgemeine Angaben'!$L$48)</f>
        <v>#DIV/0!</v>
      </c>
      <c r="F27" s="783" t="e">
        <f>D27/'B_PH_Allgemeine Angaben'!$L$47*'B_PH_Allgemeine Angaben'!$L$48</f>
        <v>#DIV/0!</v>
      </c>
      <c r="G27" s="300" t="e">
        <f>I27+K27+M27+O27+Q27+S27</f>
        <v>#VALUE!</v>
      </c>
      <c r="H27" s="301">
        <v>0.5</v>
      </c>
      <c r="I27" s="312" t="e">
        <f>D27*H27/$P$6*$J$11</f>
        <v>#VALUE!</v>
      </c>
      <c r="J27" s="313" t="e">
        <f>I27/$J$11</f>
        <v>#VALUE!</v>
      </c>
      <c r="K27" s="324" t="e">
        <f t="shared" si="12"/>
        <v>#VALUE!</v>
      </c>
      <c r="L27" s="313" t="e">
        <f>K27/$L$11</f>
        <v>#VALUE!</v>
      </c>
      <c r="M27" s="312" t="e">
        <f>D27*H27/$P$6*$N$11</f>
        <v>#VALUE!</v>
      </c>
      <c r="N27" s="313" t="e">
        <f t="shared" si="1"/>
        <v>#VALUE!</v>
      </c>
      <c r="O27" s="312" t="e">
        <f>D27*H27/$P$6*$P$11</f>
        <v>#VALUE!</v>
      </c>
      <c r="P27" s="313" t="e">
        <f t="shared" si="2"/>
        <v>#VALUE!</v>
      </c>
      <c r="Q27" s="312" t="e">
        <f>D27*H27/$P$6*$R$11</f>
        <v>#VALUE!</v>
      </c>
      <c r="R27" s="313" t="e">
        <f t="shared" si="3"/>
        <v>#VALUE!</v>
      </c>
      <c r="S27" s="312">
        <f>D27*H27</f>
        <v>0</v>
      </c>
      <c r="T27" s="313" t="e">
        <f t="shared" si="13"/>
        <v>#VALUE!</v>
      </c>
      <c r="U27" s="307"/>
      <c r="V27" s="308"/>
      <c r="W27" s="307"/>
      <c r="X27" s="308"/>
      <c r="Y27" s="4"/>
    </row>
    <row r="28" spans="1:26" x14ac:dyDescent="0.2">
      <c r="A28" s="2"/>
      <c r="B28" s="309" t="s">
        <v>94</v>
      </c>
      <c r="C28" s="329" t="s">
        <v>175</v>
      </c>
      <c r="D28" s="311">
        <f>B_PH_Kalkulation!L32*B_PH_Kalkulation!J32</f>
        <v>0</v>
      </c>
      <c r="E28" s="777" t="e">
        <f>D28/'B_PH_Allgemeine Angaben'!$L$47*('B_PH_Allgemeine Angaben'!$L$47-'B_PH_Allgemeine Angaben'!$L$48)</f>
        <v>#DIV/0!</v>
      </c>
      <c r="F28" s="782" t="e">
        <f>D28/'B_PH_Allgemeine Angaben'!$L$47*'B_PH_Allgemeine Angaben'!$L$48</f>
        <v>#DIV/0!</v>
      </c>
      <c r="G28" s="300" t="e">
        <f>I28+K28+M28+O28+Q28+S28</f>
        <v>#VALUE!</v>
      </c>
      <c r="H28" s="301">
        <v>0.5</v>
      </c>
      <c r="I28" s="312" t="e">
        <f>D28*H28/$P$6*$J$11</f>
        <v>#VALUE!</v>
      </c>
      <c r="J28" s="313" t="e">
        <f>I28/$J$11</f>
        <v>#VALUE!</v>
      </c>
      <c r="K28" s="324" t="e">
        <f t="shared" si="12"/>
        <v>#VALUE!</v>
      </c>
      <c r="L28" s="313" t="e">
        <f>K28/$L$11</f>
        <v>#VALUE!</v>
      </c>
      <c r="M28" s="312" t="e">
        <f>D28*H28/$P$6*$N$11</f>
        <v>#VALUE!</v>
      </c>
      <c r="N28" s="313" t="e">
        <f t="shared" si="1"/>
        <v>#VALUE!</v>
      </c>
      <c r="O28" s="312" t="e">
        <f>D28*H28/$P$6*$P$11</f>
        <v>#VALUE!</v>
      </c>
      <c r="P28" s="313" t="e">
        <f t="shared" si="2"/>
        <v>#VALUE!</v>
      </c>
      <c r="Q28" s="312" t="e">
        <f>D28*H28/$P$6*$R$11</f>
        <v>#VALUE!</v>
      </c>
      <c r="R28" s="313" t="e">
        <f t="shared" si="3"/>
        <v>#VALUE!</v>
      </c>
      <c r="S28" s="312">
        <f>D28*H28</f>
        <v>0</v>
      </c>
      <c r="T28" s="313" t="e">
        <f t="shared" si="13"/>
        <v>#VALUE!</v>
      </c>
      <c r="U28" s="307"/>
      <c r="V28" s="308"/>
      <c r="W28" s="307"/>
      <c r="X28" s="308"/>
      <c r="Y28" s="4"/>
      <c r="Z28" s="244"/>
    </row>
    <row r="29" spans="1:26" x14ac:dyDescent="0.2">
      <c r="A29" s="2"/>
      <c r="C29" s="330"/>
      <c r="D29" s="331"/>
      <c r="E29" s="331"/>
      <c r="F29" s="331"/>
      <c r="G29" s="696"/>
      <c r="H29" s="332"/>
      <c r="I29" s="320"/>
      <c r="J29" s="308"/>
      <c r="K29" s="320"/>
      <c r="L29" s="308"/>
      <c r="M29" s="320"/>
      <c r="N29" s="308"/>
      <c r="O29" s="320"/>
      <c r="P29" s="308"/>
      <c r="Q29" s="320"/>
      <c r="R29" s="308"/>
      <c r="S29" s="320"/>
      <c r="T29" s="308"/>
      <c r="U29" s="307"/>
      <c r="V29" s="308"/>
      <c r="W29" s="307"/>
      <c r="X29" s="308"/>
      <c r="Y29" s="4"/>
    </row>
    <row r="30" spans="1:26" x14ac:dyDescent="0.2">
      <c r="A30" s="2"/>
      <c r="B30" s="333" t="s">
        <v>29</v>
      </c>
      <c r="C30" s="298" t="s">
        <v>85</v>
      </c>
      <c r="D30" s="299">
        <f>SUM(D31:D38)</f>
        <v>0</v>
      </c>
      <c r="E30" s="777" t="e">
        <f>D30/'B_PH_Allgemeine Angaben'!$L$47*('B_PH_Allgemeine Angaben'!$L$47-'B_PH_Allgemeine Angaben'!$L$48)</f>
        <v>#DIV/0!</v>
      </c>
      <c r="F30" s="782" t="e">
        <f>D30/'B_PH_Allgemeine Angaben'!$L$47*'B_PH_Allgemeine Angaben'!$L$48</f>
        <v>#DIV/0!</v>
      </c>
      <c r="G30" s="300" t="e">
        <f>I30+K30+M30+O30+Q30+S30+U30</f>
        <v>#VALUE!</v>
      </c>
      <c r="H30" s="301"/>
      <c r="I30" s="302" t="e">
        <f t="shared" ref="I30:R30" si="14">SUM(I32:I38)</f>
        <v>#VALUE!</v>
      </c>
      <c r="J30" s="303" t="e">
        <f t="shared" si="14"/>
        <v>#VALUE!</v>
      </c>
      <c r="K30" s="304" t="e">
        <f t="shared" si="14"/>
        <v>#VALUE!</v>
      </c>
      <c r="L30" s="303" t="e">
        <f t="shared" si="14"/>
        <v>#VALUE!</v>
      </c>
      <c r="M30" s="302" t="e">
        <f t="shared" si="14"/>
        <v>#VALUE!</v>
      </c>
      <c r="N30" s="303" t="e">
        <f t="shared" si="14"/>
        <v>#VALUE!</v>
      </c>
      <c r="O30" s="302" t="e">
        <f t="shared" si="14"/>
        <v>#VALUE!</v>
      </c>
      <c r="P30" s="303" t="e">
        <f t="shared" si="14"/>
        <v>#VALUE!</v>
      </c>
      <c r="Q30" s="302" t="e">
        <f t="shared" si="14"/>
        <v>#VALUE!</v>
      </c>
      <c r="R30" s="303" t="e">
        <f t="shared" si="14"/>
        <v>#VALUE!</v>
      </c>
      <c r="S30" s="305">
        <f>SUM(S33:S38)</f>
        <v>0</v>
      </c>
      <c r="T30" s="306" t="e">
        <f>SUM(T33:T38)</f>
        <v>#VALUE!</v>
      </c>
      <c r="U30" s="305">
        <f>SUM(U31:U38)</f>
        <v>0</v>
      </c>
      <c r="V30" s="306" t="e">
        <f>SUM(V31:V38)</f>
        <v>#VALUE!</v>
      </c>
      <c r="W30" s="334"/>
      <c r="X30" s="308"/>
      <c r="Y30" s="4"/>
    </row>
    <row r="31" spans="1:26" x14ac:dyDescent="0.2">
      <c r="A31" s="2"/>
      <c r="B31" s="335" t="s">
        <v>34</v>
      </c>
      <c r="C31" s="336" t="s">
        <v>35</v>
      </c>
      <c r="D31" s="311">
        <f>B_PH_Kalkulation!L36</f>
        <v>0</v>
      </c>
      <c r="E31" s="778" t="e">
        <f>D31/'B_PH_Allgemeine Angaben'!$L$47*('B_PH_Allgemeine Angaben'!$L$47-'B_PH_Allgemeine Angaben'!$L$48)</f>
        <v>#DIV/0!</v>
      </c>
      <c r="F31" s="783" t="e">
        <f>D31/'B_PH_Allgemeine Angaben'!$L$47*'B_PH_Allgemeine Angaben'!$L$48</f>
        <v>#DIV/0!</v>
      </c>
      <c r="G31" s="697"/>
      <c r="H31" s="327"/>
      <c r="I31" s="337"/>
      <c r="J31" s="317"/>
      <c r="K31" s="327"/>
      <c r="L31" s="317"/>
      <c r="M31" s="327"/>
      <c r="N31" s="317"/>
      <c r="O31" s="327"/>
      <c r="P31" s="317"/>
      <c r="Q31" s="327"/>
      <c r="R31" s="317"/>
      <c r="S31" s="327"/>
      <c r="T31" s="338"/>
      <c r="U31" s="312">
        <f>D31</f>
        <v>0</v>
      </c>
      <c r="V31" s="323" t="e">
        <f>U31/$P$6</f>
        <v>#VALUE!</v>
      </c>
      <c r="W31" s="320"/>
      <c r="X31" s="308"/>
      <c r="Y31" s="4"/>
    </row>
    <row r="32" spans="1:26" x14ac:dyDescent="0.2">
      <c r="A32" s="2"/>
      <c r="B32" s="335" t="s">
        <v>36</v>
      </c>
      <c r="C32" s="336" t="s">
        <v>37</v>
      </c>
      <c r="D32" s="311">
        <f>B_PH_Kalkulation!L37</f>
        <v>0</v>
      </c>
      <c r="E32" s="778" t="e">
        <f>D32/'B_PH_Allgemeine Angaben'!$L$47*('B_PH_Allgemeine Angaben'!$L$47-'B_PH_Allgemeine Angaben'!$L$48)</f>
        <v>#DIV/0!</v>
      </c>
      <c r="F32" s="783" t="e">
        <f>D32/'B_PH_Allgemeine Angaben'!$L$47*'B_PH_Allgemeine Angaben'!$L$48</f>
        <v>#DIV/0!</v>
      </c>
      <c r="G32" s="300" t="e">
        <f>I32+K32+M32+O32+Q32+S32+U32</f>
        <v>#VALUE!</v>
      </c>
      <c r="H32" s="301">
        <v>1</v>
      </c>
      <c r="I32" s="312" t="e">
        <f>D32*H32/$P$6*$J$11</f>
        <v>#VALUE!</v>
      </c>
      <c r="J32" s="313" t="e">
        <f t="shared" ref="J32:J37" si="15">I32/$J$11</f>
        <v>#VALUE!</v>
      </c>
      <c r="K32" s="327" t="e">
        <f>D32*H32/$P$6*$L$11</f>
        <v>#VALUE!</v>
      </c>
      <c r="L32" s="313" t="e">
        <f t="shared" ref="L32:L38" si="16">K32/$L$11</f>
        <v>#VALUE!</v>
      </c>
      <c r="M32" s="312" t="e">
        <f>D32*H32/$P$6*$N$11</f>
        <v>#VALUE!</v>
      </c>
      <c r="N32" s="313" t="e">
        <f t="shared" ref="N32:N38" si="17">M32/$N$11</f>
        <v>#VALUE!</v>
      </c>
      <c r="O32" s="312" t="e">
        <f>D32*H32/$P$6*$P$11</f>
        <v>#VALUE!</v>
      </c>
      <c r="P32" s="313" t="e">
        <f t="shared" ref="P32:P38" si="18">O32/$P$11</f>
        <v>#VALUE!</v>
      </c>
      <c r="Q32" s="312" t="e">
        <f>D32*H32/$P$6*$R$11</f>
        <v>#VALUE!</v>
      </c>
      <c r="R32" s="313" t="e">
        <f t="shared" ref="R32:R38" si="19">Q32/$R$11</f>
        <v>#VALUE!</v>
      </c>
      <c r="S32" s="339"/>
      <c r="T32" s="319"/>
      <c r="U32" s="340"/>
      <c r="V32" s="308"/>
      <c r="W32" s="307"/>
      <c r="X32" s="308"/>
      <c r="Y32" s="4"/>
    </row>
    <row r="33" spans="1:27" x14ac:dyDescent="0.2">
      <c r="A33" s="2"/>
      <c r="B33" s="335" t="s">
        <v>38</v>
      </c>
      <c r="C33" s="341" t="s">
        <v>214</v>
      </c>
      <c r="D33" s="311">
        <f>B_PH_Kalkulation!L38</f>
        <v>0</v>
      </c>
      <c r="E33" s="778" t="e">
        <f>D33/'B_PH_Allgemeine Angaben'!$L$47*('B_PH_Allgemeine Angaben'!$L$47-'B_PH_Allgemeine Angaben'!$L$48)</f>
        <v>#DIV/0!</v>
      </c>
      <c r="F33" s="783" t="e">
        <f>D33/'B_PH_Allgemeine Angaben'!$L$47*'B_PH_Allgemeine Angaben'!$L$48</f>
        <v>#DIV/0!</v>
      </c>
      <c r="G33" s="300" t="e">
        <f t="shared" ref="G33:G38" si="20">I33+K33+M33+O33+Q33+S33+U33</f>
        <v>#VALUE!</v>
      </c>
      <c r="H33" s="301">
        <v>0.5</v>
      </c>
      <c r="I33" s="312" t="e">
        <f t="shared" ref="I33:I37" si="21">D33*H33/$P$6*$J$11</f>
        <v>#VALUE!</v>
      </c>
      <c r="J33" s="313" t="e">
        <f t="shared" si="15"/>
        <v>#VALUE!</v>
      </c>
      <c r="K33" s="327" t="e">
        <f t="shared" ref="K33:K38" si="22">D33*H33/$P$6*$L$11</f>
        <v>#VALUE!</v>
      </c>
      <c r="L33" s="313" t="e">
        <f t="shared" si="16"/>
        <v>#VALUE!</v>
      </c>
      <c r="M33" s="312" t="e">
        <f t="shared" ref="M33:M38" si="23">D33*H33/$P$6*$N$11</f>
        <v>#VALUE!</v>
      </c>
      <c r="N33" s="313" t="e">
        <f t="shared" si="17"/>
        <v>#VALUE!</v>
      </c>
      <c r="O33" s="312" t="e">
        <f t="shared" ref="O33:O38" si="24">D33*H33/$P$6*$P$11</f>
        <v>#VALUE!</v>
      </c>
      <c r="P33" s="313" t="e">
        <f t="shared" si="18"/>
        <v>#VALUE!</v>
      </c>
      <c r="Q33" s="312" t="e">
        <f t="shared" ref="Q33:Q38" si="25">D33*H33/$P$6*$R$11</f>
        <v>#VALUE!</v>
      </c>
      <c r="R33" s="313" t="e">
        <f t="shared" si="19"/>
        <v>#VALUE!</v>
      </c>
      <c r="S33" s="312">
        <f>D33*H33</f>
        <v>0</v>
      </c>
      <c r="T33" s="313" t="e">
        <f>S33/$P$6</f>
        <v>#VALUE!</v>
      </c>
      <c r="U33" s="342"/>
      <c r="V33" s="308"/>
      <c r="W33" s="307"/>
      <c r="X33" s="308"/>
      <c r="Y33" s="4"/>
    </row>
    <row r="34" spans="1:27" x14ac:dyDescent="0.2">
      <c r="A34" s="2"/>
      <c r="B34" s="335" t="s">
        <v>39</v>
      </c>
      <c r="C34" s="336" t="s">
        <v>40</v>
      </c>
      <c r="D34" s="311">
        <f>B_PH_Kalkulation!L39</f>
        <v>0</v>
      </c>
      <c r="E34" s="778" t="e">
        <f>D34/'B_PH_Allgemeine Angaben'!$L$47*('B_PH_Allgemeine Angaben'!$L$47-'B_PH_Allgemeine Angaben'!$L$48)</f>
        <v>#DIV/0!</v>
      </c>
      <c r="F34" s="783" t="e">
        <f>D34/'B_PH_Allgemeine Angaben'!$L$47*'B_PH_Allgemeine Angaben'!$L$48</f>
        <v>#DIV/0!</v>
      </c>
      <c r="G34" s="300" t="e">
        <f t="shared" si="20"/>
        <v>#VALUE!</v>
      </c>
      <c r="H34" s="301">
        <v>1</v>
      </c>
      <c r="I34" s="312" t="e">
        <f t="shared" si="21"/>
        <v>#VALUE!</v>
      </c>
      <c r="J34" s="313" t="e">
        <f t="shared" si="15"/>
        <v>#VALUE!</v>
      </c>
      <c r="K34" s="327" t="e">
        <f t="shared" si="22"/>
        <v>#VALUE!</v>
      </c>
      <c r="L34" s="313" t="e">
        <f t="shared" si="16"/>
        <v>#VALUE!</v>
      </c>
      <c r="M34" s="312" t="e">
        <f t="shared" si="23"/>
        <v>#VALUE!</v>
      </c>
      <c r="N34" s="313" t="e">
        <f t="shared" si="17"/>
        <v>#VALUE!</v>
      </c>
      <c r="O34" s="312" t="e">
        <f t="shared" si="24"/>
        <v>#VALUE!</v>
      </c>
      <c r="P34" s="313" t="e">
        <f t="shared" si="18"/>
        <v>#VALUE!</v>
      </c>
      <c r="Q34" s="312" t="e">
        <f t="shared" si="25"/>
        <v>#VALUE!</v>
      </c>
      <c r="R34" s="313" t="e">
        <f>Q34/$R$11</f>
        <v>#VALUE!</v>
      </c>
      <c r="S34" s="339"/>
      <c r="T34" s="319"/>
      <c r="U34" s="307"/>
      <c r="V34" s="308"/>
      <c r="W34" s="307"/>
      <c r="X34" s="308"/>
      <c r="Y34" s="4"/>
    </row>
    <row r="35" spans="1:27" x14ac:dyDescent="0.2">
      <c r="A35" s="2"/>
      <c r="B35" s="343" t="s">
        <v>41</v>
      </c>
      <c r="C35" s="336" t="s">
        <v>42</v>
      </c>
      <c r="D35" s="311">
        <f>B_PH_Kalkulation!L40</f>
        <v>0</v>
      </c>
      <c r="E35" s="778" t="e">
        <f>D35/'B_PH_Allgemeine Angaben'!$L$47*('B_PH_Allgemeine Angaben'!$L$47-'B_PH_Allgemeine Angaben'!$L$48)</f>
        <v>#DIV/0!</v>
      </c>
      <c r="F35" s="783" t="e">
        <f>D35/'B_PH_Allgemeine Angaben'!$L$47*'B_PH_Allgemeine Angaben'!$L$48</f>
        <v>#DIV/0!</v>
      </c>
      <c r="G35" s="300" t="e">
        <f t="shared" si="20"/>
        <v>#VALUE!</v>
      </c>
      <c r="H35" s="301">
        <v>0.5</v>
      </c>
      <c r="I35" s="312" t="e">
        <f t="shared" si="21"/>
        <v>#VALUE!</v>
      </c>
      <c r="J35" s="313" t="e">
        <f t="shared" si="15"/>
        <v>#VALUE!</v>
      </c>
      <c r="K35" s="327" t="e">
        <f t="shared" si="22"/>
        <v>#VALUE!</v>
      </c>
      <c r="L35" s="313" t="e">
        <f t="shared" si="16"/>
        <v>#VALUE!</v>
      </c>
      <c r="M35" s="312" t="e">
        <f t="shared" si="23"/>
        <v>#VALUE!</v>
      </c>
      <c r="N35" s="313" t="e">
        <f t="shared" si="17"/>
        <v>#VALUE!</v>
      </c>
      <c r="O35" s="312" t="e">
        <f t="shared" si="24"/>
        <v>#VALUE!</v>
      </c>
      <c r="P35" s="313" t="e">
        <f t="shared" si="18"/>
        <v>#VALUE!</v>
      </c>
      <c r="Q35" s="312" t="e">
        <f t="shared" si="25"/>
        <v>#VALUE!</v>
      </c>
      <c r="R35" s="313" t="e">
        <f t="shared" si="19"/>
        <v>#VALUE!</v>
      </c>
      <c r="S35" s="312">
        <f>D35*H35</f>
        <v>0</v>
      </c>
      <c r="T35" s="313" t="e">
        <f t="shared" ref="T35:T38" si="26">S35/$P$6</f>
        <v>#VALUE!</v>
      </c>
      <c r="U35" s="342"/>
      <c r="V35" s="308"/>
      <c r="W35" s="307"/>
      <c r="X35" s="308"/>
      <c r="Y35" s="4"/>
    </row>
    <row r="36" spans="1:27" x14ac:dyDescent="0.2">
      <c r="A36" s="2"/>
      <c r="B36" s="343" t="s">
        <v>43</v>
      </c>
      <c r="C36" s="336" t="s">
        <v>215</v>
      </c>
      <c r="D36" s="311">
        <f>B_PH_Kalkulation!L41</f>
        <v>0</v>
      </c>
      <c r="E36" s="778" t="e">
        <f>D36/'B_PH_Allgemeine Angaben'!$L$47*('B_PH_Allgemeine Angaben'!$L$47-'B_PH_Allgemeine Angaben'!$L$48)</f>
        <v>#DIV/0!</v>
      </c>
      <c r="F36" s="783" t="e">
        <f>D36/'B_PH_Allgemeine Angaben'!$L$47*'B_PH_Allgemeine Angaben'!$L$48</f>
        <v>#DIV/0!</v>
      </c>
      <c r="G36" s="300" t="e">
        <f t="shared" si="20"/>
        <v>#VALUE!</v>
      </c>
      <c r="H36" s="301">
        <v>0.5</v>
      </c>
      <c r="I36" s="312" t="e">
        <f t="shared" si="21"/>
        <v>#VALUE!</v>
      </c>
      <c r="J36" s="313" t="e">
        <f t="shared" si="15"/>
        <v>#VALUE!</v>
      </c>
      <c r="K36" s="327" t="e">
        <f t="shared" si="22"/>
        <v>#VALUE!</v>
      </c>
      <c r="L36" s="313" t="e">
        <f t="shared" si="16"/>
        <v>#VALUE!</v>
      </c>
      <c r="M36" s="312" t="e">
        <f t="shared" si="23"/>
        <v>#VALUE!</v>
      </c>
      <c r="N36" s="313" t="e">
        <f t="shared" si="17"/>
        <v>#VALUE!</v>
      </c>
      <c r="O36" s="312" t="e">
        <f t="shared" si="24"/>
        <v>#VALUE!</v>
      </c>
      <c r="P36" s="313" t="e">
        <f t="shared" si="18"/>
        <v>#VALUE!</v>
      </c>
      <c r="Q36" s="312" t="e">
        <f t="shared" si="25"/>
        <v>#VALUE!</v>
      </c>
      <c r="R36" s="313" t="e">
        <f t="shared" si="19"/>
        <v>#VALUE!</v>
      </c>
      <c r="S36" s="312">
        <f>D36*H36</f>
        <v>0</v>
      </c>
      <c r="T36" s="313" t="e">
        <f t="shared" si="26"/>
        <v>#VALUE!</v>
      </c>
      <c r="U36" s="342"/>
      <c r="V36" s="308"/>
      <c r="W36" s="307"/>
      <c r="X36" s="308"/>
      <c r="Y36" s="4"/>
    </row>
    <row r="37" spans="1:27" x14ac:dyDescent="0.2">
      <c r="A37" s="2"/>
      <c r="B37" s="343" t="s">
        <v>45</v>
      </c>
      <c r="C37" s="344" t="s">
        <v>216</v>
      </c>
      <c r="D37" s="311">
        <f>B_PH_Kalkulation!L42</f>
        <v>0</v>
      </c>
      <c r="E37" s="778" t="e">
        <f>D37/'B_PH_Allgemeine Angaben'!$L$47*('B_PH_Allgemeine Angaben'!$L$47-'B_PH_Allgemeine Angaben'!$L$48)</f>
        <v>#DIV/0!</v>
      </c>
      <c r="F37" s="783" t="e">
        <f>D37/'B_PH_Allgemeine Angaben'!$L$47*'B_PH_Allgemeine Angaben'!$L$48</f>
        <v>#DIV/0!</v>
      </c>
      <c r="G37" s="300" t="e">
        <f t="shared" si="20"/>
        <v>#VALUE!</v>
      </c>
      <c r="H37" s="301">
        <v>0.5</v>
      </c>
      <c r="I37" s="312" t="e">
        <f t="shared" si="21"/>
        <v>#VALUE!</v>
      </c>
      <c r="J37" s="313" t="e">
        <f t="shared" si="15"/>
        <v>#VALUE!</v>
      </c>
      <c r="K37" s="327" t="e">
        <f t="shared" si="22"/>
        <v>#VALUE!</v>
      </c>
      <c r="L37" s="313" t="e">
        <f t="shared" si="16"/>
        <v>#VALUE!</v>
      </c>
      <c r="M37" s="312" t="e">
        <f t="shared" si="23"/>
        <v>#VALUE!</v>
      </c>
      <c r="N37" s="313" t="e">
        <f t="shared" si="17"/>
        <v>#VALUE!</v>
      </c>
      <c r="O37" s="312" t="e">
        <f t="shared" si="24"/>
        <v>#VALUE!</v>
      </c>
      <c r="P37" s="313" t="e">
        <f t="shared" si="18"/>
        <v>#VALUE!</v>
      </c>
      <c r="Q37" s="312" t="e">
        <f t="shared" si="25"/>
        <v>#VALUE!</v>
      </c>
      <c r="R37" s="313" t="e">
        <f t="shared" si="19"/>
        <v>#VALUE!</v>
      </c>
      <c r="S37" s="312">
        <f>D37*H37</f>
        <v>0</v>
      </c>
      <c r="T37" s="313" t="e">
        <f t="shared" si="26"/>
        <v>#VALUE!</v>
      </c>
      <c r="U37" s="342"/>
      <c r="V37" s="308"/>
      <c r="W37" s="307"/>
      <c r="X37" s="308"/>
      <c r="Y37" s="4"/>
    </row>
    <row r="38" spans="1:27" x14ac:dyDescent="0.2">
      <c r="A38" s="2"/>
      <c r="B38" s="343" t="s">
        <v>47</v>
      </c>
      <c r="C38" s="451" t="s">
        <v>48</v>
      </c>
      <c r="D38" s="311">
        <f>B_PH_Kalkulation!L43</f>
        <v>0</v>
      </c>
      <c r="E38" s="778" t="e">
        <f>D38/'B_PH_Allgemeine Angaben'!$L$47*('B_PH_Allgemeine Angaben'!$L$47-'B_PH_Allgemeine Angaben'!$L$48)</f>
        <v>#DIV/0!</v>
      </c>
      <c r="F38" s="783" t="e">
        <f>D38/'B_PH_Allgemeine Angaben'!$L$47*'B_PH_Allgemeine Angaben'!$L$48</f>
        <v>#DIV/0!</v>
      </c>
      <c r="G38" s="300" t="e">
        <f t="shared" si="20"/>
        <v>#VALUE!</v>
      </c>
      <c r="H38" s="301">
        <v>0.5</v>
      </c>
      <c r="I38" s="312" t="e">
        <f>D38*H38/$P$6*$J$11</f>
        <v>#VALUE!</v>
      </c>
      <c r="J38" s="313" t="e">
        <f>I38/$J$11</f>
        <v>#VALUE!</v>
      </c>
      <c r="K38" s="327" t="e">
        <f t="shared" si="22"/>
        <v>#VALUE!</v>
      </c>
      <c r="L38" s="313" t="e">
        <f t="shared" si="16"/>
        <v>#VALUE!</v>
      </c>
      <c r="M38" s="312" t="e">
        <f t="shared" si="23"/>
        <v>#VALUE!</v>
      </c>
      <c r="N38" s="313" t="e">
        <f t="shared" si="17"/>
        <v>#VALUE!</v>
      </c>
      <c r="O38" s="312" t="e">
        <f t="shared" si="24"/>
        <v>#VALUE!</v>
      </c>
      <c r="P38" s="313" t="e">
        <f t="shared" si="18"/>
        <v>#VALUE!</v>
      </c>
      <c r="Q38" s="312" t="e">
        <f t="shared" si="25"/>
        <v>#VALUE!</v>
      </c>
      <c r="R38" s="313" t="e">
        <f t="shared" si="19"/>
        <v>#VALUE!</v>
      </c>
      <c r="S38" s="312">
        <f>D38*H38</f>
        <v>0</v>
      </c>
      <c r="T38" s="313" t="e">
        <f t="shared" si="26"/>
        <v>#VALUE!</v>
      </c>
      <c r="U38" s="342"/>
      <c r="V38" s="308"/>
      <c r="W38" s="307"/>
      <c r="X38" s="308"/>
      <c r="Y38" s="4"/>
    </row>
    <row r="39" spans="1:27" x14ac:dyDescent="0.2">
      <c r="A39" s="2"/>
      <c r="D39" s="331"/>
      <c r="E39" s="331"/>
      <c r="F39" s="331"/>
      <c r="G39" s="696"/>
      <c r="H39" s="332"/>
      <c r="I39" s="320"/>
      <c r="J39" s="308"/>
      <c r="K39" s="320"/>
      <c r="L39" s="308"/>
      <c r="M39" s="320"/>
      <c r="N39" s="345"/>
      <c r="O39" s="320"/>
      <c r="P39" s="345"/>
      <c r="Q39" s="320"/>
      <c r="R39" s="345"/>
      <c r="S39" s="320"/>
      <c r="T39" s="308"/>
      <c r="U39" s="307"/>
      <c r="V39" s="308"/>
      <c r="W39" s="307"/>
      <c r="X39" s="308"/>
      <c r="Y39" s="4"/>
    </row>
    <row r="40" spans="1:27" x14ac:dyDescent="0.2">
      <c r="A40" s="2"/>
      <c r="B40" s="346" t="s">
        <v>86</v>
      </c>
      <c r="C40" s="347" t="s">
        <v>87</v>
      </c>
      <c r="D40" s="299">
        <f>SUM(D41:D47)</f>
        <v>0</v>
      </c>
      <c r="E40" s="777" t="e">
        <f>D40/'B_PH_Allgemeine Angaben'!$L$47*('B_PH_Allgemeine Angaben'!$L$47-'B_PH_Allgemeine Angaben'!$L$48)</f>
        <v>#DIV/0!</v>
      </c>
      <c r="F40" s="782" t="e">
        <f>D40/'B_PH_Allgemeine Angaben'!$L$47*'B_PH_Allgemeine Angaben'!$L$48</f>
        <v>#DIV/0!</v>
      </c>
      <c r="G40" s="300" t="e">
        <f>SUM(G41:G47)</f>
        <v>#VALUE!</v>
      </c>
      <c r="H40" s="301"/>
      <c r="I40" s="302" t="e">
        <f t="shared" ref="I40:T40" si="27">SUM(I41:I47)</f>
        <v>#VALUE!</v>
      </c>
      <c r="J40" s="303" t="e">
        <f t="shared" si="27"/>
        <v>#VALUE!</v>
      </c>
      <c r="K40" s="304" t="e">
        <f t="shared" si="27"/>
        <v>#VALUE!</v>
      </c>
      <c r="L40" s="303" t="e">
        <f t="shared" si="27"/>
        <v>#VALUE!</v>
      </c>
      <c r="M40" s="302" t="e">
        <f t="shared" si="27"/>
        <v>#VALUE!</v>
      </c>
      <c r="N40" s="303" t="e">
        <f t="shared" si="27"/>
        <v>#VALUE!</v>
      </c>
      <c r="O40" s="302" t="e">
        <f t="shared" si="27"/>
        <v>#VALUE!</v>
      </c>
      <c r="P40" s="303" t="e">
        <f t="shared" si="27"/>
        <v>#VALUE!</v>
      </c>
      <c r="Q40" s="302" t="e">
        <f t="shared" si="27"/>
        <v>#VALUE!</v>
      </c>
      <c r="R40" s="303" t="e">
        <f t="shared" si="27"/>
        <v>#VALUE!</v>
      </c>
      <c r="S40" s="305">
        <f t="shared" si="27"/>
        <v>0</v>
      </c>
      <c r="T40" s="306" t="e">
        <f t="shared" si="27"/>
        <v>#VALUE!</v>
      </c>
      <c r="U40" s="307"/>
      <c r="V40" s="308"/>
      <c r="W40" s="307"/>
      <c r="X40" s="308"/>
      <c r="Y40" s="4"/>
    </row>
    <row r="41" spans="1:27" x14ac:dyDescent="0.2">
      <c r="A41" s="2"/>
      <c r="B41" s="348" t="str">
        <f>B_PH_Kalkulation!H47</f>
        <v>3.1.</v>
      </c>
      <c r="C41" s="349" t="s">
        <v>217</v>
      </c>
      <c r="D41" s="311">
        <f>B_PH_Kalkulation!L47</f>
        <v>0</v>
      </c>
      <c r="E41" s="778" t="e">
        <f>D41/'B_PH_Allgemeine Angaben'!$L$47*('B_PH_Allgemeine Angaben'!$L$47-'B_PH_Allgemeine Angaben'!$L$48)</f>
        <v>#DIV/0!</v>
      </c>
      <c r="F41" s="783" t="e">
        <f>D41/'B_PH_Allgemeine Angaben'!$L$47*'B_PH_Allgemeine Angaben'!$L$48</f>
        <v>#DIV/0!</v>
      </c>
      <c r="G41" s="300" t="e">
        <f t="shared" ref="G41:G47" si="28">I41+K41+M41+O41+Q41+S41</f>
        <v>#VALUE!</v>
      </c>
      <c r="H41" s="301">
        <v>0.5</v>
      </c>
      <c r="I41" s="312" t="e">
        <f>D41*H41/$P$6*$J$11</f>
        <v>#VALUE!</v>
      </c>
      <c r="J41" s="313" t="e">
        <f t="shared" ref="J41:J47" si="29">I41/$J$11</f>
        <v>#VALUE!</v>
      </c>
      <c r="K41" s="327" t="e">
        <f>D41*H41/$P$6*$L$11</f>
        <v>#VALUE!</v>
      </c>
      <c r="L41" s="313" t="e">
        <f t="shared" ref="L41:L47" si="30">K41/$L$11</f>
        <v>#VALUE!</v>
      </c>
      <c r="M41" s="312" t="e">
        <f>D41*H41/$P$6*$N$11</f>
        <v>#VALUE!</v>
      </c>
      <c r="N41" s="313" t="e">
        <f t="shared" ref="N41:N47" si="31">M41/$N$11</f>
        <v>#VALUE!</v>
      </c>
      <c r="O41" s="312" t="e">
        <f>D41*H41/$P$6*$P$11</f>
        <v>#VALUE!</v>
      </c>
      <c r="P41" s="313" t="e">
        <f t="shared" ref="P41:P47" si="32">O41/$P$11</f>
        <v>#VALUE!</v>
      </c>
      <c r="Q41" s="312" t="e">
        <f>D41*H41/$P$6*$R$11</f>
        <v>#VALUE!</v>
      </c>
      <c r="R41" s="313" t="e">
        <f t="shared" ref="R41:R47" si="33">Q41/$R$11</f>
        <v>#VALUE!</v>
      </c>
      <c r="S41" s="312">
        <f>D41*H41</f>
        <v>0</v>
      </c>
      <c r="T41" s="313" t="e">
        <f>S41/$P$6</f>
        <v>#VALUE!</v>
      </c>
      <c r="U41" s="350"/>
      <c r="V41" s="351"/>
      <c r="W41" s="352"/>
      <c r="X41" s="351"/>
      <c r="Y41" s="4"/>
      <c r="Z41" s="259"/>
      <c r="AA41" s="259"/>
    </row>
    <row r="42" spans="1:27" x14ac:dyDescent="0.2">
      <c r="A42" s="2"/>
      <c r="B42" s="348" t="str">
        <f>B_PH_Kalkulation!H48</f>
        <v>3.2.</v>
      </c>
      <c r="C42" s="353" t="str">
        <f>B_PH_Kalkulation!I48</f>
        <v>Wäscherei</v>
      </c>
      <c r="D42" s="311">
        <f>B_PH_Kalkulation!L48</f>
        <v>0</v>
      </c>
      <c r="E42" s="778" t="e">
        <f>D42/'B_PH_Allgemeine Angaben'!$L$47*('B_PH_Allgemeine Angaben'!$L$47-'B_PH_Allgemeine Angaben'!$L$48)</f>
        <v>#DIV/0!</v>
      </c>
      <c r="F42" s="783" t="e">
        <f>D42/'B_PH_Allgemeine Angaben'!$L$47*'B_PH_Allgemeine Angaben'!$L$48</f>
        <v>#DIV/0!</v>
      </c>
      <c r="G42" s="300" t="e">
        <f t="shared" si="28"/>
        <v>#VALUE!</v>
      </c>
      <c r="H42" s="301">
        <v>0.5</v>
      </c>
      <c r="I42" s="312" t="e">
        <f t="shared" ref="I42:I47" si="34">D42*H42/$P$6*$J$11</f>
        <v>#VALUE!</v>
      </c>
      <c r="J42" s="313" t="e">
        <f t="shared" si="29"/>
        <v>#VALUE!</v>
      </c>
      <c r="K42" s="327" t="e">
        <f t="shared" ref="K42:K47" si="35">D42*H42/$P$6*$L$11</f>
        <v>#VALUE!</v>
      </c>
      <c r="L42" s="313" t="e">
        <f t="shared" si="30"/>
        <v>#VALUE!</v>
      </c>
      <c r="M42" s="312" t="e">
        <f t="shared" ref="M42:M47" si="36">D42*H42/$P$6*$N$11</f>
        <v>#VALUE!</v>
      </c>
      <c r="N42" s="313" t="e">
        <f t="shared" si="31"/>
        <v>#VALUE!</v>
      </c>
      <c r="O42" s="312" t="e">
        <f t="shared" ref="O42:O47" si="37">D42*H42/$P$6*$P$11</f>
        <v>#VALUE!</v>
      </c>
      <c r="P42" s="313" t="e">
        <f t="shared" si="32"/>
        <v>#VALUE!</v>
      </c>
      <c r="Q42" s="312" t="e">
        <f t="shared" ref="Q42:Q47" si="38">D42*H42/$P$6*$R$11</f>
        <v>#VALUE!</v>
      </c>
      <c r="R42" s="313" t="e">
        <f t="shared" si="33"/>
        <v>#VALUE!</v>
      </c>
      <c r="S42" s="312">
        <f t="shared" ref="S42:S47" si="39">D42*H42</f>
        <v>0</v>
      </c>
      <c r="T42" s="313" t="e">
        <f t="shared" ref="T42:T47" si="40">S42/$P$6</f>
        <v>#VALUE!</v>
      </c>
      <c r="U42" s="354"/>
      <c r="V42" s="351"/>
      <c r="W42" s="352"/>
      <c r="X42" s="351"/>
      <c r="Y42" s="355"/>
      <c r="Z42" s="259"/>
      <c r="AA42" s="259"/>
    </row>
    <row r="43" spans="1:27" x14ac:dyDescent="0.2">
      <c r="A43" s="2"/>
      <c r="B43" s="348" t="str">
        <f>B_PH_Kalkulation!H49</f>
        <v>3.3.</v>
      </c>
      <c r="C43" s="353" t="str">
        <f>B_PH_Kalkulation!I49</f>
        <v>Wäschekennzeichnung</v>
      </c>
      <c r="D43" s="311">
        <f>B_PH_Kalkulation!L49</f>
        <v>0</v>
      </c>
      <c r="E43" s="778" t="e">
        <f>D43/'B_PH_Allgemeine Angaben'!$L$47*('B_PH_Allgemeine Angaben'!$L$47-'B_PH_Allgemeine Angaben'!$L$48)</f>
        <v>#DIV/0!</v>
      </c>
      <c r="F43" s="783" t="e">
        <f>D43/'B_PH_Allgemeine Angaben'!$L$47*'B_PH_Allgemeine Angaben'!$L$48</f>
        <v>#DIV/0!</v>
      </c>
      <c r="G43" s="300" t="e">
        <f>I43+K43+M43+O43+Q43+S43</f>
        <v>#VALUE!</v>
      </c>
      <c r="H43" s="301">
        <v>0.5</v>
      </c>
      <c r="I43" s="312" t="e">
        <f t="shared" si="34"/>
        <v>#VALUE!</v>
      </c>
      <c r="J43" s="313" t="e">
        <f t="shared" si="29"/>
        <v>#VALUE!</v>
      </c>
      <c r="K43" s="327" t="e">
        <f t="shared" si="35"/>
        <v>#VALUE!</v>
      </c>
      <c r="L43" s="313" t="e">
        <f t="shared" si="30"/>
        <v>#VALUE!</v>
      </c>
      <c r="M43" s="312" t="e">
        <f t="shared" si="36"/>
        <v>#VALUE!</v>
      </c>
      <c r="N43" s="313" t="e">
        <f t="shared" si="31"/>
        <v>#VALUE!</v>
      </c>
      <c r="O43" s="312" t="e">
        <f t="shared" si="37"/>
        <v>#VALUE!</v>
      </c>
      <c r="P43" s="313" t="e">
        <f t="shared" si="32"/>
        <v>#VALUE!</v>
      </c>
      <c r="Q43" s="312" t="e">
        <f t="shared" si="38"/>
        <v>#VALUE!</v>
      </c>
      <c r="R43" s="313" t="e">
        <f t="shared" si="33"/>
        <v>#VALUE!</v>
      </c>
      <c r="S43" s="312">
        <f t="shared" si="39"/>
        <v>0</v>
      </c>
      <c r="T43" s="313" t="e">
        <f t="shared" si="40"/>
        <v>#VALUE!</v>
      </c>
      <c r="U43" s="354"/>
      <c r="V43" s="351"/>
      <c r="W43" s="352"/>
      <c r="X43" s="351"/>
      <c r="Y43" s="4"/>
      <c r="AA43" s="1096"/>
    </row>
    <row r="44" spans="1:27" x14ac:dyDescent="0.2">
      <c r="A44" s="2"/>
      <c r="B44" s="348" t="str">
        <f>B_PH_Kalkulation!H50</f>
        <v>3.4.</v>
      </c>
      <c r="C44" s="353" t="str">
        <f>B_PH_Kalkulation!I50</f>
        <v>Reinigung</v>
      </c>
      <c r="D44" s="311">
        <f>B_PH_Kalkulation!L50</f>
        <v>0</v>
      </c>
      <c r="E44" s="778" t="e">
        <f>D44/'B_PH_Allgemeine Angaben'!$L$47*('B_PH_Allgemeine Angaben'!$L$47-'B_PH_Allgemeine Angaben'!$L$48)</f>
        <v>#DIV/0!</v>
      </c>
      <c r="F44" s="783" t="e">
        <f>D44/'B_PH_Allgemeine Angaben'!$L$47*'B_PH_Allgemeine Angaben'!$L$48</f>
        <v>#DIV/0!</v>
      </c>
      <c r="G44" s="300" t="e">
        <f t="shared" si="28"/>
        <v>#VALUE!</v>
      </c>
      <c r="H44" s="301">
        <v>0.5</v>
      </c>
      <c r="I44" s="312" t="e">
        <f t="shared" si="34"/>
        <v>#VALUE!</v>
      </c>
      <c r="J44" s="313" t="e">
        <f t="shared" si="29"/>
        <v>#VALUE!</v>
      </c>
      <c r="K44" s="327" t="e">
        <f t="shared" si="35"/>
        <v>#VALUE!</v>
      </c>
      <c r="L44" s="313" t="e">
        <f t="shared" si="30"/>
        <v>#VALUE!</v>
      </c>
      <c r="M44" s="312" t="e">
        <f t="shared" si="36"/>
        <v>#VALUE!</v>
      </c>
      <c r="N44" s="313" t="e">
        <f t="shared" si="31"/>
        <v>#VALUE!</v>
      </c>
      <c r="O44" s="312" t="e">
        <f t="shared" si="37"/>
        <v>#VALUE!</v>
      </c>
      <c r="P44" s="313" t="e">
        <f t="shared" si="32"/>
        <v>#VALUE!</v>
      </c>
      <c r="Q44" s="312" t="e">
        <f t="shared" si="38"/>
        <v>#VALUE!</v>
      </c>
      <c r="R44" s="313" t="e">
        <f t="shared" si="33"/>
        <v>#VALUE!</v>
      </c>
      <c r="S44" s="312">
        <f t="shared" si="39"/>
        <v>0</v>
      </c>
      <c r="T44" s="313" t="e">
        <f t="shared" si="40"/>
        <v>#VALUE!</v>
      </c>
      <c r="U44" s="356"/>
      <c r="V44" s="357"/>
      <c r="W44" s="358"/>
      <c r="X44" s="357"/>
      <c r="Y44" s="4"/>
      <c r="Z44" s="239"/>
    </row>
    <row r="45" spans="1:27" x14ac:dyDescent="0.2">
      <c r="A45" s="2"/>
      <c r="B45" s="348" t="str">
        <f>B_PH_Kalkulation!H51</f>
        <v>3.5.</v>
      </c>
      <c r="C45" s="353" t="str">
        <f>B_PH_Kalkulation!I51</f>
        <v>Haustechnik</v>
      </c>
      <c r="D45" s="311">
        <f>B_PH_Kalkulation!L51</f>
        <v>0</v>
      </c>
      <c r="E45" s="778" t="e">
        <f>D45/'B_PH_Allgemeine Angaben'!$L$47*('B_PH_Allgemeine Angaben'!$L$47-'B_PH_Allgemeine Angaben'!$L$48)</f>
        <v>#DIV/0!</v>
      </c>
      <c r="F45" s="783" t="e">
        <f>D45/'B_PH_Allgemeine Angaben'!$L$47*'B_PH_Allgemeine Angaben'!$L$48</f>
        <v>#DIV/0!</v>
      </c>
      <c r="G45" s="300" t="e">
        <f t="shared" si="28"/>
        <v>#VALUE!</v>
      </c>
      <c r="H45" s="301">
        <v>0.5</v>
      </c>
      <c r="I45" s="312" t="e">
        <f t="shared" si="34"/>
        <v>#VALUE!</v>
      </c>
      <c r="J45" s="313" t="e">
        <f t="shared" si="29"/>
        <v>#VALUE!</v>
      </c>
      <c r="K45" s="327" t="e">
        <f t="shared" si="35"/>
        <v>#VALUE!</v>
      </c>
      <c r="L45" s="313" t="e">
        <f t="shared" si="30"/>
        <v>#VALUE!</v>
      </c>
      <c r="M45" s="312" t="e">
        <f t="shared" si="36"/>
        <v>#VALUE!</v>
      </c>
      <c r="N45" s="313" t="e">
        <f t="shared" si="31"/>
        <v>#VALUE!</v>
      </c>
      <c r="O45" s="312" t="e">
        <f t="shared" si="37"/>
        <v>#VALUE!</v>
      </c>
      <c r="P45" s="313" t="e">
        <f t="shared" si="32"/>
        <v>#VALUE!</v>
      </c>
      <c r="Q45" s="312" t="e">
        <f t="shared" si="38"/>
        <v>#VALUE!</v>
      </c>
      <c r="R45" s="313" t="e">
        <f t="shared" si="33"/>
        <v>#VALUE!</v>
      </c>
      <c r="S45" s="312">
        <f t="shared" si="39"/>
        <v>0</v>
      </c>
      <c r="T45" s="313" t="e">
        <f t="shared" si="40"/>
        <v>#VALUE!</v>
      </c>
      <c r="U45" s="307"/>
      <c r="V45" s="308"/>
      <c r="W45" s="307"/>
      <c r="X45" s="308"/>
      <c r="Y45" s="4"/>
      <c r="Z45" s="255"/>
    </row>
    <row r="46" spans="1:27" x14ac:dyDescent="0.2">
      <c r="A46" s="2"/>
      <c r="B46" s="348" t="str">
        <f>B_PH_Kalkulation!H52</f>
        <v>3.6.</v>
      </c>
      <c r="C46" s="353" t="str">
        <f>B_PH_Kalkulation!I52</f>
        <v/>
      </c>
      <c r="D46" s="311">
        <f>B_PH_Kalkulation!L52</f>
        <v>0</v>
      </c>
      <c r="E46" s="778" t="e">
        <f>D46/'B_PH_Allgemeine Angaben'!$L$47*('B_PH_Allgemeine Angaben'!$L$47-'B_PH_Allgemeine Angaben'!$L$48)</f>
        <v>#DIV/0!</v>
      </c>
      <c r="F46" s="783" t="e">
        <f>D46/'B_PH_Allgemeine Angaben'!$L$47*'B_PH_Allgemeine Angaben'!$L$48</f>
        <v>#DIV/0!</v>
      </c>
      <c r="G46" s="300" t="e">
        <f t="shared" ref="G46" si="41">I46+K46+M46+O46+Q46+S46</f>
        <v>#VALUE!</v>
      </c>
      <c r="H46" s="301">
        <v>0.5</v>
      </c>
      <c r="I46" s="312" t="e">
        <f t="shared" ref="I46" si="42">D46*H46/$P$6*$J$11</f>
        <v>#VALUE!</v>
      </c>
      <c r="J46" s="313" t="e">
        <f t="shared" ref="J46" si="43">I46/$J$11</f>
        <v>#VALUE!</v>
      </c>
      <c r="K46" s="327" t="e">
        <f t="shared" ref="K46" si="44">D46*H46/$P$6*$L$11</f>
        <v>#VALUE!</v>
      </c>
      <c r="L46" s="313" t="e">
        <f t="shared" ref="L46" si="45">K46/$L$11</f>
        <v>#VALUE!</v>
      </c>
      <c r="M46" s="312" t="e">
        <f t="shared" ref="M46" si="46">D46*H46/$P$6*$N$11</f>
        <v>#VALUE!</v>
      </c>
      <c r="N46" s="313" t="e">
        <f t="shared" ref="N46" si="47">M46/$N$11</f>
        <v>#VALUE!</v>
      </c>
      <c r="O46" s="312" t="e">
        <f t="shared" ref="O46" si="48">D46*H46/$P$6*$P$11</f>
        <v>#VALUE!</v>
      </c>
      <c r="P46" s="313" t="e">
        <f t="shared" ref="P46" si="49">O46/$P$11</f>
        <v>#VALUE!</v>
      </c>
      <c r="Q46" s="312" t="e">
        <f t="shared" ref="Q46" si="50">D46*H46/$P$6*$R$11</f>
        <v>#VALUE!</v>
      </c>
      <c r="R46" s="313" t="e">
        <f t="shared" ref="R46" si="51">Q46/$R$11</f>
        <v>#VALUE!</v>
      </c>
      <c r="S46" s="312">
        <f t="shared" ref="S46" si="52">D46*H46</f>
        <v>0</v>
      </c>
      <c r="T46" s="313" t="e">
        <f t="shared" ref="T46" si="53">S46/$P$6</f>
        <v>#VALUE!</v>
      </c>
      <c r="U46" s="307"/>
      <c r="V46" s="308"/>
      <c r="W46" s="307"/>
      <c r="X46" s="308"/>
      <c r="Y46" s="4"/>
      <c r="Z46" s="255"/>
    </row>
    <row r="47" spans="1:27" x14ac:dyDescent="0.2">
      <c r="A47" s="2"/>
      <c r="B47" s="348" t="str">
        <f>B_PH_Kalkulation!H53</f>
        <v>3.7.</v>
      </c>
      <c r="C47" s="353" t="str">
        <f>B_PH_Kalkulation!I53</f>
        <v/>
      </c>
      <c r="D47" s="311">
        <f>B_PH_Kalkulation!L53</f>
        <v>0</v>
      </c>
      <c r="E47" s="778" t="e">
        <f>D47/'B_PH_Allgemeine Angaben'!$L$47*('B_PH_Allgemeine Angaben'!$L$47-'B_PH_Allgemeine Angaben'!$L$48)</f>
        <v>#DIV/0!</v>
      </c>
      <c r="F47" s="783" t="e">
        <f>D47/'B_PH_Allgemeine Angaben'!$L$47*'B_PH_Allgemeine Angaben'!$L$48</f>
        <v>#DIV/0!</v>
      </c>
      <c r="G47" s="300" t="e">
        <f t="shared" si="28"/>
        <v>#VALUE!</v>
      </c>
      <c r="H47" s="301">
        <v>0.5</v>
      </c>
      <c r="I47" s="312" t="e">
        <f t="shared" si="34"/>
        <v>#VALUE!</v>
      </c>
      <c r="J47" s="313" t="e">
        <f t="shared" si="29"/>
        <v>#VALUE!</v>
      </c>
      <c r="K47" s="327" t="e">
        <f t="shared" si="35"/>
        <v>#VALUE!</v>
      </c>
      <c r="L47" s="313" t="e">
        <f t="shared" si="30"/>
        <v>#VALUE!</v>
      </c>
      <c r="M47" s="312" t="e">
        <f t="shared" si="36"/>
        <v>#VALUE!</v>
      </c>
      <c r="N47" s="313" t="e">
        <f t="shared" si="31"/>
        <v>#VALUE!</v>
      </c>
      <c r="O47" s="312" t="e">
        <f t="shared" si="37"/>
        <v>#VALUE!</v>
      </c>
      <c r="P47" s="313" t="e">
        <f t="shared" si="32"/>
        <v>#VALUE!</v>
      </c>
      <c r="Q47" s="312" t="e">
        <f t="shared" si="38"/>
        <v>#VALUE!</v>
      </c>
      <c r="R47" s="313" t="e">
        <f t="shared" si="33"/>
        <v>#VALUE!</v>
      </c>
      <c r="S47" s="312">
        <f t="shared" si="39"/>
        <v>0</v>
      </c>
      <c r="T47" s="313" t="e">
        <f t="shared" si="40"/>
        <v>#VALUE!</v>
      </c>
      <c r="U47" s="307"/>
      <c r="V47" s="308"/>
      <c r="W47" s="307"/>
      <c r="X47" s="308"/>
      <c r="Y47" s="4"/>
      <c r="Z47" s="359"/>
    </row>
    <row r="48" spans="1:27" x14ac:dyDescent="0.2">
      <c r="A48" s="2"/>
      <c r="D48" s="360"/>
      <c r="E48" s="360"/>
      <c r="F48" s="360"/>
      <c r="G48" s="698"/>
      <c r="H48" s="307"/>
      <c r="I48" s="361"/>
      <c r="J48" s="362"/>
      <c r="K48" s="363"/>
      <c r="L48" s="362"/>
      <c r="M48" s="364"/>
      <c r="N48" s="365"/>
      <c r="O48" s="361"/>
      <c r="P48" s="365"/>
      <c r="Q48" s="361"/>
      <c r="R48" s="365"/>
      <c r="S48" s="320"/>
      <c r="T48" s="308"/>
      <c r="U48" s="307"/>
      <c r="V48" s="308"/>
      <c r="W48" s="307"/>
      <c r="X48" s="308"/>
      <c r="Y48" s="4"/>
      <c r="Z48" s="359"/>
    </row>
    <row r="49" spans="1:43" x14ac:dyDescent="0.2">
      <c r="A49" s="2"/>
      <c r="B49" s="587" t="s">
        <v>393</v>
      </c>
      <c r="C49" s="588" t="s">
        <v>391</v>
      </c>
      <c r="D49" s="311">
        <f>B_PH_Kalkulation!M61</f>
        <v>0</v>
      </c>
      <c r="E49" s="778" t="e">
        <f>D49/'B_PH_Allgemeine Angaben'!$L$47*('B_PH_Allgemeine Angaben'!$L$47-'B_PH_Allgemeine Angaben'!$L$48)</f>
        <v>#DIV/0!</v>
      </c>
      <c r="F49" s="783" t="e">
        <f>D49/'B_PH_Allgemeine Angaben'!$L$47*'B_PH_Allgemeine Angaben'!$L$48</f>
        <v>#DIV/0!</v>
      </c>
      <c r="G49" s="300" t="e">
        <f t="shared" ref="G49" si="54">I49+K49+M49+O49+Q49+S49</f>
        <v>#VALUE!</v>
      </c>
      <c r="H49" s="301">
        <v>0.5</v>
      </c>
      <c r="I49" s="312" t="e">
        <f t="shared" ref="I49" si="55">D49*H49/$P$6*$J$11</f>
        <v>#VALUE!</v>
      </c>
      <c r="J49" s="313" t="e">
        <f t="shared" ref="J49" si="56">I49/$J$11</f>
        <v>#VALUE!</v>
      </c>
      <c r="K49" s="327" t="e">
        <f t="shared" ref="K49" si="57">D49*H49/$P$6*$L$11</f>
        <v>#VALUE!</v>
      </c>
      <c r="L49" s="313" t="e">
        <f t="shared" ref="L49" si="58">K49/$L$11</f>
        <v>#VALUE!</v>
      </c>
      <c r="M49" s="312" t="e">
        <f t="shared" ref="M49" si="59">D49*H49/$P$6*$N$11</f>
        <v>#VALUE!</v>
      </c>
      <c r="N49" s="313" t="e">
        <f t="shared" ref="N49" si="60">M49/$N$11</f>
        <v>#VALUE!</v>
      </c>
      <c r="O49" s="312" t="e">
        <f t="shared" ref="O49" si="61">D49*H49/$P$6*$P$11</f>
        <v>#VALUE!</v>
      </c>
      <c r="P49" s="313" t="e">
        <f t="shared" ref="P49" si="62">O49/$P$11</f>
        <v>#VALUE!</v>
      </c>
      <c r="Q49" s="312" t="e">
        <f t="shared" ref="Q49" si="63">D49*H49/$P$6*$R$11</f>
        <v>#VALUE!</v>
      </c>
      <c r="R49" s="313" t="e">
        <f t="shared" ref="R49" si="64">Q49/$R$11</f>
        <v>#VALUE!</v>
      </c>
      <c r="S49" s="312">
        <f t="shared" ref="S49" si="65">D49*H49</f>
        <v>0</v>
      </c>
      <c r="T49" s="313" t="e">
        <f t="shared" ref="T49" si="66">S49/$P$6</f>
        <v>#VALUE!</v>
      </c>
      <c r="U49" s="307"/>
      <c r="V49" s="308"/>
      <c r="W49" s="307"/>
      <c r="X49" s="308"/>
      <c r="Y49" s="4"/>
      <c r="Z49" s="359"/>
    </row>
    <row r="50" spans="1:43" x14ac:dyDescent="0.2">
      <c r="A50" s="2"/>
      <c r="D50" s="360"/>
      <c r="E50" s="360"/>
      <c r="F50" s="360"/>
      <c r="G50" s="307"/>
      <c r="H50" s="307"/>
      <c r="I50" s="361"/>
      <c r="J50" s="362"/>
      <c r="K50" s="363"/>
      <c r="L50" s="362"/>
      <c r="M50" s="364"/>
      <c r="N50" s="365"/>
      <c r="O50" s="361"/>
      <c r="P50" s="365"/>
      <c r="Q50" s="361"/>
      <c r="R50" s="365"/>
      <c r="S50" s="320"/>
      <c r="T50" s="308"/>
      <c r="U50" s="307"/>
      <c r="V50" s="308"/>
      <c r="W50" s="307"/>
      <c r="X50" s="308"/>
      <c r="Y50" s="4"/>
      <c r="Z50" s="359"/>
    </row>
    <row r="51" spans="1:43" x14ac:dyDescent="0.2">
      <c r="A51" s="2"/>
      <c r="D51" s="360"/>
      <c r="E51" s="360"/>
      <c r="F51" s="360"/>
      <c r="G51" s="307"/>
      <c r="H51" s="307"/>
      <c r="I51" s="361"/>
      <c r="J51" s="362"/>
      <c r="K51" s="363"/>
      <c r="L51" s="362"/>
      <c r="M51" s="364"/>
      <c r="N51" s="365"/>
      <c r="O51" s="361"/>
      <c r="P51" s="365"/>
      <c r="Q51" s="361"/>
      <c r="R51" s="365"/>
      <c r="S51" s="320"/>
      <c r="T51" s="308"/>
      <c r="U51" s="307"/>
      <c r="V51" s="308"/>
      <c r="W51" s="307"/>
      <c r="X51" s="308"/>
      <c r="Y51" s="4"/>
      <c r="Z51" s="359"/>
    </row>
    <row r="52" spans="1:43" x14ac:dyDescent="0.2">
      <c r="A52" s="2"/>
      <c r="B52" s="366"/>
      <c r="C52" s="700" t="s">
        <v>421</v>
      </c>
      <c r="D52" s="311">
        <f>K52+M52+O52+Q52</f>
        <v>0</v>
      </c>
      <c r="E52" s="778"/>
      <c r="F52" s="778"/>
      <c r="G52" s="301" t="e">
        <f>D40+D30+D16-S16-S30-S40-U30-I52</f>
        <v>#VALUE!</v>
      </c>
      <c r="H52" s="301"/>
      <c r="I52" s="367" t="e">
        <f>J52*J11</f>
        <v>#VALUE!</v>
      </c>
      <c r="J52" s="368" t="e">
        <f>IF(B_PH_Kalkulation!H15=0,ROUND(B_PH_Gesamtkalkulation!L57*KAT!M35,2),ROUND((B_PH_Gesamtkalkulation!J16+B_PH_Gesamtkalkulation!J30+B_PH_Gesamtkalkulation!J40+J49),2))</f>
        <v>#VALUE!</v>
      </c>
      <c r="K52" s="369">
        <f>IFERROR(L52*L11,0)</f>
        <v>0</v>
      </c>
      <c r="L52" s="370" t="str">
        <f>IF(ISERROR(L40+L30+L16+L49),"",(L40+L30+L16+L49))</f>
        <v/>
      </c>
      <c r="M52" s="369">
        <f>IFERROR(N52*N11,0)</f>
        <v>0</v>
      </c>
      <c r="N52" s="370" t="str">
        <f>IF(ISERROR(N40+N30+N16+N49),"",(N40+N30+N16+N49))</f>
        <v/>
      </c>
      <c r="O52" s="369">
        <f>IFERROR(P52*P11,0)</f>
        <v>0</v>
      </c>
      <c r="P52" s="370" t="str">
        <f>IF(ISERROR(P40+P30+P16+P49),"",(P40+P30+P16+P49))</f>
        <v/>
      </c>
      <c r="Q52" s="369">
        <f>IFERROR(R52*R11,0)</f>
        <v>0</v>
      </c>
      <c r="R52" s="370" t="str">
        <f>IF(ISERROR(R40+R30+R16+R49),"",(R40+R30+R16+R49))</f>
        <v/>
      </c>
      <c r="S52" s="371"/>
      <c r="T52" s="308"/>
      <c r="U52" s="372"/>
      <c r="V52" s="308"/>
      <c r="W52" s="307"/>
      <c r="X52" s="308"/>
      <c r="Y52" s="4"/>
      <c r="Z52" s="244"/>
    </row>
    <row r="53" spans="1:43" x14ac:dyDescent="0.2">
      <c r="A53" s="2"/>
      <c r="B53" s="366"/>
      <c r="C53" s="297" t="s">
        <v>88</v>
      </c>
      <c r="D53" s="311" t="e">
        <f>(((L12*L10)+(N12*N10)+(P12*P10)+(R12*R10))*12)*$N$6/100</f>
        <v>#VALUE!</v>
      </c>
      <c r="E53" s="778"/>
      <c r="F53" s="778"/>
      <c r="G53" s="301" t="e">
        <f>K53+M53+O53+Q53</f>
        <v>#VALUE!</v>
      </c>
      <c r="H53" s="301"/>
      <c r="I53" s="312"/>
      <c r="J53" s="313"/>
      <c r="K53" s="369" t="e">
        <f>L12/($R$6)*L11</f>
        <v>#VALUE!</v>
      </c>
      <c r="L53" s="370" t="e">
        <f>K53/L11</f>
        <v>#VALUE!</v>
      </c>
      <c r="M53" s="369" t="e">
        <f>N12/($R$6)*N11</f>
        <v>#VALUE!</v>
      </c>
      <c r="N53" s="370" t="e">
        <f>M53/N11</f>
        <v>#VALUE!</v>
      </c>
      <c r="O53" s="369" t="e">
        <f>P12/($R$6)*P11</f>
        <v>#VALUE!</v>
      </c>
      <c r="P53" s="370" t="e">
        <f>O53/P11</f>
        <v>#VALUE!</v>
      </c>
      <c r="Q53" s="369" t="e">
        <f>R12/($R$6)*R11</f>
        <v>#VALUE!</v>
      </c>
      <c r="R53" s="370" t="e">
        <f>Q53/R11</f>
        <v>#VALUE!</v>
      </c>
      <c r="S53" s="371"/>
      <c r="T53" s="308"/>
      <c r="U53" s="372"/>
      <c r="V53" s="373"/>
      <c r="W53" s="374"/>
      <c r="X53" s="373"/>
      <c r="Y53" s="4"/>
      <c r="Z53" s="375"/>
    </row>
    <row r="54" spans="1:43" x14ac:dyDescent="0.2">
      <c r="A54" s="2"/>
      <c r="B54" s="366"/>
      <c r="C54" s="297" t="s">
        <v>89</v>
      </c>
      <c r="D54" s="311" t="e">
        <f>D52-D53</f>
        <v>#VALUE!</v>
      </c>
      <c r="E54" s="778"/>
      <c r="F54" s="778"/>
      <c r="G54" s="301" t="e">
        <f>K54+M54+O54+Q54</f>
        <v>#VALUE!</v>
      </c>
      <c r="H54" s="301"/>
      <c r="I54" s="312"/>
      <c r="J54" s="313"/>
      <c r="K54" s="369" t="e">
        <f>K52-K53</f>
        <v>#VALUE!</v>
      </c>
      <c r="L54" s="370" t="e">
        <f>ROUND($D$54/eeadivisor,2)</f>
        <v>#VALUE!</v>
      </c>
      <c r="M54" s="369" t="e">
        <f>M52-M53</f>
        <v>#VALUE!</v>
      </c>
      <c r="N54" s="370" t="e">
        <f>ROUND($D$54/eeadivisor,2)</f>
        <v>#VALUE!</v>
      </c>
      <c r="O54" s="369" t="e">
        <f>O52-O53</f>
        <v>#VALUE!</v>
      </c>
      <c r="P54" s="370" t="e">
        <f>ROUND($D$54/eeadivisor,2)</f>
        <v>#VALUE!</v>
      </c>
      <c r="Q54" s="369" t="e">
        <f>Q52-Q53</f>
        <v>#VALUE!</v>
      </c>
      <c r="R54" s="370" t="e">
        <f>ROUND($D$54/eeadivisor,2)</f>
        <v>#VALUE!</v>
      </c>
      <c r="S54" s="371"/>
      <c r="T54" s="376" t="s">
        <v>93</v>
      </c>
      <c r="U54" s="372"/>
      <c r="V54" s="373"/>
      <c r="W54" s="374"/>
      <c r="X54" s="373"/>
      <c r="Y54" s="4"/>
    </row>
    <row r="55" spans="1:43" x14ac:dyDescent="0.2">
      <c r="A55" s="2"/>
      <c r="H55" s="274"/>
      <c r="I55" s="377"/>
      <c r="J55" s="377"/>
      <c r="K55" s="699"/>
      <c r="L55" s="377"/>
      <c r="M55" s="699"/>
      <c r="N55" s="377"/>
      <c r="O55" s="699"/>
      <c r="P55" s="377"/>
      <c r="Q55" s="699"/>
      <c r="R55" s="377"/>
      <c r="U55" s="41"/>
      <c r="V55" s="377"/>
      <c r="W55" s="378"/>
      <c r="X55" s="377"/>
      <c r="Y55" s="4"/>
    </row>
    <row r="56" spans="1:43" ht="15" thickBot="1" x14ac:dyDescent="0.25">
      <c r="A56" s="2"/>
      <c r="H56" s="274"/>
      <c r="I56" s="377"/>
      <c r="J56" s="7" t="s">
        <v>50</v>
      </c>
      <c r="K56" s="912"/>
      <c r="L56" s="7" t="s">
        <v>51</v>
      </c>
      <c r="M56" s="912"/>
      <c r="N56" s="7" t="s">
        <v>52</v>
      </c>
      <c r="O56" s="912"/>
      <c r="P56" s="7" t="s">
        <v>53</v>
      </c>
      <c r="Q56" s="912"/>
      <c r="R56" s="7" t="s">
        <v>54</v>
      </c>
      <c r="T56" s="7" t="s">
        <v>209</v>
      </c>
      <c r="U56" s="913"/>
      <c r="V56" s="7" t="s">
        <v>548</v>
      </c>
      <c r="W56" s="913"/>
      <c r="X56" s="7" t="s">
        <v>473</v>
      </c>
      <c r="Y56" s="4"/>
    </row>
    <row r="57" spans="1:43" ht="15" thickBot="1" x14ac:dyDescent="0.25">
      <c r="A57" s="2"/>
      <c r="B57" s="914"/>
      <c r="C57" s="914"/>
      <c r="D57" s="6" t="s">
        <v>90</v>
      </c>
      <c r="E57" s="6"/>
      <c r="F57" s="6"/>
      <c r="G57" s="914"/>
      <c r="H57" s="915"/>
      <c r="I57" s="6" t="s">
        <v>56</v>
      </c>
      <c r="J57" s="379" t="str">
        <f>IF(ISERROR(J52),"",J52)</f>
        <v/>
      </c>
      <c r="K57" s="6" t="s">
        <v>57</v>
      </c>
      <c r="L57" s="379" t="e">
        <f>ROUND(L12/$R$6+L54,2)</f>
        <v>#VALUE!</v>
      </c>
      <c r="M57" s="6" t="s">
        <v>58</v>
      </c>
      <c r="N57" s="379" t="e">
        <f>ROUND(N12/$R$6+N54,2)</f>
        <v>#VALUE!</v>
      </c>
      <c r="O57" s="6" t="s">
        <v>59</v>
      </c>
      <c r="P57" s="379" t="e">
        <f>ROUND(P12/$R$6+P54,2)</f>
        <v>#VALUE!</v>
      </c>
      <c r="Q57" s="6" t="s">
        <v>60</v>
      </c>
      <c r="R57" s="379" t="e">
        <f>ROUND(R12/$R$6+R54,2)</f>
        <v>#VALUE!</v>
      </c>
      <c r="S57" s="6" t="s">
        <v>91</v>
      </c>
      <c r="T57" s="379" t="e">
        <f>ROUND(T40+T30+T16+T49,2)</f>
        <v>#VALUE!</v>
      </c>
      <c r="U57" s="380" t="s">
        <v>92</v>
      </c>
      <c r="V57" s="379" t="e">
        <f>ROUND(V30,2)</f>
        <v>#VALUE!</v>
      </c>
      <c r="W57" s="381" t="s">
        <v>131</v>
      </c>
      <c r="X57" s="379" t="e">
        <f>X23-0.03</f>
        <v>#DIV/0!</v>
      </c>
      <c r="Y57" s="4"/>
      <c r="Z57" s="11"/>
      <c r="AA57" s="253"/>
      <c r="AQ57" s="382"/>
    </row>
    <row r="58" spans="1:43" ht="15.75" customHeight="1" thickBot="1" x14ac:dyDescent="0.25">
      <c r="A58" s="2"/>
      <c r="B58" s="914"/>
      <c r="C58" s="914"/>
      <c r="D58" s="6"/>
      <c r="E58" s="6"/>
      <c r="F58" s="6"/>
      <c r="G58" s="377"/>
      <c r="H58" s="377"/>
      <c r="I58" s="383"/>
      <c r="J58" s="377"/>
      <c r="K58" s="265"/>
      <c r="L58" s="265"/>
      <c r="M58" s="265"/>
      <c r="N58" s="265"/>
      <c r="O58" s="265"/>
      <c r="P58" s="377"/>
      <c r="Q58" s="377"/>
      <c r="R58" s="377"/>
      <c r="S58" s="377"/>
      <c r="T58" s="377"/>
      <c r="U58" s="377"/>
      <c r="V58" s="377"/>
      <c r="W58" s="377"/>
      <c r="X58" s="377"/>
      <c r="Y58" s="4"/>
      <c r="Z58" s="384"/>
      <c r="AA58" s="385"/>
    </row>
    <row r="59" spans="1:43" ht="15.75" customHeight="1" thickBot="1" x14ac:dyDescent="0.25">
      <c r="A59" s="2"/>
      <c r="B59" s="914"/>
      <c r="C59" s="914"/>
      <c r="D59" s="6" t="s">
        <v>472</v>
      </c>
      <c r="E59" s="6"/>
      <c r="F59" s="6"/>
      <c r="G59" s="377"/>
      <c r="H59" s="377"/>
      <c r="I59" s="383"/>
      <c r="J59" s="379" t="e">
        <f>L54</f>
        <v>#VALUE!</v>
      </c>
      <c r="K59" s="265"/>
      <c r="L59" s="265"/>
      <c r="M59" s="265"/>
      <c r="N59" s="265"/>
      <c r="O59" s="265"/>
      <c r="P59" s="377"/>
      <c r="Q59" s="377"/>
      <c r="R59" s="377"/>
      <c r="S59" s="377"/>
      <c r="T59" s="377"/>
      <c r="U59" s="377"/>
      <c r="V59" s="377"/>
      <c r="W59" s="377"/>
      <c r="X59" s="377"/>
      <c r="Y59" s="4"/>
      <c r="Z59" s="384"/>
      <c r="AA59" s="385"/>
    </row>
    <row r="60" spans="1:43" ht="15.75" customHeight="1" x14ac:dyDescent="0.2">
      <c r="A60" s="2"/>
      <c r="B60" s="914"/>
      <c r="C60" s="914"/>
      <c r="D60" s="6"/>
      <c r="E60" s="6"/>
      <c r="F60" s="6"/>
      <c r="G60" s="377"/>
      <c r="H60" s="377"/>
      <c r="I60" s="383"/>
      <c r="J60" s="7" t="s">
        <v>471</v>
      </c>
      <c r="K60" s="265"/>
      <c r="L60" s="265"/>
      <c r="M60" s="265"/>
      <c r="N60" s="265"/>
      <c r="O60" s="265"/>
      <c r="P60" s="377"/>
      <c r="Q60" s="377"/>
      <c r="R60" s="377"/>
      <c r="S60" s="377"/>
      <c r="T60" s="7" t="s">
        <v>209</v>
      </c>
      <c r="U60" s="913"/>
      <c r="V60" s="7" t="s">
        <v>548</v>
      </c>
      <c r="W60" s="913"/>
      <c r="X60" s="7" t="s">
        <v>473</v>
      </c>
      <c r="Y60" s="4"/>
      <c r="Z60" s="384"/>
      <c r="AA60" s="385"/>
    </row>
    <row r="61" spans="1:43" x14ac:dyDescent="0.2">
      <c r="A61" s="2"/>
      <c r="B61" s="386" t="str">
        <f>IF('B_PH_Allgemeine Angaben'!M48&gt;0,"errechneter Pflegesatz (Tag je Platz) für Kurzzeitpflege gemäß § 1 Abs. 7 Rahmenvertrag Kurzzeitpflege:","")</f>
        <v/>
      </c>
      <c r="C61" s="914"/>
      <c r="D61" s="914"/>
      <c r="E61" s="914"/>
      <c r="F61" s="914"/>
      <c r="G61" s="914"/>
      <c r="H61" s="914"/>
      <c r="I61" s="6" t="s">
        <v>400</v>
      </c>
      <c r="J61" s="387" t="e">
        <f>ROUND((D52+(J11*J52))/D6*'B_PH_Allgemeine Angaben'!L48/(365*0.8*'B_PH_Allgemeine Angaben'!L48),2)</f>
        <v>#VALUE!</v>
      </c>
      <c r="K61" s="6"/>
      <c r="L61" s="387"/>
      <c r="M61" s="6"/>
      <c r="N61" s="387"/>
      <c r="O61" s="6"/>
      <c r="P61" s="387"/>
      <c r="Q61" s="6"/>
      <c r="R61" s="387"/>
      <c r="S61" s="6" t="str">
        <f>IF('B_PH_Allgemeine Angaben'!$M$48&gt;0,B_PH_Gesamtkalkulation!S57,"")</f>
        <v/>
      </c>
      <c r="T61" s="387" t="e">
        <f>ROUND(IFERROR(IF('B_PH_Allgemeine Angaben'!$M$48&gt;0,B_PH_Gesamtkalkulation!T57*0.96/0.8,""),0),2)</f>
        <v>#VALUE!</v>
      </c>
      <c r="U61" s="6" t="str">
        <f>IF('B_PH_Allgemeine Angaben'!$M$48&gt;0,B_PH_Gesamtkalkulation!U57,"")</f>
        <v/>
      </c>
      <c r="V61" s="387" t="e">
        <f>ROUND(IFERROR(IF('B_PH_Allgemeine Angaben'!$M$48&gt;0,B_PH_Gesamtkalkulation!V57*0.96/0.8,""),0),2)</f>
        <v>#VALUE!</v>
      </c>
      <c r="W61" s="914"/>
      <c r="X61" s="387" t="e">
        <f>ROUND(IFERROR(IF('B_PH_Allgemeine Angaben'!$M$48&gt;0,B_PH_Gesamtkalkulation!X57+0.03,""),0),2)</f>
        <v>#VALUE!</v>
      </c>
      <c r="Y61" s="4"/>
      <c r="AA61" s="385"/>
    </row>
    <row r="62" spans="1:43" x14ac:dyDescent="0.2">
      <c r="A62" s="35"/>
      <c r="B62" s="36"/>
      <c r="C62" s="388"/>
      <c r="D62" s="36"/>
      <c r="E62" s="36"/>
      <c r="F62" s="36"/>
      <c r="G62" s="36"/>
      <c r="H62" s="36"/>
      <c r="I62" s="389"/>
      <c r="J62" s="36"/>
      <c r="K62" s="389"/>
      <c r="L62" s="36"/>
      <c r="M62" s="389"/>
      <c r="N62" s="24"/>
      <c r="O62" s="389"/>
      <c r="P62" s="24"/>
      <c r="Q62" s="389"/>
      <c r="R62" s="24"/>
      <c r="S62" s="389"/>
      <c r="T62" s="36"/>
      <c r="U62" s="389"/>
      <c r="V62" s="36"/>
      <c r="W62" s="36"/>
      <c r="X62" s="36"/>
      <c r="Y62" s="232"/>
      <c r="AA62" s="385"/>
    </row>
    <row r="63" spans="1:43" x14ac:dyDescent="0.2">
      <c r="C63" s="5"/>
      <c r="I63" s="6"/>
      <c r="K63" s="6"/>
      <c r="M63" s="6"/>
      <c r="N63" s="11"/>
      <c r="O63" s="6"/>
      <c r="P63" s="11"/>
      <c r="Q63" s="6"/>
      <c r="R63" s="11"/>
      <c r="S63" s="6"/>
      <c r="U63" s="6"/>
      <c r="AA63" s="385"/>
    </row>
    <row r="64" spans="1:43" ht="14.45" customHeight="1" x14ac:dyDescent="0.2">
      <c r="D64" s="390"/>
      <c r="E64" s="390"/>
      <c r="F64" s="390"/>
      <c r="G64" s="391"/>
      <c r="H64" s="391"/>
      <c r="I64" s="391"/>
      <c r="Q64" s="392"/>
      <c r="Z64" s="393"/>
    </row>
    <row r="65" spans="10:26" x14ac:dyDescent="0.2">
      <c r="Z65" s="322"/>
    </row>
    <row r="66" spans="10:26" hidden="1" x14ac:dyDescent="0.2">
      <c r="J66" s="394" t="s">
        <v>180</v>
      </c>
    </row>
    <row r="67" spans="10:26" x14ac:dyDescent="0.2">
      <c r="Z67" s="322"/>
    </row>
  </sheetData>
  <sheetProtection algorithmName="SHA-512" hashValue="Hs4Zky7uGNj0NeKs4bIw5TnFLav9gywyPW/GwoPGvFBVwoekvGZA8l0y1A09TB7sV2be/VtzfrmuFL/e+9FVdQ==" saltValue="miRhTk5baR5AHpvS5XSqew==" spinCount="100000" sheet="1" selectLockedCells="1"/>
  <customSheetViews>
    <customSheetView guid="{9119B1A0-FD79-4FE4-B78E-10E0AEB8080B}" scale="90" showPageBreaks="1" showGridLines="0" fitToPage="1" printArea="1" hiddenRows="1" hiddenColumns="1">
      <pane xSplit="3" ySplit="15" topLeftCell="D46" activePane="bottomRight" state="frozen"/>
      <selection pane="bottomRight" activeCell="C6" sqref="C6"/>
      <pageMargins left="0.70866141732283472" right="0.70866141732283472" top="0.78740157480314965" bottom="0.78740157480314965" header="0.31496062992125984" footer="0.31496062992125984"/>
      <pageSetup paperSize="9" scale="64" orientation="landscape" r:id="rId1"/>
      <headerFooter>
        <oddHeader>&amp;C&amp;9Seite 4</oddHeader>
        <oddFooter>&amp;L&amp;8Version: 21.06.2022&amp;C&amp;8Verhandlungsunterlagen SGB XI (vereinfacht B1)&amp;R&amp;8PSK-Beschluss Nr. 3-2022 vom 21.06.2022</oddFooter>
      </headerFooter>
    </customSheetView>
  </customSheetViews>
  <mergeCells count="4">
    <mergeCell ref="A1:Y1"/>
    <mergeCell ref="A2:Y2"/>
    <mergeCell ref="A3:Y3"/>
    <mergeCell ref="A4:Y4"/>
  </mergeCells>
  <phoneticPr fontId="71" type="noConversion"/>
  <conditionalFormatting sqref="D28:F38 D40:F47">
    <cfRule type="cellIs" dxfId="26" priority="57" operator="between">
      <formula>0</formula>
      <formula>0</formula>
    </cfRule>
  </conditionalFormatting>
  <conditionalFormatting sqref="D49:F49">
    <cfRule type="cellIs" dxfId="25" priority="4" operator="between">
      <formula>0</formula>
      <formula>0</formula>
    </cfRule>
  </conditionalFormatting>
  <conditionalFormatting sqref="D52:F52">
    <cfRule type="cellIs" dxfId="24" priority="63" operator="between">
      <formula>0</formula>
      <formula>0</formula>
    </cfRule>
  </conditionalFormatting>
  <conditionalFormatting sqref="D50:Y54 D57:Y60 D16:Y48 E49:Y49 D55:R56 T55:Y56">
    <cfRule type="containsErrors" dxfId="23" priority="75">
      <formula>ISERROR(D16)</formula>
    </cfRule>
  </conditionalFormatting>
  <conditionalFormatting sqref="I61:I63">
    <cfRule type="containsErrors" dxfId="20" priority="54">
      <formula>ISERROR(I61)</formula>
    </cfRule>
  </conditionalFormatting>
  <conditionalFormatting sqref="J52">
    <cfRule type="expression" dxfId="19" priority="64">
      <formula>$K$52=0</formula>
    </cfRule>
  </conditionalFormatting>
  <conditionalFormatting sqref="J10:R10">
    <cfRule type="cellIs" dxfId="17" priority="61" operator="between">
      <formula>0</formula>
      <formula>0</formula>
    </cfRule>
  </conditionalFormatting>
  <conditionalFormatting sqref="K61:K63">
    <cfRule type="containsErrors" dxfId="15" priority="48">
      <formula>ISERROR(K61)</formula>
    </cfRule>
  </conditionalFormatting>
  <conditionalFormatting sqref="M61:M63">
    <cfRule type="containsErrors" dxfId="14" priority="53">
      <formula>ISERROR(M61)</formula>
    </cfRule>
  </conditionalFormatting>
  <conditionalFormatting sqref="N57">
    <cfRule type="containsText" dxfId="13" priority="60" operator="containsText" text="FALSCH">
      <formula>NOT(ISERROR(SEARCH("FALSCH",N57)))</formula>
    </cfRule>
  </conditionalFormatting>
  <conditionalFormatting sqref="O61:O63">
    <cfRule type="containsErrors" dxfId="12" priority="52">
      <formula>ISERROR(O61)</formula>
    </cfRule>
  </conditionalFormatting>
  <conditionalFormatting sqref="P6">
    <cfRule type="cellIs" dxfId="11" priority="62" operator="between">
      <formula>0</formula>
      <formula>0</formula>
    </cfRule>
  </conditionalFormatting>
  <conditionalFormatting sqref="P57">
    <cfRule type="containsText" dxfId="10" priority="16" operator="containsText" text="FALSCH">
      <formula>NOT(ISERROR(SEARCH("FALSCH",P57)))</formula>
    </cfRule>
  </conditionalFormatting>
  <conditionalFormatting sqref="Q61:Q63">
    <cfRule type="containsErrors" dxfId="9" priority="51">
      <formula>ISERROR(Q61)</formula>
    </cfRule>
  </conditionalFormatting>
  <conditionalFormatting sqref="R57">
    <cfRule type="containsText" dxfId="8" priority="14" operator="containsText" text="FALSCH">
      <formula>NOT(ISERROR(SEARCH("FALSCH",R57)))</formula>
    </cfRule>
  </conditionalFormatting>
  <conditionalFormatting sqref="S61:S63">
    <cfRule type="containsErrors" dxfId="7" priority="50">
      <formula>ISERROR(S61)</formula>
    </cfRule>
  </conditionalFormatting>
  <conditionalFormatting sqref="T57">
    <cfRule type="containsText" dxfId="4" priority="11" operator="containsText" text="FALSCH">
      <formula>NOT(ISERROR(SEARCH("FALSCH",T57)))</formula>
    </cfRule>
  </conditionalFormatting>
  <conditionalFormatting sqref="U61:U63">
    <cfRule type="containsErrors" dxfId="2" priority="49">
      <formula>ISERROR(U61)</formula>
    </cfRule>
  </conditionalFormatting>
  <conditionalFormatting sqref="V57">
    <cfRule type="containsText" dxfId="1" priority="8" operator="containsText" text="FALSCH">
      <formula>NOT(ISERROR(SEARCH("FALSCH",V57)))</formula>
    </cfRule>
  </conditionalFormatting>
  <conditionalFormatting sqref="AA58:AA63">
    <cfRule type="containsErrors" dxfId="0" priority="19">
      <formula>ISERROR(AA58)</formula>
    </cfRule>
  </conditionalFormatting>
  <pageMargins left="0.70866141732283472" right="0.70866141732283472" top="0.78740157480314965" bottom="0.78740157480314965" header="0.31496062992125984" footer="0.31496062992125984"/>
  <pageSetup paperSize="9" scale="52" orientation="landscape"/>
  <headerFooter>
    <oddHeader>&amp;C&amp;9&amp;A</oddHeader>
    <oddFooter xml:space="preserve">&amp;L&amp;8Version: 19.10.2026&amp;C&amp;8Verhandlungsunterlagen SGB XI (vereinfacht B_PH)&amp;R&amp;8PSK-Beschluss vom 08.10.2026 </oddFooter>
  </headerFooter>
  <ignoredErrors>
    <ignoredError sqref="O52 U57:W57 J23:X23 M57 J16:J17 L16:X16 L17 N17 J24:J28 L24:X28 P17 R17:X17 J47:T48 J29:X43 Q52 K52 O57 Q57 S52:T54 J53:J54 J44:T45" evalError="1"/>
    <ignoredError sqref="M52" evalError="1" formula="1"/>
  </ignoredErrors>
  <extLst>
    <ext xmlns:x14="http://schemas.microsoft.com/office/spreadsheetml/2009/9/main" uri="{78C0D931-6437-407d-A8EE-F0AAD7539E65}">
      <x14:conditionalFormattings>
        <x14:conditionalFormatting xmlns:xm="http://schemas.microsoft.com/office/excel/2006/main">
          <x14:cfRule type="expression" priority="67" id="{074122E9-B25B-47E2-9727-2EAB10277E85}">
            <xm:f>'B_PH_Allgemeine Angaben'!$D$7="kzp"</xm:f>
            <x14:dxf>
              <font>
                <color theme="0"/>
              </font>
              <fill>
                <patternFill>
                  <fgColor theme="0"/>
                  <bgColor theme="0"/>
                </patternFill>
              </fill>
              <border>
                <left/>
                <right/>
                <bottom/>
                <vertical/>
                <horizontal/>
              </border>
            </x14:dxf>
          </x14:cfRule>
          <x14:cfRule type="expression" priority="70" id="{B76BB2F1-06D1-44A0-8EA3-3294A0622347}">
            <xm:f>'B_PH_Allgemeine Angaben'!$D$7="tst"</xm:f>
            <x14:dxf>
              <font>
                <color theme="0"/>
              </font>
              <fill>
                <patternFill>
                  <bgColor theme="0"/>
                </patternFill>
              </fill>
              <border>
                <left/>
                <right/>
                <bottom/>
                <vertical/>
                <horizontal/>
              </border>
            </x14:dxf>
          </x14:cfRule>
          <xm:sqref>C12:R12 B53:R53 B54:T54</xm:sqref>
        </x14:conditionalFormatting>
        <x14:conditionalFormatting xmlns:xm="http://schemas.microsoft.com/office/excel/2006/main">
          <x14:cfRule type="expression" priority="2" id="{ABDF2F61-0BA2-4F00-A777-09DD77032DE1}">
            <xm:f>'B_PH_Allgemeine Angaben'!$M$48=0</xm:f>
            <x14:dxf>
              <font>
                <color theme="6" tint="0.59996337778862885"/>
              </font>
            </x14:dxf>
          </x14:cfRule>
          <xm:sqref>E15:F15</xm:sqref>
        </x14:conditionalFormatting>
        <x14:conditionalFormatting xmlns:xm="http://schemas.microsoft.com/office/excel/2006/main">
          <x14:cfRule type="expression" priority="3" id="{4FD8C1CB-1A46-4F28-8E3A-045C002BA02F}">
            <xm:f>'B_PH_Allgemeine Angaben'!$M$48=0</xm:f>
            <x14:dxf>
              <font>
                <color theme="0" tint="-4.9989318521683403E-2"/>
              </font>
            </x14:dxf>
          </x14:cfRule>
          <xm:sqref>E16:F49</xm:sqref>
        </x14:conditionalFormatting>
        <x14:conditionalFormatting xmlns:xm="http://schemas.microsoft.com/office/excel/2006/main">
          <x14:cfRule type="expression" priority="92" id="{BA52BD0A-4FDD-4579-858B-44C3A2B68CC7}">
            <xm:f>'B_PH_Allgemeine Angaben'!$M$48&gt;0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J61</xm:sqref>
        </x14:conditionalFormatting>
        <x14:conditionalFormatting xmlns:xm="http://schemas.microsoft.com/office/excel/2006/main">
          <x14:cfRule type="expression" priority="1" id="{BF2CE99C-E1A0-4675-99B7-793087D4B0D0}">
            <xm:f>'B_PH_Allgemeine Angaben'!$L$48=0</xm:f>
            <x14:dxf>
              <font>
                <color theme="0"/>
              </font>
            </x14:dxf>
          </x14:cfRule>
          <xm:sqref>J60:X60</xm:sqref>
        </x14:conditionalFormatting>
        <x14:conditionalFormatting xmlns:xm="http://schemas.microsoft.com/office/excel/2006/main">
          <x14:cfRule type="expression" priority="74" id="{07C8E480-9846-495D-94E5-811CD282BFFC}">
            <xm:f>'B_PH_Allgemeine Angaben'!$D$7="tst"</xm:f>
            <x14:dxf>
              <font>
                <color theme="0"/>
              </font>
              <fill>
                <patternFill>
                  <bgColor theme="0"/>
                </patternFill>
              </fill>
              <border>
                <left/>
                <right/>
                <top/>
                <bottom/>
                <vertical/>
                <horizontal/>
              </border>
            </x14:dxf>
          </x14:cfRule>
          <xm:sqref>T54 J64:R64</xm:sqref>
        </x14:conditionalFormatting>
        <x14:conditionalFormatting xmlns:xm="http://schemas.microsoft.com/office/excel/2006/main">
          <x14:cfRule type="expression" priority="71" id="{0566DA16-5EBC-4792-A482-DB323D7D639D}">
            <xm:f>'B_PH_Allgemeine Angaben'!$D$7="kzp"</xm:f>
            <x14:dxf>
              <font>
                <color theme="0"/>
              </font>
            </x14:dxf>
          </x14:cfRule>
          <xm:sqref>T54</xm:sqref>
        </x14:conditionalFormatting>
        <x14:conditionalFormatting xmlns:xm="http://schemas.microsoft.com/office/excel/2006/main">
          <x14:cfRule type="expression" priority="95" id="{17A60CE8-74DF-42F0-A6AA-A3A7CFB5AAD0}">
            <xm:f>'B_PH_Allgemeine Angaben'!$M$48&gt;0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T61 V61 X61</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61"/>
  <sheetViews>
    <sheetView zoomScaleNormal="100" workbookViewId="0">
      <selection sqref="A1:I4"/>
    </sheetView>
  </sheetViews>
  <sheetFormatPr baseColWidth="10" defaultColWidth="10" defaultRowHeight="14.25" x14ac:dyDescent="0.2"/>
  <cols>
    <col min="1" max="3" width="10" style="453"/>
    <col min="4" max="4" width="10.125" style="453" customWidth="1"/>
    <col min="5" max="5" width="2.875" style="453" customWidth="1"/>
    <col min="6" max="6" width="2" style="453" customWidth="1"/>
    <col min="7" max="7" width="10.625" style="453" customWidth="1"/>
    <col min="8" max="8" width="10" style="453"/>
    <col min="9" max="9" width="18" style="453" customWidth="1"/>
    <col min="10" max="14" width="10" style="453" customWidth="1"/>
    <col min="15" max="16384" width="10" style="453"/>
  </cols>
  <sheetData>
    <row r="1" spans="1:19" x14ac:dyDescent="0.2">
      <c r="A1" s="1578" t="s">
        <v>146</v>
      </c>
      <c r="B1" s="1579"/>
      <c r="C1" s="1579"/>
      <c r="D1" s="1579"/>
      <c r="E1" s="1579"/>
      <c r="F1" s="1579"/>
      <c r="G1" s="1579"/>
      <c r="H1" s="1579"/>
      <c r="I1" s="1580"/>
      <c r="J1" s="462"/>
    </row>
    <row r="2" spans="1:19" x14ac:dyDescent="0.2">
      <c r="A2" s="1581"/>
      <c r="B2" s="1582"/>
      <c r="C2" s="1582"/>
      <c r="D2" s="1582"/>
      <c r="E2" s="1582"/>
      <c r="F2" s="1582"/>
      <c r="G2" s="1582"/>
      <c r="H2" s="1582"/>
      <c r="I2" s="1583"/>
      <c r="J2" s="466"/>
    </row>
    <row r="3" spans="1:19" x14ac:dyDescent="0.2">
      <c r="A3" s="1581"/>
      <c r="B3" s="1582"/>
      <c r="C3" s="1582"/>
      <c r="D3" s="1582"/>
      <c r="E3" s="1582"/>
      <c r="F3" s="1582"/>
      <c r="G3" s="1582"/>
      <c r="H3" s="1582"/>
      <c r="I3" s="1583"/>
      <c r="J3" s="467"/>
    </row>
    <row r="4" spans="1:19" x14ac:dyDescent="0.2">
      <c r="A4" s="1584"/>
      <c r="B4" s="1585"/>
      <c r="C4" s="1585"/>
      <c r="D4" s="1585"/>
      <c r="E4" s="1585"/>
      <c r="F4" s="1585"/>
      <c r="G4" s="1585"/>
      <c r="H4" s="1585"/>
      <c r="I4" s="1586"/>
    </row>
    <row r="5" spans="1:19" x14ac:dyDescent="0.2">
      <c r="A5" s="454" t="s">
        <v>147</v>
      </c>
      <c r="I5" s="1010"/>
      <c r="J5" s="454"/>
    </row>
    <row r="6" spans="1:19" x14ac:dyDescent="0.2">
      <c r="A6" s="159" t="s">
        <v>457</v>
      </c>
      <c r="I6" s="455"/>
      <c r="J6" s="454"/>
      <c r="K6" s="456"/>
      <c r="L6" s="456"/>
      <c r="M6" s="456"/>
      <c r="N6" s="456"/>
      <c r="O6" s="456"/>
      <c r="P6" s="456"/>
      <c r="Q6" s="456"/>
      <c r="R6" s="456"/>
      <c r="S6" s="456"/>
    </row>
    <row r="7" spans="1:19" x14ac:dyDescent="0.2">
      <c r="A7" s="159" t="s">
        <v>458</v>
      </c>
      <c r="E7" s="768" t="str">
        <f>IF('B_PH_Allgemeine Angaben'!K64&gt;5,"x","")</f>
        <v/>
      </c>
      <c r="G7" s="92"/>
      <c r="I7" s="455"/>
      <c r="J7" s="454"/>
    </row>
    <row r="8" spans="1:19" x14ac:dyDescent="0.2">
      <c r="A8" s="1286" t="s">
        <v>459</v>
      </c>
      <c r="I8" s="455"/>
      <c r="J8" s="454"/>
    </row>
    <row r="9" spans="1:19" x14ac:dyDescent="0.2">
      <c r="A9" s="454" t="s">
        <v>148</v>
      </c>
      <c r="G9" s="762" t="s">
        <v>329</v>
      </c>
      <c r="I9" s="455"/>
      <c r="J9" s="454"/>
    </row>
    <row r="10" spans="1:19" x14ac:dyDescent="0.2">
      <c r="A10" s="454" t="s">
        <v>149</v>
      </c>
      <c r="I10" s="455"/>
      <c r="J10" s="454"/>
    </row>
    <row r="11" spans="1:19" x14ac:dyDescent="0.2">
      <c r="A11" s="454"/>
      <c r="I11" s="455"/>
      <c r="J11" s="454"/>
    </row>
    <row r="12" spans="1:19" x14ac:dyDescent="0.2">
      <c r="A12" s="454" t="s">
        <v>150</v>
      </c>
      <c r="E12" s="768" t="str">
        <f>IF('B_PH_Allgemeine Angaben'!K67&gt;5,"x","")</f>
        <v/>
      </c>
      <c r="G12" s="566" t="s">
        <v>443</v>
      </c>
      <c r="I12" s="455"/>
    </row>
    <row r="13" spans="1:19" x14ac:dyDescent="0.2">
      <c r="A13" s="454" t="s">
        <v>151</v>
      </c>
      <c r="I13" s="455"/>
    </row>
    <row r="14" spans="1:19" x14ac:dyDescent="0.2">
      <c r="A14" s="454" t="s">
        <v>152</v>
      </c>
      <c r="I14" s="455"/>
    </row>
    <row r="15" spans="1:19" x14ac:dyDescent="0.2">
      <c r="A15" s="454"/>
      <c r="I15" s="455"/>
    </row>
    <row r="16" spans="1:19" x14ac:dyDescent="0.2">
      <c r="A16" s="454" t="s">
        <v>153</v>
      </c>
      <c r="E16" s="768" t="str">
        <f>IF('B_PH_Allgemeine Angaben'!K68&gt;5,"x","")</f>
        <v/>
      </c>
      <c r="G16" s="566" t="s">
        <v>444</v>
      </c>
      <c r="I16" s="455"/>
    </row>
    <row r="17" spans="1:10" x14ac:dyDescent="0.2">
      <c r="A17" s="454" t="s">
        <v>154</v>
      </c>
      <c r="I17" s="455"/>
    </row>
    <row r="18" spans="1:10" x14ac:dyDescent="0.2">
      <c r="A18" s="454" t="s">
        <v>155</v>
      </c>
      <c r="I18" s="455"/>
    </row>
    <row r="19" spans="1:10" x14ac:dyDescent="0.2">
      <c r="A19" s="454" t="s">
        <v>156</v>
      </c>
      <c r="I19" s="455"/>
    </row>
    <row r="20" spans="1:10" x14ac:dyDescent="0.2">
      <c r="A20" s="454"/>
      <c r="I20" s="455"/>
    </row>
    <row r="21" spans="1:10" x14ac:dyDescent="0.2">
      <c r="A21" s="454" t="s">
        <v>157</v>
      </c>
      <c r="E21" s="768" t="str">
        <f>IF('B_PH_Allgemeine Angaben'!K72&gt;5,"x","")</f>
        <v/>
      </c>
      <c r="G21" s="92" t="s">
        <v>179</v>
      </c>
      <c r="I21" s="455"/>
      <c r="J21" s="93"/>
    </row>
    <row r="22" spans="1:10" x14ac:dyDescent="0.2">
      <c r="A22" s="454" t="s">
        <v>177</v>
      </c>
      <c r="I22" s="455"/>
      <c r="J22" s="192"/>
    </row>
    <row r="23" spans="1:10" x14ac:dyDescent="0.2">
      <c r="A23" s="159" t="s">
        <v>178</v>
      </c>
      <c r="I23" s="455"/>
      <c r="J23" s="192"/>
    </row>
    <row r="24" spans="1:10" x14ac:dyDescent="0.2">
      <c r="A24" s="454"/>
      <c r="I24" s="455"/>
    </row>
    <row r="25" spans="1:10" x14ac:dyDescent="0.2">
      <c r="A25" s="458" t="s">
        <v>158</v>
      </c>
      <c r="I25" s="455"/>
    </row>
    <row r="26" spans="1:10" x14ac:dyDescent="0.2">
      <c r="A26" s="454"/>
      <c r="I26" s="455"/>
    </row>
    <row r="27" spans="1:10" x14ac:dyDescent="0.2">
      <c r="A27" s="454" t="s">
        <v>159</v>
      </c>
      <c r="E27" s="768" t="str">
        <f>IF('B_PH_Allgemeine Angaben'!K66&gt;5,"x","")</f>
        <v/>
      </c>
      <c r="G27" s="566" t="s">
        <v>445</v>
      </c>
      <c r="I27" s="455"/>
    </row>
    <row r="28" spans="1:10" x14ac:dyDescent="0.2">
      <c r="A28" s="454" t="s">
        <v>160</v>
      </c>
      <c r="I28" s="455"/>
    </row>
    <row r="29" spans="1:10" x14ac:dyDescent="0.2">
      <c r="A29" s="454" t="s">
        <v>161</v>
      </c>
      <c r="I29" s="455"/>
    </row>
    <row r="30" spans="1:10" x14ac:dyDescent="0.2">
      <c r="A30" s="454" t="s">
        <v>162</v>
      </c>
      <c r="I30" s="455"/>
    </row>
    <row r="31" spans="1:10" x14ac:dyDescent="0.2">
      <c r="A31" s="454"/>
      <c r="I31" s="455"/>
    </row>
    <row r="32" spans="1:10" ht="18" x14ac:dyDescent="0.25">
      <c r="A32" s="458" t="s">
        <v>163</v>
      </c>
      <c r="D32" s="459"/>
      <c r="G32" s="487"/>
      <c r="I32" s="455"/>
      <c r="J32" s="467"/>
    </row>
    <row r="33" spans="1:9" x14ac:dyDescent="0.2">
      <c r="A33" s="454"/>
      <c r="G33" s="568"/>
      <c r="H33" s="568"/>
      <c r="I33" s="569"/>
    </row>
    <row r="34" spans="1:9" x14ac:dyDescent="0.2">
      <c r="A34" s="454" t="s">
        <v>164</v>
      </c>
      <c r="E34" s="768" t="str">
        <f>IF('B_PH_Allgemeine Angaben'!K65&gt;5,"x","")</f>
        <v/>
      </c>
      <c r="G34" s="572" t="s">
        <v>352</v>
      </c>
      <c r="H34" s="568"/>
      <c r="I34" s="569"/>
    </row>
    <row r="35" spans="1:9" x14ac:dyDescent="0.2">
      <c r="A35" s="454" t="s">
        <v>165</v>
      </c>
      <c r="G35" s="568"/>
      <c r="H35" s="568"/>
      <c r="I35" s="569"/>
    </row>
    <row r="36" spans="1:9" x14ac:dyDescent="0.2">
      <c r="A36" s="454" t="s">
        <v>166</v>
      </c>
      <c r="G36" s="568"/>
      <c r="H36" s="568"/>
      <c r="I36" s="569"/>
    </row>
    <row r="37" spans="1:9" x14ac:dyDescent="0.2">
      <c r="A37" s="454"/>
      <c r="E37" s="466"/>
      <c r="F37" s="466"/>
      <c r="G37" s="761" t="s">
        <v>446</v>
      </c>
      <c r="H37" s="568"/>
      <c r="I37" s="569"/>
    </row>
    <row r="38" spans="1:9" x14ac:dyDescent="0.2">
      <c r="A38" s="454"/>
      <c r="I38" s="455"/>
    </row>
    <row r="39" spans="1:9" x14ac:dyDescent="0.2">
      <c r="A39" s="454" t="s">
        <v>353</v>
      </c>
      <c r="E39" s="768" t="str">
        <f>IF('B_PH_Allgemeine Angaben'!K65&gt;5,"x","")</f>
        <v/>
      </c>
      <c r="G39" s="457" t="s">
        <v>448</v>
      </c>
      <c r="I39" s="455"/>
    </row>
    <row r="40" spans="1:9" x14ac:dyDescent="0.2">
      <c r="A40" s="454" t="s">
        <v>354</v>
      </c>
      <c r="G40" s="763"/>
      <c r="I40" s="455"/>
    </row>
    <row r="41" spans="1:9" x14ac:dyDescent="0.2">
      <c r="A41" s="454" t="s">
        <v>355</v>
      </c>
      <c r="G41" s="763"/>
      <c r="I41" s="455"/>
    </row>
    <row r="42" spans="1:9" x14ac:dyDescent="0.2">
      <c r="A42" s="454" t="s">
        <v>356</v>
      </c>
      <c r="I42" s="455"/>
    </row>
    <row r="43" spans="1:9" x14ac:dyDescent="0.2">
      <c r="A43" s="454"/>
      <c r="I43" s="455"/>
    </row>
    <row r="44" spans="1:9" x14ac:dyDescent="0.2">
      <c r="A44" s="567" t="s">
        <v>357</v>
      </c>
      <c r="B44" s="764"/>
      <c r="C44" s="765"/>
      <c r="I44" s="455"/>
    </row>
    <row r="45" spans="1:9" x14ac:dyDescent="0.2">
      <c r="A45" s="766" t="s">
        <v>358</v>
      </c>
      <c r="B45" s="568"/>
      <c r="C45" s="569"/>
      <c r="I45" s="455"/>
    </row>
    <row r="46" spans="1:9" x14ac:dyDescent="0.2">
      <c r="A46" s="766" t="s">
        <v>171</v>
      </c>
      <c r="B46" s="568"/>
      <c r="C46" s="569"/>
      <c r="I46" s="455"/>
    </row>
    <row r="47" spans="1:9" x14ac:dyDescent="0.2">
      <c r="A47" s="766" t="s">
        <v>167</v>
      </c>
      <c r="B47" s="568"/>
      <c r="C47" s="569"/>
      <c r="I47" s="455"/>
    </row>
    <row r="48" spans="1:9" x14ac:dyDescent="0.2">
      <c r="A48" s="766" t="s">
        <v>168</v>
      </c>
      <c r="B48" s="568"/>
      <c r="C48" s="569"/>
      <c r="I48" s="455"/>
    </row>
    <row r="49" spans="1:9" x14ac:dyDescent="0.2">
      <c r="A49" s="766" t="s">
        <v>172</v>
      </c>
      <c r="B49" s="568"/>
      <c r="C49" s="569"/>
      <c r="I49" s="455"/>
    </row>
    <row r="50" spans="1:9" x14ac:dyDescent="0.2">
      <c r="A50" s="767" t="s">
        <v>173</v>
      </c>
      <c r="B50" s="570"/>
      <c r="C50" s="571"/>
      <c r="I50" s="455"/>
    </row>
    <row r="51" spans="1:9" x14ac:dyDescent="0.2">
      <c r="A51" s="454"/>
      <c r="I51" s="455"/>
    </row>
    <row r="52" spans="1:9" x14ac:dyDescent="0.2">
      <c r="A52" s="454"/>
      <c r="G52" s="462"/>
      <c r="H52" s="462"/>
      <c r="I52" s="463"/>
    </row>
    <row r="53" spans="1:9" x14ac:dyDescent="0.2">
      <c r="A53" s="1587" t="s">
        <v>169</v>
      </c>
      <c r="B53" s="1333"/>
      <c r="C53" s="1333"/>
      <c r="E53" s="769" t="str">
        <f>IF('B_PH_Allgemeine Angaben'!K69&gt;5,"x","")</f>
        <v/>
      </c>
      <c r="G53" s="566" t="s">
        <v>447</v>
      </c>
      <c r="I53" s="455"/>
    </row>
    <row r="54" spans="1:9" x14ac:dyDescent="0.2">
      <c r="A54" s="454" t="s">
        <v>170</v>
      </c>
      <c r="I54" s="455"/>
    </row>
    <row r="55" spans="1:9" x14ac:dyDescent="0.2">
      <c r="A55" s="159" t="s">
        <v>340</v>
      </c>
      <c r="I55" s="455"/>
    </row>
    <row r="56" spans="1:9" x14ac:dyDescent="0.2">
      <c r="A56" s="159" t="s">
        <v>341</v>
      </c>
      <c r="I56" s="455"/>
    </row>
    <row r="57" spans="1:9" x14ac:dyDescent="0.2">
      <c r="A57" s="454"/>
      <c r="D57" s="85"/>
      <c r="E57" s="85"/>
      <c r="F57" s="85"/>
      <c r="G57" s="85"/>
      <c r="I57" s="455"/>
    </row>
    <row r="58" spans="1:9" ht="59.25" hidden="1" x14ac:dyDescent="0.75">
      <c r="A58" s="454"/>
      <c r="D58" s="85"/>
      <c r="E58" s="85"/>
      <c r="F58" s="85"/>
      <c r="G58" s="85"/>
      <c r="I58" s="464"/>
    </row>
    <row r="59" spans="1:9" x14ac:dyDescent="0.2">
      <c r="A59" s="458"/>
      <c r="B59" s="462"/>
      <c r="C59" s="462"/>
      <c r="D59" s="86"/>
      <c r="E59" s="87"/>
      <c r="F59" s="85"/>
      <c r="G59" s="88"/>
      <c r="I59" s="455"/>
    </row>
    <row r="60" spans="1:9" x14ac:dyDescent="0.2">
      <c r="A60" s="454"/>
      <c r="D60" s="85"/>
      <c r="E60" s="85"/>
      <c r="F60" s="85"/>
      <c r="G60" s="85"/>
      <c r="I60" s="455"/>
    </row>
    <row r="61" spans="1:9" x14ac:dyDescent="0.2">
      <c r="A61" s="465"/>
      <c r="B61" s="460"/>
      <c r="C61" s="460"/>
      <c r="D61" s="460"/>
      <c r="E61" s="460"/>
      <c r="F61" s="460"/>
      <c r="G61" s="460"/>
      <c r="H61" s="460"/>
      <c r="I61" s="461"/>
    </row>
  </sheetData>
  <sheetProtection algorithmName="SHA-512" hashValue="ISXRT2OSB+9ZgDFc/8dDiPh8Qv7Z7GxWE3oPAGcIz8VffV5Sse+quUD4SYHKt6KTXBvRJje9If8d+DiXu7tzfQ==" saltValue="aCrQJf7Rfb1N7clYMizhog==" spinCount="100000" sheet="1" objects="1" scenarios="1"/>
  <customSheetViews>
    <customSheetView guid="{9119B1A0-FD79-4FE4-B78E-10E0AEB8080B}" showPageBreaks="1" printArea="1" hiddenRows="1" view="pageLayout" topLeftCell="A41">
      <selection activeCell="I49" sqref="I49"/>
      <pageMargins left="0.70866141732283472" right="0.70866141732283472" top="0.78740157480314965" bottom="0.78740157480314965" header="0.31496062992125984" footer="0.31496062992125984"/>
      <pageSetup paperSize="9" orientation="portrait" r:id="rId1"/>
      <headerFooter>
        <oddFooter>&amp;L&amp;8Version: 21.06.2022&amp;C&amp;8Verhandlungsunterlagen SGB XI (vereinfacht B1)&amp;R&amp;8PSK-Beschluss Nr. 3-2022 vom 21.06.2022</oddFooter>
      </headerFooter>
    </customSheetView>
  </customSheetViews>
  <mergeCells count="2">
    <mergeCell ref="A1:I4"/>
    <mergeCell ref="A53:C53"/>
  </mergeCells>
  <hyperlinks>
    <hyperlink ref="G21" r:id="rId2" xr:uid="{4E5647D8-C4EA-4B37-8EDF-4C20EE2D71CC}"/>
    <hyperlink ref="G9" r:id="rId3" xr:uid="{C452A84D-12B9-4CE2-B9CD-578595740D8F}"/>
    <hyperlink ref="G34" r:id="rId4" xr:uid="{F9FCBECE-DBDB-498E-A487-781523F3DED6}"/>
    <hyperlink ref="G39" r:id="rId5" display="mailto:pflegesatzverhandlungen_sachsen@barmer.de" xr:uid="{DD393DF0-F14A-4D79-90A4-D4D069DEA104}"/>
    <hyperlink ref="G12" r:id="rId6" xr:uid="{5342B9E9-0ED2-44E7-8D4F-F6CFE4FF107F}"/>
    <hyperlink ref="G16" r:id="rId7" xr:uid="{FD07BEC5-490D-464A-BB85-E8C6BDEBCC47}"/>
    <hyperlink ref="G27" r:id="rId8" xr:uid="{82BA44AB-E2AE-4A1E-8C43-76F017C534D1}"/>
    <hyperlink ref="G53" r:id="rId9" xr:uid="{D107163E-5E29-499F-82C1-BFB4585D0DF5}"/>
  </hyperlinks>
  <pageMargins left="0.70866141732283472" right="0.70866141732283472" top="0.78740157480314965" bottom="0.78740157480314965" header="0.31496062992125984" footer="0.31496062992125984"/>
  <pageSetup paperSize="9" scale="87" orientation="portrait"/>
  <headerFooter>
    <oddHeader>&amp;C&amp;9&amp;A</oddHeader>
    <oddFooter>&amp;L&amp;8Version: 19.10.2026&amp;C&amp;8Verhandlungsunterlagen SGB XI (vereinfacht B_PH)&amp;R&amp;8PSK-Beschluss vom 08.10.2026</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14</vt:i4>
      </vt:variant>
    </vt:vector>
  </HeadingPairs>
  <TitlesOfParts>
    <vt:vector size="25" baseType="lpstr">
      <vt:lpstr>B_PH_Versionsinfo</vt:lpstr>
      <vt:lpstr>Verknüpfungstabelle</vt:lpstr>
      <vt:lpstr>KAT</vt:lpstr>
      <vt:lpstr>B_PH_Hinweise</vt:lpstr>
      <vt:lpstr>B_PH_Allgemeine Angaben</vt:lpstr>
      <vt:lpstr>B_PH_Kalkulation</vt:lpstr>
      <vt:lpstr>B_PH_Berechnung rüE</vt:lpstr>
      <vt:lpstr>B_PH_Bewohnervertretung</vt:lpstr>
      <vt:lpstr>B_PH_Ergebnis</vt:lpstr>
      <vt:lpstr>B_PH_Gesamtkalkulation</vt:lpstr>
      <vt:lpstr>Adressverzeichnis</vt:lpstr>
      <vt:lpstr>B_PH_Hinweise!_Hlk214345935</vt:lpstr>
      <vt:lpstr>B_PH_Hinweise!_Hlk233272744</vt:lpstr>
      <vt:lpstr>Adressverzeichnis!Druckbereich</vt:lpstr>
      <vt:lpstr>'B_PH_Allgemeine Angaben'!Druckbereich</vt:lpstr>
      <vt:lpstr>'B_PH_Berechnung rüE'!Druckbereich</vt:lpstr>
      <vt:lpstr>B_PH_Bewohnervertretung!Druckbereich</vt:lpstr>
      <vt:lpstr>B_PH_Ergebnis!Druckbereich</vt:lpstr>
      <vt:lpstr>B_PH_Gesamtkalkulation!Druckbereich</vt:lpstr>
      <vt:lpstr>B_PH_Hinweise!Druckbereich</vt:lpstr>
      <vt:lpstr>B_PH_Kalkulation!Druckbereich</vt:lpstr>
      <vt:lpstr>B_PH_Versionsinfo!Druckbereich</vt:lpstr>
      <vt:lpstr>KAT!Druckbereich</vt:lpstr>
      <vt:lpstr>B_PH_Versionsinfo!Drucktitel</vt:lpstr>
      <vt:lpstr>eeadivisor</vt:lpstr>
    </vt:vector>
  </TitlesOfParts>
  <Company>AOK PLUS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Vereinfachtes Antragsverfahren für vollstationäre Pflegeeinrichtungen 2027</dc:title>
  <dc:creator>AOK PLUS - Die Gesundheitskasse für Sachsen und Thüringen</dc:creator>
  <cp:lastPrinted>2026-10-22T07:31:50Z</cp:lastPrinted>
  <dcterms:created xsi:type="dcterms:W3CDTF">2012-08-21T12:23:19Z</dcterms:created>
  <dcterms:modified xsi:type="dcterms:W3CDTF">2026-10-22T10:10:41Z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f72c9e-ff9b-4d29-a8be-f698af1f1989_Enabled">
    <vt:lpwstr>true</vt:lpwstr>
  </property>
  <property fmtid="{D5CDD505-2E9C-101B-9397-08002B2CF9AE}" pid="3" name="MSIP_Label_94f72c9e-ff9b-4d29-a8be-f698af1f1989_SetDate">
    <vt:lpwstr>2024-11-22T11:14:06Z</vt:lpwstr>
  </property>
  <property fmtid="{D5CDD505-2E9C-101B-9397-08002B2CF9AE}" pid="4" name="MSIP_Label_94f72c9e-ff9b-4d29-a8be-f698af1f1989_Method">
    <vt:lpwstr>Privileged</vt:lpwstr>
  </property>
  <property fmtid="{D5CDD505-2E9C-101B-9397-08002B2CF9AE}" pid="5" name="MSIP_Label_94f72c9e-ff9b-4d29-a8be-f698af1f1989_Name">
    <vt:lpwstr>öffentlich</vt:lpwstr>
  </property>
  <property fmtid="{D5CDD505-2E9C-101B-9397-08002B2CF9AE}" pid="6" name="MSIP_Label_94f72c9e-ff9b-4d29-a8be-f698af1f1989_SiteId">
    <vt:lpwstr>f5342d95-aa7e-460f-b3ed-51b1514dd06a</vt:lpwstr>
  </property>
  <property fmtid="{D5CDD505-2E9C-101B-9397-08002B2CF9AE}" pid="7" name="MSIP_Label_94f72c9e-ff9b-4d29-a8be-f698af1f1989_ActionId">
    <vt:lpwstr>62a6db6f-4340-4304-b499-5a96d73e69a0</vt:lpwstr>
  </property>
  <property fmtid="{D5CDD505-2E9C-101B-9397-08002B2CF9AE}" pid="8" name="MSIP_Label_94f72c9e-ff9b-4d29-a8be-f698af1f1989_ContentBits">
    <vt:lpwstr>2</vt:lpwstr>
  </property>
</Properties>
</file>