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R:\G\PFST\_ALL\Performance_Steuerung\05_Gesundheitspartnerportal\B Pflege_HKP\"/>
    </mc:Choice>
  </mc:AlternateContent>
  <xr:revisionPtr revIDLastSave="0" documentId="8_{052724D9-41D5-4E10-A6F9-F27679F51A52}" xr6:coauthVersionLast="47" xr6:coauthVersionMax="47" xr10:uidLastSave="{00000000-0000-0000-0000-000000000000}"/>
  <workbookProtection workbookAlgorithmName="SHA-512" workbookHashValue="AfwQ49Z+nlk5TEVN8KcG1dQ0SJpUUUvi7jqZdLGeIMK0nV560uOdbZ5XgpDiKJnsYiqlg8ztuSD5QJ0BCPHU7w==" workbookSaltValue="KHKjA5vGodhqGsfYrNK29A==" workbookSpinCount="100000" lockStructure="1"/>
  <bookViews>
    <workbookView xWindow="-108" yWindow="-108" windowWidth="23256" windowHeight="12456" tabRatio="783" firstSheet="3" activeTab="3" xr2:uid="{00000000-000D-0000-FFFF-FFFF00000000}"/>
  </bookViews>
  <sheets>
    <sheet name="B_KZP_Versionsinfo" sheetId="10" state="hidden" r:id="rId1"/>
    <sheet name="Verknüpfungstabelle" sheetId="14" state="hidden" r:id="rId2"/>
    <sheet name="KAT" sheetId="9" state="hidden" r:id="rId3"/>
    <sheet name="B_KZP_Hinweise" sheetId="1" r:id="rId4"/>
    <sheet name="B_KZP_Allgemeine Angaben" sheetId="2" r:id="rId5"/>
    <sheet name="B_KZP_Kalkulation" sheetId="3" r:id="rId6"/>
    <sheet name="B_KZP_Berechnung rüE" sheetId="4" state="hidden" r:id="rId7"/>
    <sheet name="B_KZP_Bewohnervertretung" sheetId="6" r:id="rId8"/>
    <sheet name="B_KZP_Ergebnis" sheetId="13" r:id="rId9"/>
    <sheet name="B_KZP_Gesamtkalkulation" sheetId="15" r:id="rId10"/>
    <sheet name="Adressverzeichnis" sheetId="8" r:id="rId11"/>
  </sheets>
  <definedNames>
    <definedName name="_Hlk233720930" localSheetId="3">B_KZP_Hinweise!$A$29</definedName>
    <definedName name="_xlnm.Print_Area" localSheetId="10">Adressverzeichnis!$A$1:$I$62</definedName>
    <definedName name="_xlnm.Print_Area" localSheetId="4">'B_KZP_Allgemeine Angaben'!$A$1:$N$76</definedName>
    <definedName name="_xlnm.Print_Area" localSheetId="6">'B_KZP_Berechnung rüE'!$A$1:$L$43</definedName>
    <definedName name="_xlnm.Print_Area" localSheetId="7">B_KZP_Bewohnervertretung!$A$1:$N$64</definedName>
    <definedName name="_xlnm.Print_Area" localSheetId="8">B_KZP_Ergebnis!$A$1:$O$75</definedName>
    <definedName name="_xlnm.Print_Area" localSheetId="9">B_KZP_Gesamtkalkulation!$A$1:$P$49</definedName>
    <definedName name="_xlnm.Print_Area" localSheetId="3">B_KZP_Hinweise!$A$1:$G$53</definedName>
    <definedName name="_xlnm.Print_Area" localSheetId="5">B_KZP_Kalkulation!$A$1:$R$70</definedName>
    <definedName name="_xlnm.Print_Area" localSheetId="0">B_KZP_Versionsinfo!$A$1:$E$24</definedName>
    <definedName name="_xlnm.Print_Area" localSheetId="2">KAT!$A$1</definedName>
    <definedName name="_xlnm.Print_Titles" localSheetId="0">B_KZP_Versionsinfo!$5:$5</definedName>
    <definedName name="Z_9119B1A0_FD79_4FE4_B78E_10E0AEB8080B_.wvu.Cols" localSheetId="6" hidden="1">'B_KZP_Berechnung rüE'!$N:$S</definedName>
    <definedName name="Z_9119B1A0_FD79_4FE4_B78E_10E0AEB8080B_.wvu.Cols" localSheetId="5" hidden="1">B_KZP_Kalkulation!$T:$AF</definedName>
    <definedName name="Z_9119B1A0_FD79_4FE4_B78E_10E0AEB8080B_.wvu.PrintArea" localSheetId="10" hidden="1">Adressverzeichnis!$A$1:$I$62</definedName>
    <definedName name="Z_9119B1A0_FD79_4FE4_B78E_10E0AEB8080B_.wvu.PrintArea" localSheetId="4" hidden="1">'B_KZP_Allgemeine Angaben'!$A$1:$N$76</definedName>
    <definedName name="Z_9119B1A0_FD79_4FE4_B78E_10E0AEB8080B_.wvu.PrintArea" localSheetId="6" hidden="1">'B_KZP_Berechnung rüE'!$A$1:$L$43</definedName>
    <definedName name="Z_9119B1A0_FD79_4FE4_B78E_10E0AEB8080B_.wvu.PrintArea" localSheetId="7" hidden="1">B_KZP_Bewohnervertretung!$A$1:$N$64</definedName>
    <definedName name="Z_9119B1A0_FD79_4FE4_B78E_10E0AEB8080B_.wvu.PrintArea" localSheetId="8" hidden="1">B_KZP_Ergebnis!$A$1:$O$75</definedName>
    <definedName name="Z_9119B1A0_FD79_4FE4_B78E_10E0AEB8080B_.wvu.PrintArea" localSheetId="3" hidden="1">B_KZP_Hinweise!$A$1:$G$51</definedName>
    <definedName name="Z_9119B1A0_FD79_4FE4_B78E_10E0AEB8080B_.wvu.PrintArea" localSheetId="5" hidden="1">B_KZP_Kalkulation!$A$1:$R$70</definedName>
    <definedName name="Z_9119B1A0_FD79_4FE4_B78E_10E0AEB8080B_.wvu.Rows" localSheetId="10" hidden="1">Adressverzeichnis!$58:$58</definedName>
    <definedName name="Z_CDDBAA41_0D3E_44AF_A85A_332C81A5DAE4_.wvu.Cols" localSheetId="9" hidden="1">B_KZP_Gesamtkalkulation!$E:$G,B_KZP_Gesamtkalkulation!#REF!,B_KZP_Gesamtkalkulation!#REF!,B_KZP_Gesamtkalkulation!#REF!,B_KZP_Gesamtkalkulation!#REF!,B_KZP_Gesamtkalkulation!#REF!,B_KZP_Gesamtkalkulation!$N:$N,B_KZP_Gesamtkalkulation!$O:$O</definedName>
    <definedName name="Z_CDDBAA41_0D3E_44AF_A85A_332C81A5DAE4_.wvu.PrintArea" localSheetId="9" hidden="1">B_KZP_Gesamtkalkulation!$A$1:$P$49</definedName>
  </definedNames>
  <calcPr calcId="191029"/>
  <customWorkbookViews>
    <customWorkbookView name="Bischoff, Kathrin - Persönliche Ansicht" guid="{9119B1A0-FD79-4FE4-B78E-10E0AEB8080B}" mergeInterval="0" personalView="1" maximized="1" xWindow="-8" yWindow="-8" windowWidth="1552" windowHeight="840" tabRatio="783"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S9" i="14" l="1"/>
  <c r="BT9" i="14"/>
  <c r="DW9" i="14"/>
  <c r="BA9" i="14" l="1"/>
  <c r="DY9" i="14" l="1"/>
  <c r="DX9" i="14"/>
  <c r="DV9" i="14"/>
  <c r="DU9" i="14"/>
  <c r="DT9" i="14"/>
  <c r="DR9" i="14"/>
  <c r="DQ9" i="14"/>
  <c r="DP9" i="14"/>
  <c r="DO9" i="14"/>
  <c r="DN9" i="14"/>
  <c r="CA9" i="14"/>
  <c r="BZ9" i="14"/>
  <c r="BY9" i="14"/>
  <c r="BX9" i="14"/>
  <c r="BJ9" i="14"/>
  <c r="BI9" i="14"/>
  <c r="BH9" i="14"/>
  <c r="BG9" i="14"/>
  <c r="BF9" i="14"/>
  <c r="BD9" i="14"/>
  <c r="BC9" i="14"/>
  <c r="BB9" i="14"/>
  <c r="AZ9" i="14"/>
  <c r="AY9" i="14"/>
  <c r="AW9" i="14"/>
  <c r="AV9" i="14"/>
  <c r="AT9" i="14"/>
  <c r="AS9" i="14"/>
  <c r="AR9" i="14"/>
  <c r="AQ9" i="14"/>
  <c r="AP9" i="14"/>
  <c r="AO9" i="14"/>
  <c r="AN9" i="14"/>
  <c r="AM9" i="14"/>
  <c r="AL9" i="14"/>
  <c r="AK9" i="14"/>
  <c r="AI9" i="14"/>
  <c r="AH9" i="14"/>
  <c r="AG9" i="14"/>
  <c r="AF9" i="14"/>
  <c r="AE9" i="14"/>
  <c r="AD9" i="14"/>
  <c r="AC9" i="14"/>
  <c r="AB9" i="14"/>
  <c r="AA9" i="14"/>
  <c r="Z9" i="14"/>
  <c r="Y9" i="14"/>
  <c r="X9" i="14"/>
  <c r="S9" i="14"/>
  <c r="N9" i="14"/>
  <c r="H9" i="14"/>
  <c r="G9" i="14"/>
  <c r="F9" i="14"/>
  <c r="D9" i="14"/>
  <c r="C9" i="14"/>
  <c r="B9" i="14"/>
  <c r="A9" i="14"/>
  <c r="J58" i="2" l="1"/>
  <c r="L29" i="9"/>
  <c r="K37" i="9"/>
  <c r="C40" i="15"/>
  <c r="C39" i="15"/>
  <c r="C35" i="15"/>
  <c r="C36" i="15"/>
  <c r="C37" i="15"/>
  <c r="C38" i="15"/>
  <c r="C34" i="15"/>
  <c r="C19" i="15"/>
  <c r="C17" i="15"/>
  <c r="C18" i="15"/>
  <c r="C16" i="15"/>
  <c r="C15" i="15"/>
  <c r="C14" i="15"/>
  <c r="C23" i="15"/>
  <c r="C24" i="15"/>
  <c r="C25" i="15"/>
  <c r="C26" i="15"/>
  <c r="C27" i="15"/>
  <c r="C28" i="15"/>
  <c r="C29" i="15"/>
  <c r="C30" i="15"/>
  <c r="C31" i="15"/>
  <c r="C22" i="15"/>
  <c r="A3" i="2" l="1"/>
  <c r="A3" i="15" s="1"/>
  <c r="I26" i="3"/>
  <c r="C68" i="9"/>
  <c r="C67" i="9"/>
  <c r="B68" i="9"/>
  <c r="B67" i="9"/>
  <c r="L26" i="3"/>
  <c r="C75" i="9"/>
  <c r="C76" i="9"/>
  <c r="C74" i="9"/>
  <c r="B75" i="9"/>
  <c r="B76" i="9"/>
  <c r="B74" i="9"/>
  <c r="E67" i="9" l="1"/>
  <c r="E74" i="9"/>
  <c r="I27" i="3" s="1"/>
  <c r="F67" i="9"/>
  <c r="D6" i="15"/>
  <c r="F74" i="9" l="1"/>
  <c r="L27" i="3" s="1"/>
  <c r="C37" i="4"/>
  <c r="A1" i="15"/>
  <c r="J6" i="15"/>
  <c r="I6" i="15"/>
  <c r="K6" i="15" l="1"/>
  <c r="I27" i="15" s="1"/>
  <c r="K8" i="15"/>
  <c r="L6" i="15"/>
  <c r="I23" i="15" l="1"/>
  <c r="L37" i="3"/>
  <c r="L38" i="3"/>
  <c r="L30" i="3"/>
  <c r="D19" i="15" s="1"/>
  <c r="C12" i="9"/>
  <c r="C13" i="9"/>
  <c r="C14" i="9"/>
  <c r="C15" i="9"/>
  <c r="C11" i="9"/>
  <c r="K22" i="3" s="1"/>
  <c r="I36" i="13"/>
  <c r="D26" i="15" l="1"/>
  <c r="M38" i="3"/>
  <c r="M19" i="15"/>
  <c r="I19" i="15" s="1"/>
  <c r="G19" i="15"/>
  <c r="D25" i="15"/>
  <c r="M37" i="3"/>
  <c r="E8" i="9"/>
  <c r="D8" i="3" s="1"/>
  <c r="M25" i="15" l="1"/>
  <c r="I25" i="15" s="1"/>
  <c r="G25" i="15"/>
  <c r="F46" i="13"/>
  <c r="E19" i="15"/>
  <c r="H19" i="15"/>
  <c r="M26" i="15"/>
  <c r="I26" i="15" s="1"/>
  <c r="F47" i="13"/>
  <c r="G26" i="15"/>
  <c r="J54" i="2"/>
  <c r="M51" i="2"/>
  <c r="M52" i="2"/>
  <c r="K46" i="2"/>
  <c r="K45" i="2"/>
  <c r="L52" i="3"/>
  <c r="I53" i="3"/>
  <c r="I52" i="3"/>
  <c r="I49" i="13"/>
  <c r="I48" i="13"/>
  <c r="M66" i="3"/>
  <c r="B10" i="3" l="1"/>
  <c r="D10" i="3"/>
  <c r="B9" i="3"/>
  <c r="E26" i="15"/>
  <c r="H26" i="15"/>
  <c r="D39" i="15"/>
  <c r="M52" i="3"/>
  <c r="E25" i="15"/>
  <c r="H25" i="15"/>
  <c r="B51" i="9"/>
  <c r="L48" i="13" l="1"/>
  <c r="G39" i="15"/>
  <c r="M39" i="15"/>
  <c r="I39" i="15" s="1"/>
  <c r="A4" i="2"/>
  <c r="H39" i="15" l="1"/>
  <c r="E39" i="15"/>
  <c r="P4" i="3"/>
  <c r="K5" i="4"/>
  <c r="K4" i="4"/>
  <c r="I32" i="13" l="1"/>
  <c r="F39" i="13"/>
  <c r="F28" i="13"/>
  <c r="N3" i="13" l="1"/>
  <c r="I11" i="13" l="1"/>
  <c r="F11" i="13"/>
  <c r="F8" i="13"/>
  <c r="F7" i="13"/>
  <c r="F6" i="13"/>
  <c r="C9" i="13"/>
  <c r="B9" i="13"/>
  <c r="B8" i="13"/>
  <c r="B7" i="13"/>
  <c r="B6" i="13"/>
  <c r="A1" i="13"/>
  <c r="J39" i="13" l="1"/>
  <c r="L39" i="13" s="1"/>
  <c r="L30" i="9" l="1"/>
  <c r="L31" i="9" l="1"/>
  <c r="L38" i="9"/>
  <c r="L37" i="9"/>
  <c r="L35" i="9"/>
  <c r="C4" i="4" l="1"/>
  <c r="C5" i="4"/>
  <c r="A3" i="6"/>
  <c r="C4" i="3"/>
  <c r="C5" i="3"/>
  <c r="K72" i="2" l="1"/>
  <c r="I18" i="3" l="1"/>
  <c r="J18" i="3"/>
  <c r="K18" i="3"/>
  <c r="L18" i="3"/>
  <c r="H18" i="3"/>
  <c r="F16" i="13" s="1"/>
  <c r="F18" i="13" l="1"/>
  <c r="F17" i="13"/>
  <c r="F20" i="13"/>
  <c r="F19" i="13"/>
  <c r="I4" i="4"/>
  <c r="I5" i="4"/>
  <c r="K30" i="3" l="1"/>
  <c r="E53" i="8" l="1"/>
  <c r="E27" i="8"/>
  <c r="E21" i="8"/>
  <c r="E16" i="8"/>
  <c r="E12" i="8"/>
  <c r="E39" i="8"/>
  <c r="E34" i="8"/>
  <c r="E7" i="8"/>
  <c r="C56" i="9" l="1"/>
  <c r="F21" i="4" l="1"/>
  <c r="F15" i="4"/>
  <c r="E18" i="4"/>
  <c r="E17" i="4"/>
  <c r="K70" i="2"/>
  <c r="L49" i="3" l="1"/>
  <c r="B29" i="9"/>
  <c r="B8" i="4"/>
  <c r="D36" i="15" l="1"/>
  <c r="M49" i="3"/>
  <c r="G36" i="15" l="1"/>
  <c r="H36" i="15" s="1"/>
  <c r="M36" i="15"/>
  <c r="L45" i="13"/>
  <c r="E24" i="4"/>
  <c r="E36" i="15" l="1"/>
  <c r="I36" i="15"/>
  <c r="D37" i="4"/>
  <c r="O15" i="4" s="1"/>
  <c r="L34" i="3" l="1"/>
  <c r="C32" i="9"/>
  <c r="D32" i="9"/>
  <c r="B32" i="9"/>
  <c r="C29" i="9"/>
  <c r="D22" i="15" l="1"/>
  <c r="M34" i="3"/>
  <c r="S43" i="4"/>
  <c r="N22" i="15" l="1"/>
  <c r="F43" i="13"/>
  <c r="E23" i="4"/>
  <c r="D33" i="4" s="1"/>
  <c r="E22" i="4"/>
  <c r="N20" i="4" s="1"/>
  <c r="J22" i="15" l="1"/>
  <c r="J21" i="15" s="1"/>
  <c r="J46" i="15" s="1"/>
  <c r="N21" i="15"/>
  <c r="E22" i="15"/>
  <c r="N18" i="4"/>
  <c r="B31" i="9"/>
  <c r="B30" i="9"/>
  <c r="F68" i="13" l="1"/>
  <c r="I64" i="3"/>
  <c r="N21" i="4"/>
  <c r="B52" i="9" l="1"/>
  <c r="B53" i="9" s="1"/>
  <c r="L48" i="3"/>
  <c r="L50" i="3"/>
  <c r="L51" i="3"/>
  <c r="L53" i="3"/>
  <c r="L47" i="3"/>
  <c r="L35" i="3"/>
  <c r="L36" i="3"/>
  <c r="L39" i="3"/>
  <c r="L40" i="3"/>
  <c r="L41" i="3"/>
  <c r="L42" i="3"/>
  <c r="L43" i="3"/>
  <c r="D34" i="4"/>
  <c r="E34" i="4"/>
  <c r="C34" i="4"/>
  <c r="D31" i="9"/>
  <c r="A1" i="4"/>
  <c r="A1" i="3"/>
  <c r="P5" i="3"/>
  <c r="F54" i="3"/>
  <c r="F14" i="3"/>
  <c r="D14" i="3"/>
  <c r="L14" i="3"/>
  <c r="F44" i="3"/>
  <c r="J14" i="3"/>
  <c r="L16" i="3"/>
  <c r="L7" i="3"/>
  <c r="F16" i="3"/>
  <c r="K27" i="3"/>
  <c r="E26" i="3"/>
  <c r="E27" i="3"/>
  <c r="E28" i="3"/>
  <c r="E29" i="3"/>
  <c r="E30" i="3"/>
  <c r="J26" i="3" l="1"/>
  <c r="J27" i="3"/>
  <c r="F36" i="13" s="1"/>
  <c r="D26" i="3"/>
  <c r="D27" i="3"/>
  <c r="D28" i="3"/>
  <c r="D29" i="3"/>
  <c r="D25" i="3"/>
  <c r="D24" i="3"/>
  <c r="I22" i="3"/>
  <c r="I28" i="13" s="1"/>
  <c r="J25" i="3"/>
  <c r="D23" i="3"/>
  <c r="D23" i="15"/>
  <c r="M35" i="3"/>
  <c r="D34" i="15"/>
  <c r="M47" i="3"/>
  <c r="D37" i="15"/>
  <c r="M50" i="3"/>
  <c r="D31" i="15"/>
  <c r="M43" i="3"/>
  <c r="D40" i="15"/>
  <c r="M53" i="3"/>
  <c r="D30" i="15"/>
  <c r="M42" i="3"/>
  <c r="D38" i="15"/>
  <c r="M51" i="3"/>
  <c r="D27" i="15"/>
  <c r="M39" i="3"/>
  <c r="D29" i="15"/>
  <c r="M41" i="3"/>
  <c r="D28" i="15"/>
  <c r="M40" i="3"/>
  <c r="D35" i="15"/>
  <c r="M48" i="3"/>
  <c r="D24" i="15"/>
  <c r="M36" i="3"/>
  <c r="I34" i="13"/>
  <c r="B19" i="3"/>
  <c r="F22" i="13"/>
  <c r="L32" i="9"/>
  <c r="A4" i="6"/>
  <c r="D29" i="9"/>
  <c r="L44" i="3"/>
  <c r="B56" i="9"/>
  <c r="L54" i="3"/>
  <c r="J23" i="3" l="1"/>
  <c r="I23" i="3" s="1"/>
  <c r="I30" i="13" s="1"/>
  <c r="D17" i="15"/>
  <c r="F34" i="13"/>
  <c r="F52" i="13"/>
  <c r="G31" i="15"/>
  <c r="M31" i="15"/>
  <c r="I31" i="15" s="1"/>
  <c r="M24" i="15"/>
  <c r="I24" i="15" s="1"/>
  <c r="F45" i="13"/>
  <c r="G24" i="15"/>
  <c r="G37" i="15"/>
  <c r="L46" i="13"/>
  <c r="M37" i="15"/>
  <c r="I37" i="15" s="1"/>
  <c r="F49" i="13"/>
  <c r="M28" i="15"/>
  <c r="I28" i="15" s="1"/>
  <c r="G28" i="15"/>
  <c r="F51" i="13"/>
  <c r="G30" i="15"/>
  <c r="M30" i="15"/>
  <c r="L43" i="13"/>
  <c r="D33" i="15"/>
  <c r="L54" i="13" s="1"/>
  <c r="G34" i="15"/>
  <c r="M34" i="15"/>
  <c r="M44" i="3"/>
  <c r="F48" i="13"/>
  <c r="G27" i="15"/>
  <c r="M35" i="15"/>
  <c r="I35" i="15" s="1"/>
  <c r="L44" i="13"/>
  <c r="G35" i="15"/>
  <c r="G38" i="15"/>
  <c r="L47" i="13"/>
  <c r="M38" i="15"/>
  <c r="I38" i="15" s="1"/>
  <c r="F50" i="13"/>
  <c r="M29" i="15"/>
  <c r="I29" i="15" s="1"/>
  <c r="G29" i="15"/>
  <c r="M40" i="15"/>
  <c r="I40" i="15" s="1"/>
  <c r="G40" i="15"/>
  <c r="L49" i="13"/>
  <c r="G23" i="15"/>
  <c r="F44" i="13"/>
  <c r="D21" i="15"/>
  <c r="F54" i="13" s="1"/>
  <c r="C25" i="4"/>
  <c r="C24" i="4" s="1"/>
  <c r="F32" i="13"/>
  <c r="O18" i="4"/>
  <c r="F16" i="4"/>
  <c r="G16" i="4" s="1"/>
  <c r="H16" i="4" s="1"/>
  <c r="I16" i="4" s="1"/>
  <c r="J16" i="4" s="1"/>
  <c r="F17" i="4"/>
  <c r="G17" i="4" s="1"/>
  <c r="H17" i="4" s="1"/>
  <c r="I17" i="4" s="1"/>
  <c r="J17" i="4" s="1"/>
  <c r="F18" i="4"/>
  <c r="G18" i="4" s="1"/>
  <c r="O20" i="4"/>
  <c r="F30" i="13" l="1"/>
  <c r="E37" i="4"/>
  <c r="P15" i="4" s="1"/>
  <c r="M17" i="15"/>
  <c r="I17" i="15" s="1"/>
  <c r="G17" i="15"/>
  <c r="E29" i="15"/>
  <c r="H29" i="15"/>
  <c r="M21" i="15"/>
  <c r="I30" i="15"/>
  <c r="I21" i="15" s="1"/>
  <c r="E37" i="15"/>
  <c r="H37" i="15"/>
  <c r="E27" i="15"/>
  <c r="H27" i="15"/>
  <c r="H30" i="15"/>
  <c r="E30" i="15"/>
  <c r="E24" i="15"/>
  <c r="H24" i="15"/>
  <c r="E28" i="15"/>
  <c r="H28" i="15"/>
  <c r="E23" i="15"/>
  <c r="H23" i="15"/>
  <c r="G21" i="15"/>
  <c r="I34" i="15"/>
  <c r="I33" i="15" s="1"/>
  <c r="M33" i="15"/>
  <c r="E38" i="15"/>
  <c r="H38" i="15"/>
  <c r="E34" i="15"/>
  <c r="G33" i="15"/>
  <c r="H34" i="15"/>
  <c r="H31" i="15"/>
  <c r="E31" i="15"/>
  <c r="H40" i="15"/>
  <c r="E40" i="15"/>
  <c r="H35" i="15"/>
  <c r="E35" i="15"/>
  <c r="N15" i="4"/>
  <c r="N22" i="4" s="1"/>
  <c r="C43" i="4" s="1"/>
  <c r="C33" i="4"/>
  <c r="C35" i="4" s="1"/>
  <c r="N43" i="4" s="1"/>
  <c r="P20" i="4"/>
  <c r="M54" i="3"/>
  <c r="E25" i="4"/>
  <c r="F25" i="4" s="1"/>
  <c r="G25" i="4" s="1"/>
  <c r="H18" i="4"/>
  <c r="I18" i="4" s="1"/>
  <c r="J18" i="4" s="1"/>
  <c r="O21" i="4"/>
  <c r="O22" i="4" s="1"/>
  <c r="D43" i="4" s="1"/>
  <c r="D35" i="4"/>
  <c r="P18" i="4" l="1"/>
  <c r="P21" i="4" s="1"/>
  <c r="P22" i="4" s="1"/>
  <c r="E43" i="4" s="1"/>
  <c r="E19" i="4"/>
  <c r="F19" i="4" s="1"/>
  <c r="G19" i="4" s="1"/>
  <c r="H19" i="4" s="1"/>
  <c r="I19" i="4" s="1"/>
  <c r="J19" i="4" s="1"/>
  <c r="L23" i="3" s="1"/>
  <c r="L22" i="3" s="1"/>
  <c r="D14" i="15" s="1"/>
  <c r="G14" i="15" s="1"/>
  <c r="E14" i="15" s="1"/>
  <c r="E33" i="4"/>
  <c r="E35" i="4" s="1"/>
  <c r="P43" i="4" s="1"/>
  <c r="H33" i="15"/>
  <c r="E17" i="15"/>
  <c r="H17" i="15"/>
  <c r="E33" i="15"/>
  <c r="H21" i="15"/>
  <c r="E21" i="15"/>
  <c r="R43" i="4"/>
  <c r="O43" i="4"/>
  <c r="H25" i="4"/>
  <c r="I25" i="4" s="1"/>
  <c r="J25" i="4" s="1"/>
  <c r="L25" i="3" s="1"/>
  <c r="V43" i="4"/>
  <c r="U43" i="4"/>
  <c r="J30" i="13" l="1"/>
  <c r="L30" i="13" s="1"/>
  <c r="H14" i="15"/>
  <c r="J28" i="13"/>
  <c r="L28" i="13" s="1"/>
  <c r="D15" i="15"/>
  <c r="G15" i="15" s="1"/>
  <c r="E15" i="15" s="1"/>
  <c r="J32" i="13"/>
  <c r="L32" i="13" s="1"/>
  <c r="D16" i="15"/>
  <c r="C38" i="4"/>
  <c r="T43" i="4"/>
  <c r="W43" i="4"/>
  <c r="H15" i="15" l="1"/>
  <c r="O16" i="15"/>
  <c r="K16" i="15"/>
  <c r="K13" i="15" s="1"/>
  <c r="K46" i="15" s="1"/>
  <c r="E39" i="4"/>
  <c r="D39" i="4"/>
  <c r="C39" i="4"/>
  <c r="F62" i="13" l="1"/>
  <c r="J64" i="3"/>
  <c r="E16" i="15"/>
  <c r="O13" i="15"/>
  <c r="C41" i="4"/>
  <c r="F41" i="4" s="1"/>
  <c r="Q43" i="4" l="1"/>
  <c r="C33" i="9" l="1"/>
  <c r="C37" i="9" s="1"/>
  <c r="C54" i="9" s="1"/>
  <c r="C38" i="9" l="1"/>
  <c r="D30" i="9"/>
  <c r="B54" i="9" l="1"/>
  <c r="J34" i="13"/>
  <c r="L34" i="13" s="1"/>
  <c r="B55" i="9" l="1"/>
  <c r="B57" i="9"/>
  <c r="B58" i="9" s="1"/>
  <c r="B59" i="9" s="1"/>
  <c r="B60" i="9" s="1"/>
  <c r="C60" i="9" s="1"/>
  <c r="E60" i="9" s="1"/>
  <c r="J36" i="13" l="1"/>
  <c r="L36" i="13" s="1"/>
  <c r="D18" i="15"/>
  <c r="M18" i="15" l="1"/>
  <c r="G18" i="15"/>
  <c r="D13" i="15"/>
  <c r="H18" i="15" l="1"/>
  <c r="H13" i="15" s="1"/>
  <c r="H46" i="15" s="1"/>
  <c r="E18" i="15"/>
  <c r="G13" i="15"/>
  <c r="I18" i="15"/>
  <c r="I13" i="15" s="1"/>
  <c r="I46" i="15" s="1"/>
  <c r="M13" i="15"/>
  <c r="F66" i="13" l="1"/>
  <c r="H64" i="3"/>
  <c r="F60" i="13"/>
  <c r="H60" i="3"/>
  <c r="E1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BY8" authorId="0" shapeId="0" xr:uid="{CFDA3476-3BF7-4142-8DA5-425F206BF133}">
      <text>
        <r>
          <rPr>
            <b/>
            <sz val="9"/>
            <color indexed="81"/>
            <rFont val="Segoe UI"/>
            <family val="2"/>
          </rPr>
          <t>Dietrich, Astrid:</t>
        </r>
        <r>
          <rPr>
            <sz val="9"/>
            <color indexed="81"/>
            <rFont val="Segoe UI"/>
            <family val="2"/>
          </rPr>
          <t xml:space="preserve">
ja/nein Auswahlfeld
unmitttelbar = direkte Tarifbindung// mittelbar = keine direkte Tarifbindung, LE wendet Tarif maßgeblich an oder regional übliches Entgelt</t>
        </r>
      </text>
    </comment>
    <comment ref="CI8" authorId="0" shapeId="0" xr:uid="{2F4B9F44-3334-4894-BDAE-3D7910714863}">
      <text>
        <r>
          <rPr>
            <b/>
            <sz val="9"/>
            <color indexed="81"/>
            <rFont val="Segoe UI"/>
            <family val="2"/>
          </rPr>
          <t xml:space="preserve">inkl. aller Nebenkosten und Zulagen, wie </t>
        </r>
        <r>
          <rPr>
            <sz val="9"/>
            <color indexed="81"/>
            <rFont val="Segoe UI"/>
            <family val="2"/>
          </rPr>
          <t xml:space="preserve">
Besitzstand
sv-pflichtige und 
sv-freie Zuschläge
...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Bischoff, Kathrin</author>
  </authors>
  <commentList>
    <comment ref="B51" authorId="0" shapeId="0" xr:uid="{00000000-0006-0000-0100-000005000000}">
      <text>
        <r>
          <rPr>
            <b/>
            <sz val="9"/>
            <color indexed="81"/>
            <rFont val="Segoe UI"/>
            <family val="2"/>
          </rPr>
          <t>Bischoff, Kathrin:</t>
        </r>
        <r>
          <rPr>
            <sz val="9"/>
            <color indexed="81"/>
            <rFont val="Segoe UI"/>
            <family val="2"/>
          </rPr>
          <t xml:space="preserve">
Mindestlohn bis 30.09.2022 = 10,45 €/h, ab 01.10.2022 = 12 €/h = pauschaler Ansatzb= 12,00 €/h UAG 30.05.2022</t>
        </r>
      </text>
    </comment>
    <comment ref="C54" authorId="0" shapeId="0" xr:uid="{00000000-0006-0000-0100-000006000000}">
      <text>
        <r>
          <rPr>
            <b/>
            <sz val="9"/>
            <color indexed="81"/>
            <rFont val="Segoe UI"/>
            <family val="2"/>
          </rPr>
          <t>Bischoff, Kathrin:</t>
        </r>
        <r>
          <rPr>
            <sz val="9"/>
            <color indexed="81"/>
            <rFont val="Segoe UI"/>
            <family val="2"/>
          </rPr>
          <t xml:space="preserve">
Bezug zu TAB Berechnung</t>
        </r>
      </text>
    </comment>
    <comment ref="C56" authorId="0" shapeId="0" xr:uid="{00000000-0006-0000-0100-000007000000}">
      <text>
        <r>
          <rPr>
            <b/>
            <sz val="9"/>
            <color indexed="81"/>
            <rFont val="Segoe UI"/>
            <family val="2"/>
          </rPr>
          <t>Bischoff, Kathrin:</t>
        </r>
        <r>
          <rPr>
            <sz val="9"/>
            <color indexed="81"/>
            <rFont val="Segoe UI"/>
            <family val="2"/>
          </rPr>
          <t xml:space="preserve">
Bezug zu E94/F94</t>
        </r>
      </text>
    </comment>
  </commentList>
</comments>
</file>

<file path=xl/sharedStrings.xml><?xml version="1.0" encoding="utf-8"?>
<sst xmlns="http://schemas.openxmlformats.org/spreadsheetml/2006/main" count="944" uniqueCount="732">
  <si>
    <t>Allgemeine Angaben</t>
  </si>
  <si>
    <t>Art der Einrichtung:</t>
  </si>
  <si>
    <t>Institutionskennzeichen:</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</si>
  <si>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</si>
  <si>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</si>
  <si>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</si>
  <si>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</si>
  <si>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</si>
  <si>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</si>
  <si>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</si>
  <si>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</si>
  <si>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</si>
  <si>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</si>
  <si>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</si>
  <si>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</si>
  <si>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</si>
  <si>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</si>
  <si>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von</t>
  </si>
  <si>
    <t>bis</t>
  </si>
  <si>
    <t>AOK PLUS</t>
  </si>
  <si>
    <t>vdek</t>
  </si>
  <si>
    <t>BKK</t>
  </si>
  <si>
    <t>IKK</t>
  </si>
  <si>
    <t>Knappschaft</t>
  </si>
  <si>
    <t>PKV</t>
  </si>
  <si>
    <t>Sonstige Sozialversicherungsträger</t>
  </si>
  <si>
    <t>jährliche Öffnungstage:</t>
  </si>
  <si>
    <t>2.</t>
  </si>
  <si>
    <t>Küche</t>
  </si>
  <si>
    <t>Haustechnik</t>
  </si>
  <si>
    <t>Wäscherei</t>
  </si>
  <si>
    <t>Reinigung</t>
  </si>
  <si>
    <t>2.1</t>
  </si>
  <si>
    <t>Lebensmittel</t>
  </si>
  <si>
    <t>2.2</t>
  </si>
  <si>
    <t>2.3</t>
  </si>
  <si>
    <t>2.6</t>
  </si>
  <si>
    <t>Betreuungsaufwand</t>
  </si>
  <si>
    <t>2.7</t>
  </si>
  <si>
    <t>Wirtschaftsbedarf</t>
  </si>
  <si>
    <t>2.8</t>
  </si>
  <si>
    <t>Steuern/Abgaben/Versicherungen</t>
  </si>
  <si>
    <t>2.9</t>
  </si>
  <si>
    <t>Wartung (keine Instandhaltung)</t>
  </si>
  <si>
    <t>2.10</t>
  </si>
  <si>
    <t>sonstige Aufwendungen</t>
  </si>
  <si>
    <t>Pflegegrad 1</t>
  </si>
  <si>
    <t>Pflegegrad 2</t>
  </si>
  <si>
    <t>Pflegegrad 3</t>
  </si>
  <si>
    <t>Pflegegrad 4</t>
  </si>
  <si>
    <t>Pflegegrad 5</t>
  </si>
  <si>
    <t>Hauswirtschaft</t>
  </si>
  <si>
    <t>Pflegegrad 1:</t>
  </si>
  <si>
    <t>Pflegegrad 2:</t>
  </si>
  <si>
    <t>Pflegegrad 3:</t>
  </si>
  <si>
    <t>Pflegegrad 4:</t>
  </si>
  <si>
    <t>Pflegegrad 5:</t>
  </si>
  <si>
    <t>Ort, Datum</t>
  </si>
  <si>
    <t>Gesamtkalkulation</t>
  </si>
  <si>
    <t>GELBER TEIL</t>
  </si>
  <si>
    <t>Gesamtplätze:</t>
  </si>
  <si>
    <t>WIRD AUS-</t>
  </si>
  <si>
    <t>Tage/Monat</t>
  </si>
  <si>
    <t>GEBLENDET</t>
  </si>
  <si>
    <t>Aufwendungen für die Unterkunft</t>
  </si>
  <si>
    <t>Aufwendungen für die Verpflegung</t>
  </si>
  <si>
    <t>Gesamtaufwendungen</t>
  </si>
  <si>
    <t>Plausi Ges.</t>
  </si>
  <si>
    <t>Gesamt in €</t>
  </si>
  <si>
    <t xml:space="preserve">1. </t>
  </si>
  <si>
    <t>1.3.</t>
  </si>
  <si>
    <t>1.4.</t>
  </si>
  <si>
    <t>1.5.</t>
  </si>
  <si>
    <t>1.6.</t>
  </si>
  <si>
    <t>Sachaufwendungen</t>
  </si>
  <si>
    <t xml:space="preserve">3. </t>
  </si>
  <si>
    <t>Fremdleistungen / Trägerleistungen</t>
  </si>
  <si>
    <t>Stellungnahme der Bewohnervertretung gem. § 85 (3) SGB XI</t>
  </si>
  <si>
    <t>Bewohnervertretung</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</si>
  <si>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</si>
  <si>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</si>
  <si>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</si>
  <si>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</si>
  <si>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</si>
  <si>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</si>
  <si>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</si>
  <si>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</si>
  <si>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</si>
  <si>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c)</t>
  </si>
  <si>
    <t>Unterschrift des Vorsitzenden der Bewohnervertretung</t>
  </si>
  <si>
    <t>Einrichtungsart</t>
  </si>
  <si>
    <t>Kreuz</t>
  </si>
  <si>
    <t>Öffnungstage</t>
  </si>
  <si>
    <t>Auslastung</t>
  </si>
  <si>
    <t>Ja/Nein</t>
  </si>
  <si>
    <t>x</t>
  </si>
  <si>
    <t>ja</t>
  </si>
  <si>
    <t>nein</t>
  </si>
  <si>
    <t>Pflegeeinrichtung:</t>
  </si>
  <si>
    <t>Einrichtungsleitung</t>
  </si>
  <si>
    <t>Web-Adresse</t>
  </si>
  <si>
    <t>bis:</t>
  </si>
  <si>
    <t>ANT am PS</t>
  </si>
  <si>
    <t>§ 43b:</t>
  </si>
  <si>
    <t>Der vorliegende Antrag auf Abschluss einer neuen Pflegesatzvereinbarung, die zu einer Erhöhung der</t>
  </si>
  <si>
    <t>ausführlich dargestellt und auf die Möglichkeit an der Pflegesatzverhandlung teilzunehmen hingewiesen.</t>
  </si>
  <si>
    <r>
      <t xml:space="preserve">Aufwendungen für die 
</t>
    </r>
    <r>
      <rPr>
        <b/>
        <sz val="10"/>
        <color theme="1"/>
        <rFont val="Arial"/>
        <family val="2"/>
      </rPr>
      <t>Unterkunft</t>
    </r>
  </si>
  <si>
    <r>
      <t xml:space="preserve">Aufwendungen für die 
</t>
    </r>
    <r>
      <rPr>
        <b/>
        <sz val="10"/>
        <color theme="1"/>
        <rFont val="Arial"/>
        <family val="2"/>
      </rPr>
      <t>Verpflegung</t>
    </r>
  </si>
  <si>
    <t xml:space="preserve">davon Träger der Sozialhilfe in %   </t>
  </si>
  <si>
    <t xml:space="preserve">Parteien der Pflegesatzvereinbarung (gem. § 85 Abs. 2 SGB XI) </t>
  </si>
  <si>
    <t>Anteil in %</t>
  </si>
  <si>
    <t>* Im Sinne der besseren Lesbarkeit wurde stellvertretend für beide Geschlechtsformen durchgehend nur die männliche Form verwendet.</t>
  </si>
  <si>
    <t>(schriftliche Mitteilung des Trägers der Einrichtung an die zuständige Behörde beifügen)</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</si>
  <si>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</si>
  <si>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</si>
  <si>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</si>
  <si>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</si>
  <si>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</si>
  <si>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</si>
  <si>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</si>
  <si>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</si>
  <si>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</si>
  <si>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</si>
  <si>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</si>
  <si>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</si>
  <si>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</si>
  <si>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</si>
  <si>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</si>
  <si>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</si>
  <si>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</si>
  <si>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</si>
  <si>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</si>
  <si>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</si>
  <si>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</si>
  <si>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</si>
  <si>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</si>
  <si>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</si>
  <si>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</si>
  <si>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</si>
  <si>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</si>
  <si>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</si>
  <si>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Ansprechpartner/ Funktion</t>
  </si>
  <si>
    <t>Humboldtstraße 18</t>
  </si>
  <si>
    <t>04105 Leipzig</t>
  </si>
  <si>
    <t>vereinbarungen-pflege@ksv-sachsen.de</t>
  </si>
  <si>
    <t>Nachrichtliche Angaben zum Zeitpunkt der Antragstellung und nicht Gegenstand dieses Antrages</t>
  </si>
  <si>
    <t>vom:</t>
  </si>
  <si>
    <t>Personalkosten:</t>
  </si>
  <si>
    <t>zusätzliche Betreuung und Aktivierung nach       § 43 b SGB XI:</t>
  </si>
  <si>
    <t>gesamt:</t>
  </si>
  <si>
    <t>Stellen</t>
  </si>
  <si>
    <t>Personalausstattung:</t>
  </si>
  <si>
    <t>Freiwillige Dienste/FSJ Einsatz:</t>
  </si>
  <si>
    <t>pflegerischer Sachbedarf</t>
  </si>
  <si>
    <t>Gesamtsumme:</t>
  </si>
  <si>
    <t>2.1.</t>
  </si>
  <si>
    <t>2.2.</t>
  </si>
  <si>
    <t>2.3.</t>
  </si>
  <si>
    <t>2.4.</t>
  </si>
  <si>
    <t>2.5.</t>
  </si>
  <si>
    <t>2.6.</t>
  </si>
  <si>
    <t>2.7.</t>
  </si>
  <si>
    <t>2.8.</t>
  </si>
  <si>
    <t>Fremdleistungen/ Leistungen des Trägers</t>
  </si>
  <si>
    <t>3.1.</t>
  </si>
  <si>
    <t>3.2.</t>
  </si>
  <si>
    <t>3.3.</t>
  </si>
  <si>
    <t>3.4.</t>
  </si>
  <si>
    <t>3.5.</t>
  </si>
  <si>
    <t>3.6.</t>
  </si>
  <si>
    <t>Unterkunft</t>
  </si>
  <si>
    <t>Vergütungszuschlag für:</t>
  </si>
  <si>
    <t>Datum</t>
  </si>
  <si>
    <t>Laufzeit:</t>
  </si>
  <si>
    <t>VK</t>
  </si>
  <si>
    <t>PDL/stellv. PDL</t>
  </si>
  <si>
    <t>Kalkulation</t>
  </si>
  <si>
    <t>Antrag vom:</t>
  </si>
  <si>
    <t>Funktionsbereich</t>
  </si>
  <si>
    <t>regional übliches Entgeltniveau</t>
  </si>
  <si>
    <t>gesteigert bis max. 10%</t>
  </si>
  <si>
    <t>inkl. variable pflegetypische Zuschläge</t>
  </si>
  <si>
    <t>zusätzliche Betreuung</t>
  </si>
  <si>
    <t>Einrichtung:</t>
  </si>
  <si>
    <t>PLZ Ort:</t>
  </si>
  <si>
    <r>
      <t>Pflege-/Betreuungs</t>
    </r>
    <r>
      <rPr>
        <sz val="11"/>
        <color theme="1"/>
        <rFont val="Arial"/>
        <family val="2"/>
      </rPr>
      <t xml:space="preserve">fachkraft, </t>
    </r>
    <r>
      <rPr>
        <sz val="9"/>
        <color theme="1"/>
        <rFont val="Arial"/>
        <family val="2"/>
      </rPr>
      <t>mind.3 Jahre Berufsausbildung</t>
    </r>
  </si>
  <si>
    <r>
      <t>Pflege-/Betreuungs</t>
    </r>
    <r>
      <rPr>
        <sz val="11"/>
        <color theme="1"/>
        <rFont val="Arial"/>
        <family val="2"/>
      </rPr>
      <t xml:space="preserve">hilfskraft, </t>
    </r>
    <r>
      <rPr>
        <sz val="9"/>
        <color theme="1"/>
        <rFont val="Arial"/>
        <family val="2"/>
      </rPr>
      <t>mind. 1 Jahr Berufsausbildung</t>
    </r>
  </si>
  <si>
    <r>
      <t>Pflege-/Betreuungs</t>
    </r>
    <r>
      <rPr>
        <sz val="11"/>
        <color theme="1"/>
        <rFont val="Arial"/>
        <family val="2"/>
      </rPr>
      <t xml:space="preserve">hilfskraft, </t>
    </r>
    <r>
      <rPr>
        <sz val="9"/>
        <color theme="1"/>
        <rFont val="Arial"/>
        <family val="2"/>
      </rPr>
      <t>ohne mind. 1 Jahr Berufsausbildung</t>
    </r>
  </si>
  <si>
    <t>Trägerdaten</t>
  </si>
  <si>
    <t xml:space="preserve">bis: </t>
  </si>
  <si>
    <t>sv-freie Zuschläge</t>
  </si>
  <si>
    <t>zusätzliche Betreung § 43 b SGB XI</t>
  </si>
  <si>
    <t xml:space="preserve"> inkl. SV-Beiträge</t>
  </si>
  <si>
    <t>inkl. PNK</t>
  </si>
  <si>
    <t>Pflegeeinrichtung</t>
  </si>
  <si>
    <t>Personalaufwendungen</t>
  </si>
  <si>
    <t>Berechnung</t>
  </si>
  <si>
    <t xml:space="preserve">Träger der Einrichtung </t>
  </si>
  <si>
    <t>Die Richtigkeit der o.g. Angaben wird bestätigt:</t>
  </si>
  <si>
    <t>Institutionskennzeichen (IK):</t>
  </si>
  <si>
    <t xml:space="preserve"> inkl. Zuschlag nach § 32 RV</t>
  </si>
  <si>
    <t>Gesamt § 43 b SGB XI:</t>
  </si>
  <si>
    <t>SV-Beiträge</t>
  </si>
  <si>
    <t xml:space="preserve"> (in%)</t>
  </si>
  <si>
    <t>Gesamt</t>
  </si>
  <si>
    <t>AG</t>
  </si>
  <si>
    <t>AN</t>
  </si>
  <si>
    <t>KV</t>
  </si>
  <si>
    <t>RV</t>
  </si>
  <si>
    <t>AV</t>
  </si>
  <si>
    <t>PV* mit Kd.</t>
  </si>
  <si>
    <t>Gesamt *</t>
  </si>
  <si>
    <t>U2</t>
  </si>
  <si>
    <t>100% Erstatt.</t>
  </si>
  <si>
    <t>Gesamt *+U2+Insolvenzgeld</t>
  </si>
  <si>
    <t xml:space="preserve">U1 </t>
  </si>
  <si>
    <t>50% Erstatt.</t>
  </si>
  <si>
    <t>Insolvenzgeld</t>
  </si>
  <si>
    <t>Gesamt *+U1+U2+Insolvenzgeld</t>
  </si>
  <si>
    <t>PK/BK</t>
  </si>
  <si>
    <t>PK/BK o.</t>
  </si>
  <si>
    <t>PFK/BFK</t>
  </si>
  <si>
    <t xml:space="preserve"> mind. 3 Jahre Berufsausbildung</t>
  </si>
  <si>
    <t xml:space="preserve"> mind. 1 Jahr Berufsausbildung</t>
  </si>
  <si>
    <t xml:space="preserve"> mind. ohne 1 Jahr Berufsausbildung</t>
  </si>
  <si>
    <t>fixe, regelm. Entlohnung je VK</t>
  </si>
  <si>
    <t>mtl. Arbeitszeit (40 h/Woche)</t>
  </si>
  <si>
    <t>VK alle Beschäftigungsgruppen</t>
  </si>
  <si>
    <t xml:space="preserve">Anteil je Beschäftigungsgruppe </t>
  </si>
  <si>
    <t>einrichtungsindividuelles Entgeltniveau</t>
  </si>
  <si>
    <t>Gesamtbruttopersonalkosten je Jahr</t>
  </si>
  <si>
    <t>Hilfsspalten</t>
  </si>
  <si>
    <t>Register</t>
  </si>
  <si>
    <t xml:space="preserve">arbeitszeitnormierter Std.lohn </t>
  </si>
  <si>
    <t>Ausbildungsbetrieb und/oder Praktikumsbetrieb nach dem Pflegeberufegesetz</t>
  </si>
  <si>
    <t>SPERREN UND AUSBLENDEN</t>
  </si>
  <si>
    <t>letzter Vereinbarungszeitraum:</t>
  </si>
  <si>
    <t>Forderung:</t>
  </si>
  <si>
    <t>Verhandelte Kostenkalkulation der letzten Pflegesatzvereinbarung:</t>
  </si>
  <si>
    <t>Sachkosten</t>
  </si>
  <si>
    <t>Fremdleistung</t>
  </si>
  <si>
    <t>max</t>
  </si>
  <si>
    <t>Begründungen für:</t>
  </si>
  <si>
    <t xml:space="preserve"> - Sachkostensteigerungen -</t>
  </si>
  <si>
    <t xml:space="preserve"> - Fremdleistungen -</t>
  </si>
  <si>
    <t>Stundenlohn:</t>
  </si>
  <si>
    <t>Jahresbruttostunden</t>
  </si>
  <si>
    <t>40 Std./Wo</t>
  </si>
  <si>
    <t>Jahresbruttolohn:</t>
  </si>
  <si>
    <t>Arbeitgeberanteile:</t>
  </si>
  <si>
    <t>Zwischensumme:</t>
  </si>
  <si>
    <t>sofern keine Zuschläge</t>
  </si>
  <si>
    <t>Zuschläge:</t>
  </si>
  <si>
    <t>sofern keine fest vereinbarten Sonderzahlungen</t>
  </si>
  <si>
    <t>13. Monatsgehalt**:</t>
  </si>
  <si>
    <t>HW</t>
  </si>
  <si>
    <t>Kü</t>
  </si>
  <si>
    <t>HAT</t>
  </si>
  <si>
    <t>inkl. 2% PNK + 2% UR:</t>
  </si>
  <si>
    <t>&lt;</t>
  </si>
  <si>
    <t>max. bis</t>
  </si>
  <si>
    <t xml:space="preserve">Steigerungsraten </t>
  </si>
  <si>
    <t>LuV</t>
  </si>
  <si>
    <t>B1 - Grundsatz:</t>
  </si>
  <si>
    <t xml:space="preserve">    =&gt; sonstige Stellen = pauschale Steigerung der bisher geeinten PK um x%</t>
  </si>
  <si>
    <t xml:space="preserve">    =&gt; für Leitung/Verwaltung, HW, Kü, HAT = pauschale Steigerung der bisher geeinten PK um x% aber mindestens um x% auf den Mindestlohn</t>
  </si>
  <si>
    <t>Die Berechnungen gehen immer von der korrekten Erfassung und der Wiedergabe der geeinten Werte vom Ergebnisblatt aus!</t>
  </si>
  <si>
    <t>Berechnung der progn. PK auf Basis der geeinten PK</t>
  </si>
  <si>
    <t xml:space="preserve">          bisher geeinten Personalkosten        =&gt; </t>
  </si>
  <si>
    <t>pauschale Herleitung der Prognose</t>
  </si>
  <si>
    <t>unter Mindestlohn                     =&gt;</t>
  </si>
  <si>
    <t>Mindestlohn +x %</t>
  </si>
  <si>
    <t>geeint + x%</t>
  </si>
  <si>
    <t>Herleitung der Personalkosten</t>
  </si>
  <si>
    <t xml:space="preserve">                         =&gt;</t>
  </si>
  <si>
    <t>unter  Mindestlohn                 =&gt;</t>
  </si>
  <si>
    <t>über Mindestlohn                   =&gt;</t>
  </si>
  <si>
    <t>Die Belegung, die PR für Pflege, Betreuung und sonstige Mitarbeiter, die FKQ Pflege sind für die Prognose veränderbar im Rahmen der Wirtschaftlichkeit und der rahmenvertraglichen Vorgaben. Die restliche Personalausstattung bleibt unverändert. Die Sachkosten, die Fremdleistungen sowie die Beförderungsvergütungen werden auf Basis der geeinten Werte prognostisch um x% gesteigert. Die Personalkosten werden für Mitarbeiter Pflege/Betreuung nach GVWG umgestellt. Die Personalkosten in den Funktionsbereichen LuV, HW, Kü, HAT werden auf Basis der geeinten Personalkosten um x% gesteigert aber mindestens um x% auf den Mindestlohn</t>
  </si>
  <si>
    <t>pflegesatzverhandlungen_sachsen@plus.aok.de</t>
  </si>
  <si>
    <t>% Ansatz für sv-freie Zuschläge für:</t>
  </si>
  <si>
    <t>LuV/HW/Kü, HAT - kein Veto in AG VM 08.06.2022</t>
  </si>
  <si>
    <t>Pflege/ Betreuung, zusätzliche Betreuung entspr. PSK Beschluss 19.05.2022</t>
  </si>
  <si>
    <t>ERGEBNIS</t>
  </si>
  <si>
    <t>Vereinbarungszeitraum prospektiv:</t>
  </si>
  <si>
    <t>Datum der 
Änderung</t>
  </si>
  <si>
    <t>Tabellenblatt</t>
  </si>
  <si>
    <t>Zeile/Spalte</t>
  </si>
  <si>
    <t>Erläuterung der Änderung</t>
  </si>
  <si>
    <t>Hinweise für die Anwender</t>
  </si>
  <si>
    <t>Heidestraße 40</t>
  </si>
  <si>
    <t>10557 Berlin</t>
  </si>
  <si>
    <t>€/Tag</t>
  </si>
  <si>
    <t>handelnd für alle Kostenträger (Datum, Unterschrift)</t>
  </si>
  <si>
    <t>Zulassungsdatum der Pflegeeinrichtung:</t>
  </si>
  <si>
    <t>Einrichtungsformen -Steigerung PK</t>
  </si>
  <si>
    <t>Einrichtungsformen - sv-freie Zuschläge</t>
  </si>
  <si>
    <t xml:space="preserve"> </t>
  </si>
  <si>
    <t>Entgeltniveau inkl. variabler pflegetypischer Zuschläge pro Jahr/VK</t>
  </si>
  <si>
    <t>verguetung-pflege.sac@vdek.com</t>
  </si>
  <si>
    <t>BARMER</t>
  </si>
  <si>
    <t>Landesvertretung Sachsen</t>
  </si>
  <si>
    <t>Postfach 12 03 65</t>
  </si>
  <si>
    <t>01004 Dresden</t>
  </si>
  <si>
    <t>Mitglieder:</t>
  </si>
  <si>
    <t>Techniker Krankenkasse</t>
  </si>
  <si>
    <t>STD_VG_PFK</t>
  </si>
  <si>
    <t>STD_VH_PHK_mit ausbildung</t>
  </si>
  <si>
    <t>STD_VG_PHK_ohne Ausbildung</t>
  </si>
  <si>
    <t>STD_VG_einr. ind. Egniveau</t>
  </si>
  <si>
    <t>VK_PFK</t>
  </si>
  <si>
    <t>VK_PHK_mit ausbildung</t>
  </si>
  <si>
    <t>VK_PHK_ohne Ausbildung</t>
  </si>
  <si>
    <t>GES_VG_PFK</t>
  </si>
  <si>
    <t>GES_VG_PHK_mit Ausbildung</t>
  </si>
  <si>
    <t>GES_VG_PHK_ohne Ausbildung</t>
  </si>
  <si>
    <t xml:space="preserve">Hinweisfelder hervorheben </t>
  </si>
  <si>
    <t>Felder mit Hinweisen und Fehlermeldungen werden blau (="ja") bzw. weiß (="nein") hinterlegt</t>
  </si>
  <si>
    <t>unmittelbare Bindung Tarif / AVR:</t>
  </si>
  <si>
    <t>Welcher Tarif / AVR:</t>
  </si>
  <si>
    <t>Fassung vom:</t>
  </si>
  <si>
    <t>Entlohnung nach:</t>
  </si>
  <si>
    <t>rüE</t>
  </si>
  <si>
    <t>Pflege / Betreuung</t>
  </si>
  <si>
    <t>rüE Pflege- und Betreuungskräfte mit mind. einjähriger berufsausbildung</t>
  </si>
  <si>
    <t>rüE Pflege- und Betreuungskräfte ohne mind. einjähriger berufsausbildung</t>
  </si>
  <si>
    <t>rüE Pflege- und Betreuungsfachkräfte mit mind. dreijähriger Berufsausbildung</t>
  </si>
  <si>
    <t>keine Pflege</t>
  </si>
  <si>
    <t>Qualifikation</t>
  </si>
  <si>
    <t>Personalkosten in €/VK</t>
  </si>
  <si>
    <t>Gesamtdokument</t>
  </si>
  <si>
    <t>Belegung gesamt:</t>
  </si>
  <si>
    <t>PLZ</t>
  </si>
  <si>
    <t>Ort</t>
  </si>
  <si>
    <t>PDL / stellvertretende PDL</t>
  </si>
  <si>
    <t>Regional übliches Entgelt / allgemeiner Mindestlohn</t>
  </si>
  <si>
    <t>allgemeiner Mindestlohn</t>
  </si>
  <si>
    <t>Steigerungsrate</t>
  </si>
  <si>
    <t>pflegeverhandlungen-sachsen@ikk-classic.de</t>
  </si>
  <si>
    <t>vertrag.chemnitz@kbs.de</t>
  </si>
  <si>
    <t>Pflege-SN@bkkmitte.de</t>
  </si>
  <si>
    <t>und</t>
  </si>
  <si>
    <t>pflege@pkv.de</t>
  </si>
  <si>
    <t xml:space="preserve">pflegesatzverhandlungen_sachsen@barmer.de </t>
  </si>
  <si>
    <t>Pflege/ Betreuung</t>
  </si>
  <si>
    <t>Wasser, Energie, Brennstoffe</t>
  </si>
  <si>
    <t>Freiwillige Dienste/FSJ Einsatz</t>
  </si>
  <si>
    <t>Freiwillige Dienste/ FSJ Einsatz</t>
  </si>
  <si>
    <t>Geschäftsbereich Gesundheitspartner</t>
  </si>
  <si>
    <t>Bereich Pflege/HKP</t>
  </si>
  <si>
    <t>Fachbereich Vertrags- und Qualitätsmanagement SAC</t>
  </si>
  <si>
    <t xml:space="preserve">Erläuterung der Änderungen gegenüber der Vorversion (Änderungshistorie ab 18.06.2026) </t>
  </si>
  <si>
    <t>Pflegegrad 1 bis 5</t>
  </si>
  <si>
    <t>§ 43 b SGB XI</t>
  </si>
  <si>
    <t>€ gesamt</t>
  </si>
  <si>
    <t>€/VK bzw. €/Stelle</t>
  </si>
  <si>
    <t>Pflege&amp;Betreuung</t>
  </si>
  <si>
    <t>gültig ab 01.01.2027</t>
  </si>
  <si>
    <t>Im Antrag:</t>
  </si>
  <si>
    <t>zusätzliche Betreuung und Aktivierung nach 
§ 43 b SGB XI</t>
  </si>
  <si>
    <t>Personelle Ausstattung / Personalkosten der Pflegeeinrichtung:</t>
  </si>
  <si>
    <t>Vollkräfte</t>
  </si>
  <si>
    <t>Personal-relation</t>
  </si>
  <si>
    <t>Gesamt:</t>
  </si>
  <si>
    <t xml:space="preserve"> 1:</t>
  </si>
  <si>
    <t>Einsatzstellen Freiwillige Dienste / FSJ</t>
  </si>
  <si>
    <t>Anzahl:</t>
  </si>
  <si>
    <t>Kosten je Stelle</t>
  </si>
  <si>
    <t>2.1. Lebensmittel</t>
  </si>
  <si>
    <t>2.2. pflegerischer Sachbedarf</t>
  </si>
  <si>
    <t>2.3. Wasser, Energie, Brennstoffe</t>
  </si>
  <si>
    <t>3.1. Küche</t>
  </si>
  <si>
    <t>3.2. Wäscherei</t>
  </si>
  <si>
    <t>3.3. Wäschekennzeichnung</t>
  </si>
  <si>
    <t>3.4. Reinigung</t>
  </si>
  <si>
    <t>3.5. Haustechnik</t>
  </si>
  <si>
    <t>€ / Tag</t>
  </si>
  <si>
    <t>Entgelte:</t>
  </si>
  <si>
    <t>für die Unterkunft:</t>
  </si>
  <si>
    <t>für die Verpflegung:</t>
  </si>
  <si>
    <t>Belegung:</t>
  </si>
  <si>
    <t>Die ständige Anwesenheit einer Pflegefachkraft wird sichergestellt:</t>
  </si>
  <si>
    <t>Vergütungszuschlag § 43 b SGB XI:</t>
  </si>
  <si>
    <t>für Kalk Progn</t>
  </si>
  <si>
    <t>für Kalk Ist</t>
  </si>
  <si>
    <t>für Bvgl</t>
  </si>
  <si>
    <t>Zusätzliche Betreuung und Aktivierung nach            § 43 b SGB XI</t>
  </si>
  <si>
    <t>Personal-kosten je VK</t>
  </si>
  <si>
    <t>Fremdleistungen / Leistungen des Trägers (gesamt):</t>
  </si>
  <si>
    <t>Sachaufwendungen (gesamt):</t>
  </si>
  <si>
    <t>Vereinbarungszeitraum:</t>
  </si>
  <si>
    <t>Pflegegrad 1 bis 5:</t>
  </si>
  <si>
    <t>Kurzzeitpflege</t>
  </si>
  <si>
    <t>3.7.</t>
  </si>
  <si>
    <t>Verpflegung</t>
  </si>
  <si>
    <t>Vereinfachtes Verfahren der Aufforderung zum Abschluss einer Pflegesatzvereinbarung gemäß § 84, 85 SGB XI - Kurzzeitpflegeeinrichtungen</t>
  </si>
  <si>
    <t>CheckMonate</t>
  </si>
  <si>
    <t>Hauswirtschaft/ Küche/ Haustechnik</t>
  </si>
  <si>
    <t xml:space="preserve">Entlohnung der Pflege-/Betreuungsmitarbeiter entsprechend der Vorgaben </t>
  </si>
  <si>
    <t>Personalmenge lt. RV</t>
  </si>
  <si>
    <t>check</t>
  </si>
  <si>
    <t>Pflege/Betreuung</t>
  </si>
  <si>
    <t>Leitung</t>
  </si>
  <si>
    <t>Hawi, Kü, HAT</t>
  </si>
  <si>
    <t>43b</t>
  </si>
  <si>
    <t>2.9.</t>
  </si>
  <si>
    <t>2.10.</t>
  </si>
  <si>
    <t>Verwaltungsbedarf</t>
  </si>
  <si>
    <t>Zentrale Verwaltungsdienste</t>
  </si>
  <si>
    <t>Verwaltung</t>
  </si>
  <si>
    <t>Forderung</t>
  </si>
  <si>
    <t>Pflegesatz</t>
  </si>
  <si>
    <t>Hauswirtschaft / Küche / Haustechnik</t>
  </si>
  <si>
    <t>2.6. Betreuungsaufwand</t>
  </si>
  <si>
    <t>2.7. Wirtschaftsbedarf</t>
  </si>
  <si>
    <t>2.8. Steuern/Abgaben/Versicherungen</t>
  </si>
  <si>
    <t>2.9. Wartung (keine Instandhaltung)</t>
  </si>
  <si>
    <t>2.10. sonstige Aufwendungen</t>
  </si>
  <si>
    <t>2.4. Verwaltungsbedarf</t>
  </si>
  <si>
    <t>2.5. Zentrale Verwaltungsdienste</t>
  </si>
  <si>
    <t>Pflegesatz:</t>
  </si>
  <si>
    <t xml:space="preserve">Pflegesatz und Entgelte </t>
  </si>
  <si>
    <t>Entgelte für Pflege, Unterkunft und Verpflegung in Kurzzeitpflegeeinrichtungen nach § 42 SGB XI</t>
  </si>
  <si>
    <t xml:space="preserve">führen kann, wurde uns vom Einrichtungsträger vorgelegt und erläutert. Die dem Antrag zugrunde   </t>
  </si>
  <si>
    <t xml:space="preserve">liegenden Einzelpositionen, der Umlagemaßstab sowie die Antragsbegründung wurden </t>
  </si>
  <si>
    <t>gehe weiter zu B_KZP_Ergebnis</t>
  </si>
  <si>
    <t>Leitung / Verwaltung</t>
  </si>
  <si>
    <t>Divisor</t>
  </si>
  <si>
    <t>Aufwendungen für Leistungen im Pflegegrad 1 bis 5</t>
  </si>
  <si>
    <r>
      <t xml:space="preserve">Aufwendungen für Leistungen im </t>
    </r>
    <r>
      <rPr>
        <b/>
        <sz val="10"/>
        <color theme="1"/>
        <rFont val="Arial"/>
        <family val="2"/>
      </rPr>
      <t>Pflegegrad 1 bis 5</t>
    </r>
  </si>
  <si>
    <r>
      <t xml:space="preserve">Aufwendungen für 
</t>
    </r>
    <r>
      <rPr>
        <b/>
        <sz val="10"/>
        <color theme="1"/>
        <rFont val="Arial"/>
        <family val="2"/>
      </rPr>
      <t>§ 43b</t>
    </r>
    <r>
      <rPr>
        <sz val="10"/>
        <color theme="1"/>
        <rFont val="Arial"/>
        <family val="2"/>
      </rPr>
      <t xml:space="preserve"> SGB XI</t>
    </r>
  </si>
  <si>
    <t>Aufwendungen für § 43b SGB XI</t>
  </si>
  <si>
    <t>1.1.</t>
  </si>
  <si>
    <t>1.2.</t>
  </si>
  <si>
    <t>2.4</t>
  </si>
  <si>
    <t>2.5</t>
  </si>
  <si>
    <t>Pflege</t>
  </si>
  <si>
    <t>§ 43b SGB XI</t>
  </si>
  <si>
    <t>errechnete Pflegesätze (€ / Tag):</t>
  </si>
  <si>
    <t>Pflege und Betreuung ohne PDL / stellv. PDL</t>
  </si>
  <si>
    <t>Gesamt Pflege und Betreuung ohne PDL / stellv. PDL:</t>
  </si>
  <si>
    <t>Pflge &amp; Betreuung - Personalkosten gesamt</t>
  </si>
  <si>
    <t>zusätzliche Betreuung - Personalkosten gesamt</t>
  </si>
  <si>
    <t>Personalkosten gesamt</t>
  </si>
  <si>
    <t>Neugestaltung der Antragsunterlagen auf Basis des Antrages B_PH</t>
  </si>
  <si>
    <t>gehe weiter zu B_KZP_Kalkulation</t>
  </si>
  <si>
    <t>gehe weiter zu B_KZP_Berechnung rüE</t>
  </si>
  <si>
    <t>gehe weiter zu B_KZP_Bewohnervertretung</t>
  </si>
  <si>
    <t>HW/K/HT</t>
  </si>
  <si>
    <t>Personalrelation</t>
  </si>
  <si>
    <t>Beschäftigungsgruppe</t>
  </si>
  <si>
    <t>Betreuung</t>
  </si>
  <si>
    <t>Zusammenführung Personal Hauswirtschaft, Küche und Haustechnik</t>
  </si>
  <si>
    <t>bisherige Vereinbarung</t>
  </si>
  <si>
    <t>zukünftige Vereinbarung</t>
  </si>
  <si>
    <t>Personalkosten (je VK)</t>
  </si>
  <si>
    <t>KZP</t>
  </si>
  <si>
    <t xml:space="preserve">Entscheidung UAG und Kostenträger 21.11.2024 (Pflege,Betreuung,43b, HW,Kü;HAT) für KZP - LuV bleibt - bei TP bleiben alle Werte </t>
  </si>
  <si>
    <t>Zusammenführung Personal Pflege und Betreuung</t>
  </si>
  <si>
    <t>3.1</t>
  </si>
  <si>
    <t>3.2</t>
  </si>
  <si>
    <t>3.3</t>
  </si>
  <si>
    <t>3.4</t>
  </si>
  <si>
    <t>3.5</t>
  </si>
  <si>
    <t>3.6</t>
  </si>
  <si>
    <t>3.7</t>
  </si>
  <si>
    <t>abweichende Stellen Pflege / Betreuung</t>
  </si>
  <si>
    <t>abweichende Stellen HW/ Kü/ HT</t>
  </si>
  <si>
    <t>Verhandlungsführer</t>
  </si>
  <si>
    <t>Kostenträger</t>
  </si>
  <si>
    <t>KSV</t>
  </si>
  <si>
    <t>Stand 30.09.2026</t>
  </si>
  <si>
    <t>Vereinbarungswerte</t>
  </si>
  <si>
    <t>Pflegesätze</t>
  </si>
  <si>
    <t xml:space="preserve"> - Personalkostensteigerungen -</t>
  </si>
  <si>
    <t>B_KZP_Kalkulation</t>
  </si>
  <si>
    <t>06.10.2026/ 07.10.2026</t>
  </si>
  <si>
    <t>O26, O21 und O22:R31</t>
  </si>
  <si>
    <t>O26: Text enfernt (alt:  "- Personalkostensteigerungen - (nicht für Funktionsbereich Pflege, Betreuung, zusätzliche Betreuung notwendig)")
O21: Text ersetzt (alt: " - die veränderte Personalausstattung -")
Zellen verbunden</t>
  </si>
  <si>
    <t>KAT</t>
  </si>
  <si>
    <t>Steigerungen entsprechend Beschluss PSK vom 08.10.2026 angepasst</t>
  </si>
  <si>
    <t>diverse Zellen</t>
  </si>
  <si>
    <t xml:space="preserve">Textfarbe in grau geändert (zur Kennzeichnung nicht verwendeter Inhalte) </t>
  </si>
  <si>
    <t>Formel angepasst</t>
  </si>
  <si>
    <t>Prüfung Mindetslohn entfernt</t>
  </si>
  <si>
    <t>Spalte M</t>
  </si>
  <si>
    <t>Hinweistexte bei Überschreitung der max. Steigerungen angepasst</t>
  </si>
  <si>
    <t>B_KZP_Allgemeine Angaben</t>
  </si>
  <si>
    <t>*Berechnungsgrundlagen Mindestlohn für LAUFZEIT für Arbeitnehmer, die nicht in der Grundpflege tätig sind, HAUSWIRTSCHAFT/ KÜCHE / HAUSTECHNIK</t>
  </si>
  <si>
    <t xml:space="preserve">rüE alt </t>
  </si>
  <si>
    <t>Tarifbindung/Tarifanlehnung</t>
  </si>
  <si>
    <t>Einrichtungsleitung:</t>
  </si>
  <si>
    <t>N58</t>
  </si>
  <si>
    <t>Formel durch "0" ersetzt (um das aktivieren des Blattes B_PH_Berechnung rüE zu verhindern) (alt: =WENN(UND(H55&lt;&gt;"ja";H56="rüE");1;0))</t>
  </si>
  <si>
    <t>Hauswirtschaft/ Küche/ Haustechnik:</t>
  </si>
  <si>
    <t>H30:K38</t>
  </si>
  <si>
    <t>J58</t>
  </si>
  <si>
    <t>B_KZP_Berechnung rüE</t>
  </si>
  <si>
    <t>Blatt ausgeblendet</t>
  </si>
  <si>
    <t>L27</t>
  </si>
  <si>
    <t>J26 (&amp; J27 analog)</t>
  </si>
  <si>
    <t>Formel angepasst (alt: =WENNFEHLER($L$16/I26;"")) - Kalkulation funktioniert nun auch, falls kein L&amp;V oder HW/K/HAT vereinbart ist</t>
  </si>
  <si>
    <t>"Auslastung" bzw. "Auslastungsgrad" durch "Auslastungsquote" ersetzt</t>
  </si>
  <si>
    <t>B7, D8</t>
  </si>
  <si>
    <t>kalkulatorische Auslastungsquote:</t>
  </si>
  <si>
    <t>Bewohnersprecher *</t>
  </si>
  <si>
    <t>Bewohnervertretung oder Bewohnersprecher haben diese nicht wahrgenommen</t>
  </si>
  <si>
    <t>Bewohnervertretung oder Bewohnersprecher nicht vorhanden,</t>
  </si>
  <si>
    <t>Einbeziehung der Bewohnervertretung / des Bewohnersprechers:</t>
  </si>
  <si>
    <t>Stellungnahme der Bewohnervertretung / des Bewohnersprechers:</t>
  </si>
  <si>
    <t>oder des Bewohnersprechers</t>
  </si>
  <si>
    <t>H45, H51</t>
  </si>
  <si>
    <t>Angaben nur größer gleich 73 möglich; Hinweistext entsprechend angepasst</t>
  </si>
  <si>
    <t>D8</t>
  </si>
  <si>
    <t>Hinweistext angepasst; Neueröffnungsfall entfernt</t>
  </si>
  <si>
    <t>D7</t>
  </si>
  <si>
    <t>B_KZP_Bewohnervertretung</t>
  </si>
  <si>
    <t>Begriff "Bewohnerfürsprecher" durch "Bewohnersprecher" ersetzt</t>
  </si>
  <si>
    <t>Angaben werden nun in rot angezeigt, wenn Vereinbarungsbeginn kleiner oder gleich Zulassungsdatum</t>
  </si>
  <si>
    <t>Hinweise zum vereinfachten Verfahren der Aufforderung zum Abschluss einer Pflegesatzvereinbarung gemäß §§ 84, 85 SGB XI sowie von Vereinbarungen nach § 75 SGB XII für Kurzzeitpflegeeinrichtungen im Sinne § 1 Abs. 6 des Rahmenvertrages</t>
  </si>
  <si>
    <t>Inhaltsverzeichnis</t>
  </si>
  <si>
    <t>2. Aufforderungsunterlagen</t>
  </si>
  <si>
    <r>
      <rPr>
        <b/>
        <sz val="11"/>
        <color theme="1"/>
        <rFont val="Arial"/>
        <family val="2"/>
      </rPr>
      <t>2. Aufforderungsunterlagen</t>
    </r>
    <r>
      <rPr>
        <sz val="11"/>
        <color theme="1"/>
        <rFont val="Arial"/>
        <family val="2"/>
      </rPr>
      <t xml:space="preserve">
Die Aufforderungsunterlagen enthalten Formeln, so dass sich die beantragten Pflegesätze und 
Entgelte errechnen. Es sind ausschließlich die gelben Felder auszufüllen.</t>
    </r>
  </si>
  <si>
    <r>
      <rPr>
        <b/>
        <sz val="11"/>
        <color theme="1"/>
        <rFont val="Arial"/>
        <family val="2"/>
      </rPr>
      <t>2.1. Mappe Allgemeine Angaben</t>
    </r>
    <r>
      <rPr>
        <sz val="11"/>
        <color theme="1"/>
        <rFont val="Arial"/>
        <family val="2"/>
      </rPr>
      <t xml:space="preserve">
Für jede Pflegeeinrichtung muss zwingend ein leeres Antragsformular verwendet werden. 
Die Platzzahl bestimmt sich nach dem Versorgungsvertrag. 
Der Vereinbarungszeitraum umfasst regelmäßig mindestens 12 Monate.
Die Pflegeeinrichtung muss auswählen, ob sie unmittelbar an einen Tarif / eine AVR gebunden ist, 
sich an ein Tarifwerk anlehnt oder nach dem regional üblichen Entgelt entlohnt. In Abhängigkeit 
der getroffenen Aussage stehen differenzierte Steigerungsraten für die Kalkulation zur Verfügung.  
Die Parteien der Pflegesatzvereinbarung sind gemäß § 85 Abs. 2 SGB XI zu ermitteln und ihr 
Anteil an den Berechnungstagen der Pflegeeinrichtung entsprechend anzugeben. Der Anteil der 
Bewohner, die ergänzende Leistungen der Sozialhilfe erhalten, ist zusätzlich als Davonposition auszuweisen. </t>
    </r>
  </si>
  <si>
    <r>
      <rPr>
        <b/>
        <sz val="11"/>
        <color theme="1"/>
        <rFont val="Arial"/>
        <family val="2"/>
      </rPr>
      <t>2.2. Mappe Kalkulation</t>
    </r>
    <r>
      <rPr>
        <sz val="11"/>
        <color theme="1"/>
        <rFont val="Arial"/>
        <family val="2"/>
      </rPr>
      <t xml:space="preserve">
</t>
    </r>
    <r>
      <rPr>
        <u/>
        <sz val="11"/>
        <color theme="1"/>
        <rFont val="Arial"/>
        <family val="2"/>
      </rPr>
      <t>Auslastungsquote</t>
    </r>
    <r>
      <rPr>
        <sz val="11"/>
        <color theme="1"/>
        <rFont val="Arial"/>
        <family val="2"/>
      </rPr>
      <t xml:space="preserve">
Die Auslastungsquote der Kurzzeitpflegeeinrichtung orientiert sich an der tatsächlichen 
Auslastung der letzten zwei Jahre, mindestens aber 78 %. In diesem Rahmen kann eine 
Abweichung von 5 % unter der tatsächlichen Auslastung der letzten zwei Jahre kalkuliert werden. 
Abweichend hiervon gilt für das zweite Jahr der Zulassung eine Auslastungsquote von 73 % 
unabhängig von der tatsächlichen Auslastungsquote. 
Neu zugelassene Kurzzeitpflegeeinrichtungen können das vereinfachte Verfahren nicht nutzen.
</t>
    </r>
    <r>
      <rPr>
        <u/>
        <sz val="11"/>
        <color theme="1"/>
        <rFont val="Arial"/>
        <family val="2"/>
      </rPr>
      <t>Belegungstage</t>
    </r>
    <r>
      <rPr>
        <sz val="11"/>
        <color theme="1"/>
        <rFont val="Arial"/>
        <family val="2"/>
      </rPr>
      <t xml:space="preserve">
Bei bestehenden Kurzzeitpflegeeinrichtungen sind die Belegungstage für 24 Monate insgesamt 
zu ermitteln. Der Beginn des Belegungszeitraumes darf nicht mehr als 30 Monate vor 
Laufzeitbeginn liegen. Kann auf Grund einer kürzeren Dauer nach der Zulassung dieser Umfang 
noch nicht erreicht werden, verkürzt sich die Angabe des Belegungszeitraums entsprechend.
</t>
    </r>
    <r>
      <rPr>
        <u/>
        <sz val="11"/>
        <color theme="1"/>
        <rFont val="Arial"/>
        <family val="2"/>
      </rPr>
      <t>jährliche Öffnungstage</t>
    </r>
    <r>
      <rPr>
        <sz val="11"/>
        <color theme="1"/>
        <rFont val="Arial"/>
        <family val="2"/>
      </rPr>
      <t xml:space="preserve">
365 Tage
Im Übrigen bildet der linke Teil der Tabelle den Sachstand der aktuell gültigen 
Pflegesatzvereinbarung ab. 
Im rechten Teil der Tabelle wird die Forderung der Pflegeeinrichtung dargestellt.
</t>
    </r>
    <r>
      <rPr>
        <u/>
        <sz val="11"/>
        <color theme="1"/>
        <rFont val="Arial"/>
        <family val="2"/>
      </rPr>
      <t>Pflegebedürftige in der Einrichtung</t>
    </r>
    <r>
      <rPr>
        <sz val="11"/>
        <color theme="1"/>
        <rFont val="Arial"/>
        <family val="2"/>
      </rPr>
      <t xml:space="preserve">
Die Kurzzeitpflegeeinrichtung kann entsprechend der aktuell gültigen Pflegesatzvereinbarung 
Pflegebedürftige in allen Pflegegraden oder nur in einigen Pflegegraden angeben. 
Die Belegung muss der Platzzahl im Versorgungsvertrag entsprechen.
</t>
    </r>
  </si>
  <si>
    <t>Es werden pflegegradunabhängig eine Personalmenge, Personalrelationen und ein Pflegesatz 
ermittelt.
Eine Änderung der prognostischen Belegung ist nicht möglich.</t>
  </si>
  <si>
    <r>
      <rPr>
        <u/>
        <sz val="11"/>
        <color theme="1"/>
        <rFont val="Arial"/>
        <family val="2"/>
      </rPr>
      <t>Personalausstattung der Pflegeeinrichtung</t>
    </r>
    <r>
      <rPr>
        <sz val="11"/>
        <color theme="1"/>
        <rFont val="Arial"/>
        <family val="2"/>
      </rPr>
      <t xml:space="preserve">
Grundlage für die Ermittlung der beantragten Personalausstattung ist das prospektiv in der 
Einrichtung beschäftigte Personal. Eine Vollkraft wird mit 40 Stunden / Woche kalkuliert. 
Die Personalrelation für PDL und stellvertretende PDL beträgt bis 1 zu 20. Der Stellenanteil wird 
aus der bisherigen Personalrelation Pflege herausgelöst.
Die Mitarbeiter Pflege und die Mitarbeiter Betreuung bilden einen gemeinsamen Funktionsbereich. 
Die summierten Stellenanteile für PDL, stellvertretende PDL, die Mitarbeiter Pflege und die 
Mitarbeiter Betreuung entsprechen der aktuell gültigen Pflegesatzvereinbarung. 
Eine Reduzierung ist möglich.
Die Mitarbeiter der zusätzlichen Betreuung und Aktivierung nach § 43b SGB XI bilden einen 
separaten Funktionsbereich. 
Der gemeinsame Funktionsbereich Hauswirtschaft / Küche / Haustechnik wird aus den 
bisherigen einzelnen Stellenanteilen zusammengefasst. Eine Reduzierung ist möglich.
Die Stellen für Freiwillige Dienste / FSJ sind ebenfalls der aktuell gültigen Pflegesatzvereinbarung 
zu entnehmen. Eine prospektive Veränderung ist möglich.
Entsprechende Hinweise (Fehlermeldungen) sind zu beachten. </t>
    </r>
  </si>
  <si>
    <r>
      <rPr>
        <u/>
        <sz val="11"/>
        <color theme="1"/>
        <rFont val="Arial"/>
        <family val="2"/>
      </rPr>
      <t>Personalkosten</t>
    </r>
    <r>
      <rPr>
        <sz val="11"/>
        <color theme="1"/>
        <rFont val="Arial"/>
        <family val="2"/>
      </rPr>
      <t xml:space="preserve">
Die Personalkosten werden aus der aktuell gültigen Pflegesatzvereinbarung übernommen.
Die Angaben der Personalkosten Prognose sind abhängig von der Wahl der Entlohnung (AVR / 
Tarif, Tarifanlehner, regional übliches Entgelt) in der Mappe Allgemeine Angaben.
Aus den bisher vereinbarten Personalkosten Pflege und Betreuung werden die gewichteten 
Personalkosten für den gemeinsamen Funktionsbereich Pflege / Betreuung ermittelt. 
Aus den bisher vereinbarten Personalkosten Küche, Hauswirtschaft und Haustechnik werden die 
gewichteten Personalkosten für den gemeinsamen Funktionsbereich Hauswirtschaft / Küche / 
Haustechnik ermittelt. 
Die Steigerung der Personalkosten wird für alle Funktionsbereiche in der Mappe Kalkulation 
eingetragen. 
Die bisher geeinten Personalkosten können in den Funktionsbereichen:
</t>
    </r>
  </si>
  <si>
    <t>Tarifgebundene Einrichtungen / Tarifanlehner</t>
  </si>
  <si>
    <t>Regional übliches Entgelt</t>
  </si>
  <si>
    <t>um maximal 5 %</t>
  </si>
  <si>
    <t>um maximal 3 %</t>
  </si>
  <si>
    <t>zusätzliche Betreuung und Aktivierung nach § 43 b SGB XI</t>
  </si>
  <si>
    <t>um maximal 3,42 %</t>
  </si>
  <si>
    <t>Freiwillige Dienste / FSJ</t>
  </si>
  <si>
    <t>um maximal 4 %</t>
  </si>
  <si>
    <t>gesteigert werden.
Für Freiwillige Dienste und FSJ sind im Antrag Netto-Personalkosten darzustellen.
Das regionale Entlohnungsniveau für Pflege / Betreuung und zusätzliche Betreuung nach 
§ 43b SGB XI im Rahmen der Veröffentlichung nach § 82c Abs. 5 SGB XI (Stand 30.09.2026) für 
das regional übliche Entgelt beträgt:</t>
  </si>
  <si>
    <t>Pflege- und Betreuungskräfte ohne mindestens einjährige Berufsausbildung</t>
  </si>
  <si>
    <t>20,88 € / h</t>
  </si>
  <si>
    <t>Pflege- und Betreuungskräfte mit mindestens einjähriger Berufsausbildung</t>
  </si>
  <si>
    <t>22,52 € / h</t>
  </si>
  <si>
    <t>Fachkräfte in den Bereichen Pflege und Betreuung mit mindestens dreijähriger Berufsausbildung</t>
  </si>
  <si>
    <t>27,18 € / h</t>
  </si>
  <si>
    <r>
      <t xml:space="preserve">Regional übliches Entlohnungsniveau je Beschäftigtengruppe gemäß 
§ 4 Absatz 3 der Richtlinien des GKV-SV nach § 82c Absatz 4 SGB XI in 
</t>
    </r>
    <r>
      <rPr>
        <b/>
        <sz val="11"/>
        <color theme="1"/>
        <rFont val="Arial"/>
        <family val="2"/>
      </rPr>
      <t>Sachsen</t>
    </r>
    <r>
      <rPr>
        <sz val="11"/>
        <color theme="1"/>
        <rFont val="Arial"/>
        <family val="2"/>
      </rPr>
      <t xml:space="preserve"> (Stand 30.9.2026)</t>
    </r>
  </si>
  <si>
    <r>
      <t xml:space="preserve">Regionale Durchschnittswerte der tarifvertraglich oder in kirchlichen 
Arbeitsrechtsregelungen vereinbarten variablen pflegetypischen Zuschläge 
auf den Stundenlohn (Grundgehalt) gemäß § 5 Absatz 2 der Richtlinien des 
GKV-SV nach § 82c Absatz 4 SGB XI in </t>
    </r>
    <r>
      <rPr>
        <b/>
        <sz val="11"/>
        <color theme="1"/>
        <rFont val="Arial"/>
        <family val="2"/>
      </rPr>
      <t>Sachsen</t>
    </r>
    <r>
      <rPr>
        <sz val="11"/>
        <color theme="1"/>
        <rFont val="Arial"/>
        <family val="2"/>
      </rPr>
      <t xml:space="preserve"> (Stand 30.9.2026)</t>
    </r>
  </si>
  <si>
    <t>Nachtzuschläge für eine Tätigkeit in der Nacht, 
mindestens im Zeitraum zwischen 23 und 6 Uhr</t>
  </si>
  <si>
    <t>Sonntagszuschläge für eine Tätigkeit anSonntagen im Zeitraum zwischen 0 und 24 Uhr</t>
  </si>
  <si>
    <t>Feiertagszuschläge für eine Tätigkeit an 
gesetzlichen Feiertagen im Zeitraum zwischen 
0 und 24 Uhr (mit Freizeitausgleich)</t>
  </si>
  <si>
    <t>Feiertagszuschläge für eine Tätigkeit an 
gesetzlichen Feiertagen im Zeitraum zwischen 
0 und 24 Uhr (ohne Freizeitausgleich)</t>
  </si>
  <si>
    <r>
      <t xml:space="preserve">Die Personalkosten von PDL / stellvertretender PDL bleiben bei der Ermittlung des regional 
üblichen Entlohnungsniveaus unberücksichtigt.
</t>
    </r>
    <r>
      <rPr>
        <u/>
        <sz val="11"/>
        <color theme="1"/>
        <rFont val="Arial"/>
        <family val="2"/>
      </rPr>
      <t>Sachkosten</t>
    </r>
    <r>
      <rPr>
        <sz val="11"/>
        <color theme="1"/>
        <rFont val="Arial"/>
        <family val="2"/>
      </rPr>
      <t xml:space="preserve">
Die Sachkosten können in allen Positionen pauschal um maximal 3,0 % bezogen auf die aktuell 
geeinten Werte gesteigert werden.
</t>
    </r>
    <r>
      <rPr>
        <u/>
        <sz val="11"/>
        <color theme="1"/>
        <rFont val="Arial"/>
        <family val="2"/>
      </rPr>
      <t>Fremdleistungen</t>
    </r>
    <r>
      <rPr>
        <sz val="11"/>
        <color theme="1"/>
        <rFont val="Arial"/>
        <family val="2"/>
      </rPr>
      <t xml:space="preserve">
Die Fremdleistungen können in allen Positionen pauschal um maximal 5,0 % bezogen auf die 
aktuell geeinten Werte gesteigert werden.
Die Richtigkeit der Angaben der Pflegeeinrichtung ist mit Unterschrift zu bestätigen.</t>
    </r>
  </si>
  <si>
    <r>
      <rPr>
        <b/>
        <sz val="11"/>
        <color theme="1"/>
        <rFont val="Arial"/>
        <family val="2"/>
      </rPr>
      <t>2.3. Mappe Bewohnervertretung</t>
    </r>
    <r>
      <rPr>
        <sz val="11"/>
        <color theme="1"/>
        <rFont val="Arial"/>
        <family val="2"/>
      </rPr>
      <t xml:space="preserve">
Vollstationäre Pflegeeinrichtungen haben gemäß § 85 Abs. 3 SGB XI zum Zeitpunkt der 
Antragstellung eine Stellungnahme der Bewohnervertretung beizufügen.</t>
    </r>
  </si>
  <si>
    <r>
      <rPr>
        <b/>
        <sz val="11"/>
        <color theme="1"/>
        <rFont val="Arial"/>
        <family val="2"/>
      </rPr>
      <t>2.4. Mappe Ergebnis</t>
    </r>
    <r>
      <rPr>
        <sz val="11"/>
        <color theme="1"/>
        <rFont val="Arial"/>
        <family val="2"/>
      </rPr>
      <t xml:space="preserve">
Bis zur Ausfertigung der Pflegesatzvereinbarung erhält die Pflegeeinrichtung nach 
abgeschlossener Pflegesatzverhandlung ein von der Kostenträgerseite unterzeichnetes 
Ergebnis.
</t>
    </r>
    <r>
      <rPr>
        <u/>
        <sz val="11"/>
        <color theme="1"/>
        <rFont val="Arial"/>
        <family val="2"/>
      </rPr>
      <t>Ausbildungsvergütung gemäß § 82a SGB XI</t>
    </r>
    <r>
      <rPr>
        <sz val="11"/>
        <color theme="1"/>
        <rFont val="Arial"/>
        <family val="2"/>
      </rPr>
      <t xml:space="preserve">
Sofern die Pflegeeinrichtung eine Vereinbarung zur Ausbildungsvergütung gemäß § 82a SGB XI 
abgeschlossen hat, erhöht sich der jeweilige Pflegesatz um diesen Betrag.</t>
    </r>
  </si>
  <si>
    <r>
      <rPr>
        <b/>
        <sz val="11"/>
        <color theme="1"/>
        <rFont val="Arial"/>
        <family val="2"/>
      </rPr>
      <t>2.5. Mappe Gesamtkalkulation</t>
    </r>
    <r>
      <rPr>
        <sz val="11"/>
        <color theme="1"/>
        <rFont val="Arial"/>
        <family val="2"/>
      </rPr>
      <t xml:space="preserve">
Die Gesamtkalkulation fasst die vorangegangenen Angaben zur Ermittlung der 
Entgeltbestandteile zusammen. Hier kann die Pflegeeinrichtung keine Änderungen vornehmen. 
Ggf. sind Korrekturen auf den vorhergehenden Seiten erforderlich. </t>
    </r>
  </si>
  <si>
    <r>
      <rPr>
        <b/>
        <sz val="11"/>
        <color theme="1"/>
        <rFont val="Arial"/>
        <family val="2"/>
      </rPr>
      <t>1. Allgemeine Hinweise</t>
    </r>
    <r>
      <rPr>
        <sz val="11"/>
        <color theme="1"/>
        <rFont val="Arial"/>
        <family val="2"/>
      </rPr>
      <t xml:space="preserve">
Dieses Antragsverfahren kann von Kurzzeitpflegeeinrichtungen im Sinne des § 1 Abs. 6 des 
Rahmenvertrages zur Kurzzeitpflege gemäß § 75 Abs. 1 SGB XI im Freistaat Sachsen (in Kraft 
ab 1. Juli 2026) genutzt werden, 
•	deren aktuell gültige Pflegesatzvereinbarung ausgelaufen ist und
•	die seit der Vorverhandlung keine Kapazitätsänderung vorgenommen haben.
Grundlage ist der Rahmenvertrag nach § 75 Abs.1 SGB XI zur Kurzzeitpflege im Freistaat 
Sachsen.
Es sind außerdem die Anforderungen nach dem SächsWTG und der SächsWTVO zu beachten.
Das vereinfachte Verfahren kann grundsätzlich nur einmal angewendet werden. Ungeachtet 
dessen erklären sich die Kostenträger bereit, auch über ein weiteres vereinfachtes Verfahren zu 
verhandeln, sofern hiermit eine entsprechende Laufzeitverlängerung der Pflegesatzvereinbarung 
verbunden wird. Bis Mitte 2027 werden die Verfahrensbeteiligten einen Vorschlag für die 
Ausgestaltung und Voraussetzungen eines solchen weiteren vereinfachten Verfahrens erarbeiten.
</t>
    </r>
    <r>
      <rPr>
        <b/>
        <sz val="11"/>
        <color theme="1"/>
        <rFont val="Arial"/>
        <family val="2"/>
      </rPr>
      <t>Basis ist die Ergebniskalkulation zur aktuell gültigen Pflegesatzvereinbarung.</t>
    </r>
    <r>
      <rPr>
        <sz val="11"/>
        <color theme="1"/>
        <rFont val="Arial"/>
        <family val="2"/>
      </rPr>
      <t xml:space="preserve"> Es handelt 
sich um eine pauschale Herangehensweise, die nicht alle individuellen Veränderungen der 
Pflegeeinrichtung seit Abschluss der gültigen Pflegesatzvereinbarung berücksichtigt. 
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(siehe Adressverzeichnis). Zwischen dem 
Antragsdatum und dem Laufzeitbeginn können maximal 4 Monate liegen. </t>
    </r>
  </si>
  <si>
    <t>1. Allgemeine Hinweise</t>
  </si>
  <si>
    <t>2.1. Allgemeine Angaben</t>
  </si>
  <si>
    <t>2.2. Kalkulation</t>
  </si>
  <si>
    <t>2.3. Bewohnervertretung</t>
  </si>
  <si>
    <t>2.4. Ergebnis</t>
  </si>
  <si>
    <t>2.5. Gesamtkalkulation</t>
  </si>
  <si>
    <t>zurück</t>
  </si>
  <si>
    <t>Sofern der KSV Sachsen nicht bereits Vertragspartei ist, erhält er immer eine Kopie der 
Allgemeinen Angaben und der Kalkulation. Werden eingereichte Antragsunterlagen korrigiert 
bzw. ergänzt, müssen die aktualisierten Antragsunterlagen rechtzeitig, in der Regel 14 Tage vor 
dem Verhandlungstermin, den beteiligten Vertragsparteien vorliegen. 
Für jede Kurzzeitpflegeeinrichtung im Sinne § 1 Abs. 6 des Rahmenvertrages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(Kalkulation und Bewohnervertretung) im pdf-Format per E-Mail an die zuständigen 
Vertragsparteien zu übermitteln.</t>
  </si>
  <si>
    <t>Aus Gründen der besseren Lesbarkeit wird auf die gleichzeitige Verwendung männlicher und 
weiblicher Sprachformen verzichtet. Sämtliche Personenbezeichnungen gelten gleichwohl für alle Geschlechter.</t>
  </si>
  <si>
    <t>B_PH_Hinweise</t>
  </si>
  <si>
    <t>Blatt Hinweise eingefügt</t>
  </si>
  <si>
    <t>Verknüpfungstabelle</t>
  </si>
  <si>
    <t>Erfassungstag /Änderungstag</t>
  </si>
  <si>
    <t xml:space="preserve">Platzzahl </t>
  </si>
  <si>
    <t>dav_KZP_Plätze</t>
  </si>
  <si>
    <t>IK KZP</t>
  </si>
  <si>
    <t>KZP bzw. Art KZP</t>
  </si>
  <si>
    <t>Auslastung_E</t>
  </si>
  <si>
    <t>Auslastung KZP</t>
  </si>
  <si>
    <t>VG_PDL-stellvPDL</t>
  </si>
  <si>
    <t>VG_QM</t>
  </si>
  <si>
    <t>VG_HM</t>
  </si>
  <si>
    <t>VG_PFK/BFK</t>
  </si>
  <si>
    <t>VG_PK/BK</t>
  </si>
  <si>
    <t>VG_PK/BK o.</t>
  </si>
  <si>
    <t>VG_43b</t>
  </si>
  <si>
    <t xml:space="preserve">VG_EL </t>
  </si>
  <si>
    <t>VG_HW</t>
  </si>
  <si>
    <t>VG_Küche</t>
  </si>
  <si>
    <t>VG_HT</t>
  </si>
  <si>
    <t>VG_ZDL-FSJ</t>
  </si>
  <si>
    <t>PNK (%)</t>
  </si>
  <si>
    <t>stfr.Sachbez. (%)</t>
  </si>
  <si>
    <t>Risiko/Wagnis/Gewinn-PK (%)</t>
  </si>
  <si>
    <t>Risiko/Wagnis/Gewinn-SK (%)</t>
  </si>
  <si>
    <t>SK_Lebensmittel BelTag</t>
  </si>
  <si>
    <t>SK_pfleg_ Bedarf BelTag</t>
  </si>
  <si>
    <t>SK_W/E/B BelTag</t>
  </si>
  <si>
    <t>SK_VW-Bedarf BelTag</t>
  </si>
  <si>
    <t>SK_Zentr-VW BelTag</t>
  </si>
  <si>
    <t>SK_Betreuung BelTag</t>
  </si>
  <si>
    <t>SK_Wirt-bedarf BelTag</t>
  </si>
  <si>
    <t>SK_S/A/V   BelTag</t>
  </si>
  <si>
    <t>SK_Wartung BelTag</t>
  </si>
  <si>
    <t>SK_Sonstiges BelTag</t>
  </si>
  <si>
    <t>FL_Küche BelTag</t>
  </si>
  <si>
    <t>FL_Wäscherei BelTag</t>
  </si>
  <si>
    <t>FL_Wäschekennz_BelTag</t>
  </si>
  <si>
    <t>FL_Reinigung BelTag</t>
  </si>
  <si>
    <t>FL_Zentrale Verwaltung BelTag</t>
  </si>
  <si>
    <t>FL_Haustechnik BelTag</t>
  </si>
  <si>
    <t>FL_Sonstiges_HW_HT BelTag</t>
  </si>
  <si>
    <t>FL_Sonstiges BelTag</t>
  </si>
  <si>
    <t>VE_PS_PG1</t>
  </si>
  <si>
    <t>VE_PS_PG2</t>
  </si>
  <si>
    <t>VE_PS_PG3</t>
  </si>
  <si>
    <t>VE_PS_PG4</t>
  </si>
  <si>
    <t>VE_PS_PG5</t>
  </si>
  <si>
    <t>VE_EEE</t>
  </si>
  <si>
    <t>VE_U</t>
  </si>
  <si>
    <t>VE_V</t>
  </si>
  <si>
    <t>VE_FK</t>
  </si>
  <si>
    <t>VE-Beginn</t>
  </si>
  <si>
    <t>VE-Ende</t>
  </si>
  <si>
    <t>Verhandlungs-verfahren</t>
  </si>
  <si>
    <t>VE_PS_PG1-5_KZP</t>
  </si>
  <si>
    <t>VE_U_KZP</t>
  </si>
  <si>
    <t>VE_V_KZP</t>
  </si>
  <si>
    <t>Auslastung_12_Mon_Erf</t>
  </si>
  <si>
    <t>Bel_PG1</t>
  </si>
  <si>
    <t>Bel_PG2</t>
  </si>
  <si>
    <t>Bel_PG3</t>
  </si>
  <si>
    <t>Bel_PG4</t>
  </si>
  <si>
    <t>Bel_PG5</t>
  </si>
  <si>
    <t>VK_PDL-stellvPDL</t>
  </si>
  <si>
    <t>VK_QM</t>
  </si>
  <si>
    <t>VK_HM</t>
  </si>
  <si>
    <t xml:space="preserve">VK_PFK/BFK </t>
  </si>
  <si>
    <t>VK_PK/BK</t>
  </si>
  <si>
    <t>VK_PK/BK_o.</t>
  </si>
  <si>
    <t>ANT_PFK_zu113c(1)3</t>
  </si>
  <si>
    <t>ANT_PK/BK_zu113c(1)2</t>
  </si>
  <si>
    <t>ANT_PK/BK o._zu113c(1)1</t>
  </si>
  <si>
    <t>PR_L/V</t>
  </si>
  <si>
    <t>PR_Hauswirtschaft</t>
  </si>
  <si>
    <t>PR_Küche</t>
  </si>
  <si>
    <t>PR_Haustechnik</t>
  </si>
  <si>
    <t>Anz_BFD/FSJ</t>
  </si>
  <si>
    <t>unmittelbare Tarifbindung</t>
  </si>
  <si>
    <t>Entlohng nach</t>
  </si>
  <si>
    <t>Tarif</t>
  </si>
  <si>
    <t>STD_VG_PFK/BFK</t>
  </si>
  <si>
    <t>STD_VG_PK/BK</t>
  </si>
  <si>
    <t>STD_VG_PK/BK_o.</t>
  </si>
  <si>
    <t>STD_VG_einr.ind.Egniveau_Erf</t>
  </si>
  <si>
    <t>VK_PFK/BFK_GVWG</t>
  </si>
  <si>
    <t>VK_PK/BK_GVWG</t>
  </si>
  <si>
    <t>VK_PK/BK_o._GVWG</t>
  </si>
  <si>
    <t>GES_VG_PFK/BFK</t>
  </si>
  <si>
    <t>GES_VG_PK/BK</t>
  </si>
  <si>
    <t>GES_VG_PK/BK_o.</t>
  </si>
  <si>
    <t>VWBUD_PROZENT</t>
  </si>
  <si>
    <t>VWBUD_BETRAG</t>
  </si>
  <si>
    <t>VWBUD_AUFSCHLAG</t>
  </si>
  <si>
    <t>VWBUD_AUFSCHLAG_BETRAG</t>
  </si>
  <si>
    <t>VWBUD_N_AUSG_STELLENANT</t>
  </si>
  <si>
    <t>VWBUD_PK_JE_VK</t>
  </si>
  <si>
    <t>VWBUD_ERGEBNIS_BelT</t>
  </si>
  <si>
    <t>VK_EL</t>
  </si>
  <si>
    <t>PLATZHALTER</t>
  </si>
  <si>
    <t>ANT_PFK_zu113c(1)3 VOR</t>
  </si>
  <si>
    <t>ANT_PK/BK_zu113c(1)3 VOR</t>
  </si>
  <si>
    <t>ANT_PK/BKo._zu113c(1)3 VOR</t>
  </si>
  <si>
    <t>VK_PFK/BFK_PG1</t>
  </si>
  <si>
    <t>VK_PFK/BFK_PG2</t>
  </si>
  <si>
    <t>VK_PFK/BFK_PG3</t>
  </si>
  <si>
    <t>VK_PFK/BFK_PG4</t>
  </si>
  <si>
    <t>VK_PFK/BFK_PG5</t>
  </si>
  <si>
    <t>VK_PK/BK_PG1</t>
  </si>
  <si>
    <t>VK_PK/BK_PG2</t>
  </si>
  <si>
    <t>VK_PK/BK_PG3</t>
  </si>
  <si>
    <t>VK_PK/BK_PG4</t>
  </si>
  <si>
    <t>VK_PK/BK_PG5</t>
  </si>
  <si>
    <t>VK_PK/BK o._PG1</t>
  </si>
  <si>
    <t>VK_PK/BK o._PG2</t>
  </si>
  <si>
    <t>VK_PK/BK o._PG3</t>
  </si>
  <si>
    <t>VK_PK/BK o._PG4</t>
  </si>
  <si>
    <t>VK_PK/BK o._PG5</t>
  </si>
  <si>
    <t>Veränderung PK-Budget (gesamt - inkl. FSJ/BufDi)</t>
  </si>
  <si>
    <t>Veränderung drchn PK €/VK (ohne FSJ/BufDi)</t>
  </si>
  <si>
    <t>Veränderung SK</t>
  </si>
  <si>
    <t>Veränderung FL</t>
  </si>
  <si>
    <t>VG_Pflege/Betreuung</t>
  </si>
  <si>
    <t>VG_Leitung/Verwaltung</t>
  </si>
  <si>
    <t>VG_HW, Kü, HAT</t>
  </si>
  <si>
    <t>PR_PDL/stellv. PDL</t>
  </si>
  <si>
    <t>PR_Pflege / Betreuung</t>
  </si>
  <si>
    <t>PR_HW, Kü, HAT</t>
  </si>
  <si>
    <t>solitär</t>
  </si>
  <si>
    <t>entfällt</t>
  </si>
  <si>
    <t>gibt es für die KZP- jedoch nicht mehr für vst. (VW-Budget)</t>
  </si>
  <si>
    <t>entfällt in KZP</t>
  </si>
  <si>
    <t>gibt es im PH nicht mehr, VW-Budget</t>
  </si>
  <si>
    <t xml:space="preserve">entfällt </t>
  </si>
  <si>
    <t>nicht mehr relevant</t>
  </si>
  <si>
    <t>Berichtspflicht für KZP generell nicht relevant</t>
  </si>
  <si>
    <t>Frage 1</t>
  </si>
  <si>
    <r>
      <t xml:space="preserve">im Bvgl. gleiche Platzzahl von KZP erfasst? </t>
    </r>
    <r>
      <rPr>
        <sz val="11"/>
        <color rgb="FFFF0000"/>
        <rFont val="Arial"/>
        <family val="2"/>
      </rPr>
      <t>JA</t>
    </r>
  </si>
  <si>
    <t>in KZP PR (Spalte DV)</t>
  </si>
  <si>
    <t>für KZP Zusammenfassung zu einer PR siehe Spalte DY</t>
  </si>
  <si>
    <t>Frage 2</t>
  </si>
  <si>
    <t>der Antrag differenziert nicht nach solitär noch nach angebunden, diese müsste manuell erfasst werden</t>
  </si>
  <si>
    <t>Frage 3</t>
  </si>
  <si>
    <r>
      <t xml:space="preserve">soll die Auslastung v. der KZP in F und gleichzeitig in G im Antrag und im Bvgl. In Spalte IB und IC gleich erfasst werden? Oder reicht im Antrag Spalte F und im BVgl. Spalte IB? </t>
    </r>
    <r>
      <rPr>
        <sz val="11"/>
        <color rgb="FFFF0000"/>
        <rFont val="Arial"/>
        <family val="2"/>
      </rPr>
      <t>JA</t>
    </r>
  </si>
  <si>
    <t>Frage 4</t>
  </si>
  <si>
    <r>
      <t>soll die U + V doppelt im Bvgl. Erfasst werden in Spalte JR + JS (wäre Spalte AV,AW im Antrag) und dann im BVgl. In Spalte JY + JZ (im Antrag = BC + BD) -</t>
    </r>
    <r>
      <rPr>
        <sz val="11"/>
        <color rgb="FFFF0000"/>
        <rFont val="Arial"/>
        <family val="2"/>
      </rPr>
      <t xml:space="preserve"> JA und zusätzlich PG1-5 = jeweils gleicher Psatz für KZP</t>
    </r>
  </si>
  <si>
    <t>Abstimmung mit Astrid 17.09.2026</t>
  </si>
  <si>
    <t>Verknüpfung BV in Zeile 8 komplett eingearbeitet</t>
  </si>
  <si>
    <t>B_PH_Ergebnis</t>
  </si>
  <si>
    <t>damit Eintragung Verhandlungsführer ermöglicht wird</t>
  </si>
  <si>
    <t>kein Absprung mehr zum Blatt B_PH_Berechnung rüE</t>
  </si>
  <si>
    <t>H-N72 gesperrt und Link entfernt</t>
  </si>
  <si>
    <t>entfernt: ='B_KZP_Berechnung rüE'!C35</t>
  </si>
  <si>
    <t>entfernt: ='B_KZP_Berechnung rüE'!E35</t>
  </si>
  <si>
    <t>entfernt: ='B_KZP_Berechnung rüE'!D35</t>
  </si>
  <si>
    <t>entfernt: ='B_KZP_Berechnung rüE'!C41</t>
  </si>
  <si>
    <t>entfernt: ='B_KZP_Berechnung rüE'!C37</t>
  </si>
  <si>
    <t>entfernt: ='B_KZP_Berechnung rüE'!D37</t>
  </si>
  <si>
    <t>entfernt: ='B_KZP_Berechnung rüE'!E37</t>
  </si>
  <si>
    <t>entfernt: ='B_KZP_Berechnung rüE'!C43</t>
  </si>
  <si>
    <t>entfernt: ='B_KZP_Berechnung rüE'!D43</t>
  </si>
  <si>
    <t>entfernt: ='B_KZP_Berechnung rüE'!E43</t>
  </si>
  <si>
    <t xml:space="preserve">enfällt </t>
  </si>
  <si>
    <t>B73 gelb eingefärbt, Schutz aufgehoben</t>
  </si>
  <si>
    <t>in KZP zusammengefasst PR (Spalte DW)</t>
  </si>
  <si>
    <t>aber gibt es in KZP weiterhin</t>
  </si>
  <si>
    <t>Pflegekassen:</t>
  </si>
  <si>
    <t>Gesamtkosten</t>
  </si>
  <si>
    <t>Gesamtkosten o. 43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</si>
</sst>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0\ &quot;€&quot;;[Red]\-#,##0\ &quot;€&quot;"/>
    <numFmt numFmtId="44" formatCode="_-* #,##0.00\ &quot;€&quot;_-;\-* #,##0.00\ &quot;€&quot;_-;_-* &quot;-&quot;??\ &quot;€&quot;_-;_-@_-"/>
    <numFmt numFmtId="164" formatCode="#,##0.00\ &quot;€&quot;"/>
    <numFmt numFmtId="165" formatCode="0.000"/>
    <numFmt numFmtId="166" formatCode="#,##0.00\ _€"/>
    <numFmt numFmtId="167" formatCode="0\ &quot;%&quot;"/>
    <numFmt numFmtId="168" formatCode="#,##0.000\ &quot;€&quot;"/>
    <numFmt numFmtId="169" formatCode="#,##0.0000"/>
    <numFmt numFmtId="170" formatCode="0.0\ %"/>
    <numFmt numFmtId="171" formatCode="#,##0.000"/>
    <numFmt numFmtId="172" formatCode="&quot;1 :&quot;\ 0.00"/>
    <numFmt numFmtId="173" formatCode="\ 0\ &quot;Stelle/n&quot;"/>
    <numFmt numFmtId="174" formatCode="#,##0.00\ &quot;€&quot;&quot;/VK&quot;"/>
    <numFmt numFmtId="175" formatCode="#,##0.00\ &quot;€&quot;&quot;/Stelle&quot;"/>
    <numFmt numFmtId="176" formatCode="#,###"/>
    <numFmt numFmtId="177" formatCode="0.000%"/>
    <numFmt numFmtId="178" formatCode="&quot;Einrichtung:&quot;\ 0"/>
    <numFmt numFmtId="179" formatCode="_-* #,##0.00\ _€_-;\-* #,##0.00\ _€_-;_-* &quot;-&quot;??\ _€_-;_-@_-"/>
    <numFmt numFmtId="180" formatCode="_-* #,##0.000\ &quot;€&quot;_-;\-* #,##0.000\ &quot;€&quot;_-;_-* &quot;-&quot;???\ &quot;€&quot;_-;_-@_-"/>
    <numFmt numFmtId="181" formatCode="_-\ #,##0.00\ &quot;€/VK&quot;"/>
    <numFmt numFmtId="182" formatCode="0.000%&quot;*&quot;"/>
    <numFmt numFmtId="183" formatCode="0.0%"/>
    <numFmt numFmtId="184" formatCode="&quot;rund&quot;\ #,##0.00\ &quot;€&quot;"/>
    <numFmt numFmtId="185" formatCode="0.00\ &quot;€/Tag&quot;"/>
    <numFmt numFmtId="186" formatCode="0&quot;%&quot;"/>
    <numFmt numFmtId="187" formatCode="0\ &quot;Kalendermonate:&quot;"/>
    <numFmt numFmtId="188" formatCode="_-* #,##0.00\ &quot;€&quot;_-;\-* #,##0.00\ &quot;€&quot;_-;_-* &quot;-&quot;???\ &quot;€&quot;_-;_-@_-"/>
    <numFmt numFmtId="189" formatCode="0.0000"/>
    <numFmt numFmtId="190" formatCode="#,##0.0000\ &quot;VK&quot;"/>
    <numFmt numFmtId="191" formatCode="000\ \ 000\ \ 000"/>
    <numFmt numFmtId="192" formatCode="#,##0.00\ &quot;%&quot;"/>
    <numFmt numFmtId="193" formatCode="0.00000"/>
  </numFmts>
  <fonts count="138"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5" tint="-0.499984740745262"/>
      <name val="Arial"/>
      <family val="2"/>
    </font>
    <font>
      <sz val="10"/>
      <color rgb="FF0070C0"/>
      <name val="Arial"/>
      <family val="2"/>
    </font>
    <font>
      <b/>
      <sz val="10"/>
      <color rgb="FFFF0000"/>
      <name val="Arial"/>
      <family val="2"/>
    </font>
    <font>
      <sz val="11"/>
      <color rgb="FF7030A0"/>
      <name val="Arial"/>
      <family val="2"/>
    </font>
    <font>
      <sz val="11"/>
      <color theme="9" tint="-0.499984740745262"/>
      <name val="Arial"/>
      <family val="2"/>
    </font>
    <font>
      <sz val="10"/>
      <color rgb="FF7030A0"/>
      <name val="Arial"/>
      <family val="2"/>
    </font>
    <font>
      <sz val="11"/>
      <color rgb="FF0070C0"/>
      <name val="Arial"/>
      <family val="2"/>
    </font>
    <font>
      <sz val="8"/>
      <color theme="1"/>
      <name val="Arial"/>
      <family val="2"/>
    </font>
    <font>
      <sz val="11"/>
      <color rgb="FFC00000"/>
      <name val="Arial"/>
      <family val="2"/>
    </font>
    <font>
      <b/>
      <sz val="12"/>
      <name val="Arial"/>
      <family val="2"/>
    </font>
    <font>
      <sz val="9"/>
      <name val="Arial"/>
      <family val="2"/>
    </font>
    <font>
      <sz val="11"/>
      <color rgb="FF92D050"/>
      <name val="Arial"/>
      <family val="2"/>
    </font>
    <font>
      <sz val="9"/>
      <color theme="1"/>
      <name val="Arial"/>
      <family val="2"/>
    </font>
    <font>
      <b/>
      <u/>
      <sz val="12"/>
      <name val="Arial"/>
      <family val="2"/>
    </font>
    <font>
      <b/>
      <sz val="12"/>
      <color theme="1"/>
      <name val="Arial"/>
      <family val="2"/>
    </font>
    <font>
      <sz val="12"/>
      <color theme="1"/>
      <name val="Arial"/>
      <family val="2"/>
    </font>
    <font>
      <sz val="12"/>
      <name val="Arial"/>
      <family val="2"/>
    </font>
    <font>
      <sz val="12"/>
      <color theme="3" tint="-0.249977111117893"/>
      <name val="Arial"/>
      <family val="2"/>
    </font>
    <font>
      <sz val="14"/>
      <name val="Arial"/>
      <family val="2"/>
    </font>
    <font>
      <sz val="48"/>
      <name val="Arial"/>
      <family val="2"/>
    </font>
    <font>
      <u/>
      <sz val="11"/>
      <color theme="1"/>
      <name val="Arial"/>
      <family val="2"/>
    </font>
    <font>
      <sz val="11"/>
      <color rgb="FF00B0F0"/>
      <name val="Arial"/>
      <family val="2"/>
    </font>
    <font>
      <sz val="10"/>
      <color rgb="FF00B0F0"/>
      <name val="Arial"/>
      <family val="2"/>
    </font>
    <font>
      <sz val="10"/>
      <color theme="3"/>
      <name val="Arial"/>
      <family val="2"/>
    </font>
    <font>
      <b/>
      <i/>
      <sz val="10"/>
      <color theme="1"/>
      <name val="Arial"/>
      <family val="2"/>
    </font>
    <font>
      <sz val="11"/>
      <color theme="6"/>
      <name val="Arial"/>
      <family val="2"/>
    </font>
    <font>
      <sz val="10"/>
      <color theme="6"/>
      <name val="Arial"/>
      <family val="2"/>
    </font>
    <font>
      <b/>
      <sz val="10"/>
      <color theme="6"/>
      <name val="Arial"/>
      <family val="2"/>
    </font>
    <font>
      <b/>
      <sz val="10"/>
      <color theme="0"/>
      <name val="Arial"/>
      <family val="2"/>
    </font>
    <font>
      <sz val="11"/>
      <color rgb="FFFFC000"/>
      <name val="Arial"/>
      <family val="2"/>
    </font>
    <font>
      <sz val="11"/>
      <color theme="9" tint="-0.249977111117893"/>
      <name val="Arial"/>
      <family val="2"/>
    </font>
    <font>
      <sz val="10"/>
      <color theme="9" tint="-0.249977111117893"/>
      <name val="Arial"/>
      <family val="2"/>
    </font>
    <font>
      <u/>
      <sz val="10"/>
      <color rgb="FFFF0000"/>
      <name val="Arial"/>
      <family val="2"/>
    </font>
    <font>
      <b/>
      <i/>
      <sz val="11"/>
      <color theme="1"/>
      <name val="Arial"/>
      <family val="2"/>
    </font>
    <font>
      <sz val="11"/>
      <color rgb="FFFF33CC"/>
      <name val="Arial"/>
      <family val="2"/>
    </font>
    <font>
      <sz val="10"/>
      <color rgb="FFFF33CC"/>
      <name val="Arial"/>
      <family val="2"/>
    </font>
    <font>
      <sz val="9"/>
      <color rgb="FFFF33CC"/>
      <name val="Arial"/>
      <family val="2"/>
    </font>
    <font>
      <sz val="11"/>
      <color theme="7"/>
      <name val="Arial"/>
      <family val="2"/>
    </font>
    <font>
      <sz val="9"/>
      <color theme="7"/>
      <name val="Arial"/>
      <family val="2"/>
    </font>
    <font>
      <sz val="9"/>
      <color rgb="FF7030A0"/>
      <name val="Arial"/>
      <family val="2"/>
    </font>
    <font>
      <sz val="9"/>
      <color rgb="FFFF0000"/>
      <name val="Arial"/>
      <family val="2"/>
    </font>
    <font>
      <sz val="11"/>
      <color theme="0" tint="-0.34998626667073579"/>
      <name val="Arial"/>
      <family val="2"/>
    </font>
    <font>
      <b/>
      <sz val="11"/>
      <color rgb="FF0070C0"/>
      <name val="Arial"/>
      <family val="2"/>
    </font>
    <font>
      <b/>
      <sz val="11"/>
      <color rgb="FFFF0000"/>
      <name val="Arial"/>
      <family val="2"/>
    </font>
    <font>
      <sz val="10"/>
      <color theme="0" tint="-0.34998626667073579"/>
      <name val="Arial"/>
      <family val="2"/>
    </font>
    <font>
      <b/>
      <sz val="10"/>
      <color theme="0" tint="-4.9989318521683403E-2"/>
      <name val="Arial"/>
      <family val="2"/>
    </font>
    <font>
      <b/>
      <sz val="9"/>
      <color rgb="FFFF0000"/>
      <name val="Arial"/>
      <family val="2"/>
    </font>
    <font>
      <b/>
      <sz val="9"/>
      <color rgb="FF0070C0"/>
      <name val="Arial"/>
      <family val="2"/>
    </font>
    <font>
      <b/>
      <sz val="9"/>
      <color theme="3"/>
      <name val="Arial"/>
      <family val="2"/>
    </font>
    <font>
      <sz val="11"/>
      <color theme="0" tint="-0.14999847407452621"/>
      <name val="Arial"/>
      <family val="2"/>
    </font>
    <font>
      <sz val="9"/>
      <color theme="0" tint="-0.14999847407452621"/>
      <name val="Arial"/>
      <family val="2"/>
    </font>
    <font>
      <b/>
      <sz val="9"/>
      <color theme="1"/>
      <name val="Arial"/>
      <family val="2"/>
    </font>
    <font>
      <b/>
      <sz val="9"/>
      <color indexed="81"/>
      <name val="Segoe UI"/>
      <family val="2"/>
    </font>
    <font>
      <sz val="9"/>
      <color indexed="81"/>
      <name val="Segoe UI"/>
      <family val="2"/>
    </font>
    <font>
      <sz val="9"/>
      <color rgb="FF0070C0"/>
      <name val="Arial"/>
      <family val="2"/>
    </font>
    <font>
      <b/>
      <u/>
      <sz val="11"/>
      <color rgb="FFFF0000"/>
      <name val="Arial"/>
      <family val="2"/>
    </font>
    <font>
      <b/>
      <u/>
      <sz val="11"/>
      <color theme="1"/>
      <name val="Arial"/>
      <family val="2"/>
    </font>
    <font>
      <i/>
      <sz val="11"/>
      <color rgb="FFFF0000"/>
      <name val="Arial"/>
      <family val="2"/>
    </font>
    <font>
      <b/>
      <sz val="18"/>
      <color theme="0"/>
      <name val="Arial"/>
      <family val="2"/>
    </font>
    <font>
      <sz val="11"/>
      <color theme="0"/>
      <name val="Arial"/>
      <family val="2"/>
    </font>
    <font>
      <sz val="10"/>
      <color theme="0"/>
      <name val="Arial"/>
      <family val="2"/>
    </font>
    <font>
      <b/>
      <sz val="10"/>
      <color rgb="FF7030A0"/>
      <name val="Arial"/>
      <family val="2"/>
    </font>
    <font>
      <sz val="11"/>
      <color rgb="FF00B050"/>
      <name val="Arial"/>
      <family val="2"/>
    </font>
    <font>
      <b/>
      <u/>
      <sz val="9"/>
      <color theme="1"/>
      <name val="Arial"/>
      <family val="2"/>
    </font>
    <font>
      <u/>
      <sz val="10"/>
      <color theme="1"/>
      <name val="Arial"/>
      <family val="2"/>
    </font>
    <font>
      <sz val="8"/>
      <color theme="7"/>
      <name val="Arial"/>
      <family val="2"/>
    </font>
    <font>
      <b/>
      <sz val="10"/>
      <color theme="1" tint="0.499984740745262"/>
      <name val="Arial"/>
      <family val="2"/>
    </font>
    <font>
      <sz val="10"/>
      <color theme="1" tint="0.499984740745262"/>
      <name val="Arial"/>
      <family val="2"/>
    </font>
    <font>
      <u val="double"/>
      <sz val="10"/>
      <color theme="1" tint="0.499984740745262"/>
      <name val="Arial"/>
      <family val="2"/>
    </font>
    <font>
      <b/>
      <u val="double"/>
      <sz val="10"/>
      <color theme="1" tint="0.499984740745262"/>
      <name val="Arial"/>
      <family val="2"/>
    </font>
    <font>
      <sz val="7"/>
      <name val="Arial"/>
      <family val="2"/>
    </font>
    <font>
      <sz val="10"/>
      <color indexed="8"/>
      <name val="MS Sans Serif"/>
      <family val="2"/>
    </font>
    <font>
      <b/>
      <i/>
      <sz val="10"/>
      <name val="Arial"/>
      <family val="2"/>
    </font>
    <font>
      <strike/>
      <sz val="11"/>
      <color rgb="FFFF0000"/>
      <name val="Arial"/>
      <family val="2"/>
    </font>
    <font>
      <strike/>
      <sz val="11"/>
      <color theme="1"/>
      <name val="Arial"/>
      <family val="2"/>
    </font>
    <font>
      <b/>
      <sz val="11"/>
      <color rgb="FF7030A0"/>
      <name val="Arial"/>
      <family val="2"/>
    </font>
  </fonts>
  <fills count="50">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CCECFF"/>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2F2F2"/>
        <bgColor indexed="64"/>
      </patternFill>
    </fill>
    <fill>
      <patternFill patternType="solid">
        <fgColor theme="8" tint="0.59999389629810485"/>
        <bgColor indexed="64"/>
      </patternFill>
    </fill>
    <fill>
      <patternFill patternType="solid">
        <fgColor rgb="FFFFFFCC"/>
        <bgColor indexed="64"/>
      </patternFill>
    </fill>
    <fill>
      <patternFill patternType="solid">
        <fgColor rgb="FFFBFD95"/>
        <bgColor indexed="64"/>
      </patternFill>
    </fill>
    <fill>
      <patternFill patternType="solid">
        <fgColor indexed="47"/>
        <bgColor indexed="64"/>
      </patternFill>
    </fill>
    <fill>
      <patternFill patternType="solid">
        <fgColor rgb="FF99CCFF"/>
        <bgColor indexed="64"/>
      </patternFill>
    </fill>
    <fill>
      <patternFill patternType="solid">
        <fgColor rgb="FF00B050"/>
        <bgColor indexed="64"/>
      </patternFill>
    </fill>
    <fill>
      <patternFill patternType="solid">
        <fgColor theme="4" tint="-9.9978637043366805E-2"/>
        <bgColor indexed="64"/>
      </patternFill>
    </fill>
    <fill>
      <patternFill patternType="solid">
        <fgColor theme="7" tint="-0.249977111117893"/>
        <bgColor indexed="64"/>
      </patternFill>
    </fill>
    <fill>
      <patternFill patternType="solid">
        <fgColor rgb="FFD0CECE"/>
        <bgColor indexed="64"/>
      </patternFill>
    </fill>
    <fill>
      <patternFill patternType="solid">
        <fgColor indexed="60"/>
        <bgColor indexed="64"/>
      </patternFill>
    </fill>
    <fill>
      <patternFill patternType="solid">
        <fgColor indexed="42"/>
        <bgColor indexed="64"/>
      </patternFill>
    </fill>
    <fill>
      <patternFill patternType="solid">
        <fgColor indexed="52"/>
        <bgColor indexed="64"/>
      </patternFill>
    </fill>
    <fill>
      <patternFill patternType="solid">
        <fgColor theme="5"/>
        <bgColor indexed="64"/>
      </patternFill>
    </fill>
    <fill>
      <patternFill patternType="solid">
        <fgColor theme="7" tint="0.39997558519241921"/>
        <bgColor indexed="64"/>
      </patternFill>
    </fill>
    <fill>
      <patternFill patternType="solid">
        <fgColor indexed="53"/>
        <bgColor indexed="64"/>
      </patternFill>
    </fill>
    <fill>
      <patternFill patternType="solid">
        <fgColor rgb="FF99CC00"/>
        <bgColor indexed="64"/>
      </patternFill>
    </fill>
    <fill>
      <patternFill patternType="solid">
        <fgColor indexed="50"/>
        <bgColor indexed="64"/>
      </patternFill>
    </fill>
    <fill>
      <patternFill patternType="solid">
        <fgColor indexed="46"/>
        <bgColor indexed="64"/>
      </patternFill>
    </fill>
    <fill>
      <patternFill patternType="solid">
        <fgColor theme="4" tint="-0.249977111117893"/>
        <bgColor indexed="64"/>
      </patternFill>
    </fill>
    <fill>
      <patternFill patternType="solid">
        <fgColor rgb="FFFFCCFF"/>
        <bgColor indexed="64"/>
      </patternFill>
    </fill>
    <fill>
      <patternFill patternType="solid">
        <fgColor rgb="FFC00000"/>
        <bgColor indexed="64"/>
      </patternFill>
    </fill>
    <fill>
      <patternFill patternType="solid">
        <fgColor theme="7" tint="0.59999389629810485"/>
        <bgColor indexed="64"/>
      </patternFill>
    </fill>
    <fill>
      <patternFill patternType="solid">
        <fgColor rgb="FFFF0000"/>
        <bgColor indexed="64"/>
      </patternFill>
    </fill>
    <fill>
      <patternFill patternType="solid">
        <fgColor rgb="FFFFF4CA"/>
        <bgColor indexed="64"/>
      </patternFill>
    </fill>
    <fill>
      <patternFill patternType="solid">
        <fgColor rgb="FFDEC8EE"/>
        <bgColor indexed="64"/>
      </patternFill>
    </fill>
  </fills>
  <borders count="9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auto="1"/>
      </left>
      <right style="medium">
        <color auto="1"/>
      </right>
      <top style="medium">
        <color auto="1"/>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auto="1"/>
      </left>
      <right style="medium">
        <color auto="1"/>
      </right>
      <top style="medium">
        <color auto="1"/>
      </top>
      <bottom style="double">
        <color indexed="64"/>
      </bottom>
      <diagonal/>
    </border>
    <border>
      <left/>
      <right/>
      <top style="double">
        <color indexed="64"/>
      </top>
      <bottom/>
      <diagonal/>
    </border>
    <border>
      <left style="thin">
        <color indexed="64"/>
      </left>
      <right style="thin">
        <color indexed="64"/>
      </right>
      <top style="thin">
        <color indexed="64"/>
      </top>
      <bottom style="thin">
        <color theme="1" tint="0.499984740745262"/>
      </bottom>
      <diagonal/>
    </border>
    <border>
      <left style="thin">
        <color indexed="64"/>
      </left>
      <right/>
      <top style="thin">
        <color indexed="64"/>
      </top>
      <bottom style="thin">
        <color theme="1" tint="0.499984740745262"/>
      </bottom>
      <diagonal/>
    </border>
    <border>
      <left style="thin">
        <color indexed="64"/>
      </left>
      <right/>
      <top style="thin">
        <color theme="1" tint="0.499984740745262"/>
      </top>
      <bottom style="thin">
        <color theme="1" tint="0.499984740745262"/>
      </bottom>
      <diagonal/>
    </border>
    <border>
      <left style="thin">
        <color indexed="64"/>
      </left>
      <right/>
      <top/>
      <bottom style="thin">
        <color theme="1" tint="0.499984740745262"/>
      </bottom>
      <diagonal/>
    </border>
    <border>
      <left/>
      <right/>
      <top/>
      <bottom style="thin">
        <color theme="1" tint="0.499984740745262"/>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theme="1" tint="0.499984740745262"/>
      </top>
      <bottom style="thin">
        <color theme="1" tint="0.499984740745262"/>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theme="0" tint="-0.14996795556505021"/>
      </bottom>
      <diagonal/>
    </border>
    <border>
      <left style="thin">
        <color indexed="8"/>
      </left>
      <right/>
      <top style="thin">
        <color indexed="8"/>
      </top>
      <bottom style="thin">
        <color theme="4" tint="0.39997558519241921"/>
      </bottom>
      <diagonal/>
    </border>
    <border>
      <left style="thin">
        <color theme="9"/>
      </left>
      <right/>
      <top style="thin">
        <color indexed="8"/>
      </top>
      <bottom style="thin">
        <color theme="4" tint="0.39997558519241921"/>
      </bottom>
      <diagonal/>
    </border>
    <border>
      <left style="thin">
        <color indexed="64"/>
      </left>
      <right/>
      <top style="thin">
        <color indexed="8"/>
      </top>
      <bottom style="thin">
        <color theme="4" tint="0.39997558519241921"/>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indexed="8"/>
      </top>
      <bottom style="thin">
        <color theme="4" tint="0.39997558519241921"/>
      </bottom>
      <diagonal/>
    </border>
    <border>
      <left style="thin">
        <color indexed="64"/>
      </left>
      <right/>
      <top style="thin">
        <color indexed="64"/>
      </top>
      <bottom style="thin">
        <color theme="4" tint="0.39997558519241921"/>
      </bottom>
      <diagonal/>
    </border>
    <border>
      <left style="thin">
        <color indexed="64"/>
      </left>
      <right/>
      <top style="thin">
        <color theme="4" tint="0.39997558519241921"/>
      </top>
      <bottom style="thin">
        <color theme="4" tint="0.39997558519241921"/>
      </bottom>
      <diagonal/>
    </border>
    <border>
      <left style="thin">
        <color indexed="64"/>
      </left>
      <right/>
      <top/>
      <bottom style="thin">
        <color theme="4" tint="0.39997558519241921"/>
      </bottom>
      <diagonal/>
    </border>
    <border>
      <left style="thin">
        <color indexed="8"/>
      </left>
      <right/>
      <top style="thin">
        <color theme="9"/>
      </top>
      <bottom style="thin">
        <color theme="4" tint="0.39997558519241921"/>
      </bottom>
      <diagonal/>
    </border>
    <border>
      <left style="thin">
        <color auto="1"/>
      </left>
      <right style="thin">
        <color auto="1"/>
      </right>
      <top style="thin">
        <color theme="4" tint="0.39997558519241921"/>
      </top>
      <bottom style="thin">
        <color theme="0" tint="-0.34998626667073579"/>
      </bottom>
      <diagonal/>
    </border>
    <border>
      <left/>
      <right/>
      <top/>
      <bottom style="thin">
        <color theme="4" tint="0.39997558519241921"/>
      </bottom>
      <diagonal/>
    </border>
  </borders>
  <cellStyleXfs count="20">
    <xf numFmtId="0" fontId="0" fillId="0" borderId="0"/>
    <xf numFmtId="0" fontId="61" fillId="0" borderId="0" applyNumberFormat="0" applyFill="0" applyBorder="0" applyAlignment="0" applyProtection="0">
      <alignment vertical="top"/>
      <protection locked="0"/>
    </xf>
    <xf numFmtId="44" fontId="48" fillId="0" borderId="0" applyFont="0" applyFill="0" applyBorder="0" applyAlignment="0" applyProtection="0"/>
    <xf numFmtId="9" fontId="48" fillId="0" borderId="0" applyFont="0" applyFill="0" applyBorder="0" applyAlignment="0" applyProtection="0"/>
    <xf numFmtId="0" fontId="48" fillId="11" borderId="45" applyNumberFormat="0" applyAlignment="0">
      <protection locked="0"/>
    </xf>
    <xf numFmtId="170" fontId="59" fillId="0" borderId="0" applyFont="0" applyFill="0" applyBorder="0" applyAlignment="0" applyProtection="0"/>
    <xf numFmtId="0" fontId="48" fillId="12" borderId="0" applyNumberFormat="0" applyFont="0" applyBorder="0" applyAlignment="0" applyProtection="0"/>
    <xf numFmtId="0" fontId="48" fillId="13" borderId="0" applyNumberFormat="0" applyFont="0" applyBorder="0" applyAlignment="0" applyProtection="0"/>
    <xf numFmtId="14" fontId="59" fillId="11" borderId="14" applyFont="0" applyFill="0" applyBorder="0" applyAlignment="0" applyProtection="0">
      <alignment vertical="center"/>
      <protection locked="0"/>
    </xf>
    <xf numFmtId="0" fontId="48" fillId="11" borderId="45" applyNumberFormat="0" applyAlignment="0">
      <protection locked="0"/>
    </xf>
    <xf numFmtId="0" fontId="52" fillId="11" borderId="14" applyNumberFormat="0" applyFont="0" applyAlignment="0">
      <protection locked="0"/>
    </xf>
    <xf numFmtId="0" fontId="59" fillId="0" borderId="0" applyNumberFormat="0" applyFont="0" applyBorder="0" applyAlignment="0"/>
    <xf numFmtId="0" fontId="59" fillId="14" borderId="0" applyNumberFormat="0" applyFont="0" applyBorder="0" applyAlignment="0" applyProtection="0"/>
    <xf numFmtId="0" fontId="59" fillId="0" borderId="0" applyBorder="0">
      <alignment vertical="center"/>
    </xf>
    <xf numFmtId="2" fontId="59" fillId="0" borderId="0" applyFont="0" applyFill="0" applyBorder="0" applyAlignment="0" applyProtection="0"/>
    <xf numFmtId="49" fontId="59" fillId="0" borderId="0" applyFont="0" applyFill="0" applyBorder="0" applyAlignment="0" applyProtection="0">
      <alignment vertical="center"/>
    </xf>
    <xf numFmtId="171" fontId="59" fillId="0" borderId="0" applyFont="0" applyFill="0" applyBorder="0" applyAlignment="0" applyProtection="0"/>
    <xf numFmtId="179" fontId="48" fillId="0" borderId="0" applyFont="0" applyFill="0" applyBorder="0" applyAlignment="0" applyProtection="0"/>
    <xf numFmtId="0" fontId="59" fillId="0" borderId="0" applyBorder="0">
      <alignment vertical="center"/>
    </xf>
    <xf numFmtId="0" fontId="133" fillId="0" borderId="0"/>
  </cellStyleXfs>
  <cellXfs count="1274">
    <xf numFmtId="0" fontId="0" fillId="0" borderId="0" xfId="0"/>
    <xf numFmtId="0" fontId="49"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53" fillId="0" borderId="0" xfId="0" applyFont="1" applyProtection="1">
      <protection hidden="1"/>
    </xf>
    <xf numFmtId="0" fontId="53" fillId="0" borderId="0" xfId="0" applyFont="1" applyAlignment="1" applyProtection="1">
      <alignment horizontal="right"/>
      <protection hidden="1"/>
    </xf>
    <xf numFmtId="0" fontId="54" fillId="0" borderId="0" xfId="0" applyFont="1" applyAlignment="1" applyProtection="1">
      <alignment horizontal="center"/>
      <protection hidden="1"/>
    </xf>
    <xf numFmtId="0" fontId="55" fillId="0" borderId="0" xfId="0" applyFont="1" applyAlignment="1" applyProtection="1">
      <alignment horizontal="right"/>
      <protection hidden="1"/>
    </xf>
    <xf numFmtId="0" fontId="57" fillId="0" borderId="0" xfId="0" applyFont="1"/>
    <xf numFmtId="0" fontId="55" fillId="0" borderId="0" xfId="0" applyFont="1" applyProtection="1">
      <protection hidden="1"/>
    </xf>
    <xf numFmtId="0" fontId="47" fillId="0" borderId="0" xfId="0" applyFont="1" applyProtection="1">
      <protection hidden="1"/>
    </xf>
    <xf numFmtId="0" fontId="59" fillId="0" borderId="5" xfId="0" applyFont="1" applyBorder="1" applyProtection="1">
      <protection hidden="1"/>
    </xf>
    <xf numFmtId="0" fontId="60" fillId="0" borderId="0" xfId="0" applyFont="1" applyAlignment="1" applyProtection="1">
      <alignment vertical="top"/>
      <protection hidden="1"/>
    </xf>
    <xf numFmtId="0" fontId="60" fillId="0" borderId="5" xfId="0" applyFont="1" applyBorder="1" applyAlignment="1" applyProtection="1">
      <alignment vertical="top"/>
      <protection hidden="1"/>
    </xf>
    <xf numFmtId="0" fontId="60" fillId="0" borderId="0" xfId="0" applyFont="1" applyProtection="1">
      <protection hidden="1"/>
    </xf>
    <xf numFmtId="0" fontId="54" fillId="0" borderId="0" xfId="0" applyFont="1" applyProtection="1">
      <protection hidden="1"/>
    </xf>
    <xf numFmtId="0" fontId="47" fillId="0" borderId="0" xfId="0" applyFont="1" applyAlignment="1" applyProtection="1">
      <alignment horizontal="right"/>
      <protection hidden="1"/>
    </xf>
    <xf numFmtId="0" fontId="59" fillId="0" borderId="0" xfId="0" applyFont="1"/>
    <xf numFmtId="0" fontId="0" fillId="0" borderId="5" xfId="0" applyBorder="1"/>
    <xf numFmtId="0" fontId="0" fillId="0" borderId="4" xfId="0" applyBorder="1"/>
    <xf numFmtId="0" fontId="0" fillId="0" borderId="2" xfId="0" applyBorder="1"/>
    <xf numFmtId="0" fontId="60" fillId="0" borderId="2" xfId="0" applyFont="1" applyBorder="1" applyAlignment="1" applyProtection="1">
      <alignment horizontal="center" vertical="top"/>
      <protection hidden="1"/>
    </xf>
    <xf numFmtId="0" fontId="47" fillId="0" borderId="6" xfId="0" applyFont="1" applyBorder="1" applyProtection="1">
      <protection hidden="1"/>
    </xf>
    <xf numFmtId="0" fontId="47" fillId="0" borderId="7" xfId="0" applyFont="1" applyBorder="1" applyProtection="1">
      <protection hidden="1"/>
    </xf>
    <xf numFmtId="0" fontId="47" fillId="0" borderId="4" xfId="0" applyFont="1" applyBorder="1" applyProtection="1">
      <protection hidden="1"/>
    </xf>
    <xf numFmtId="2" fontId="59" fillId="0" borderId="7" xfId="0" applyNumberFormat="1" applyFont="1" applyBorder="1" applyProtection="1">
      <protection hidden="1"/>
    </xf>
    <xf numFmtId="0" fontId="47" fillId="0" borderId="7" xfId="0" applyFont="1" applyBorder="1" applyAlignment="1" applyProtection="1">
      <alignment horizontal="right"/>
      <protection hidden="1"/>
    </xf>
    <xf numFmtId="2" fontId="47" fillId="0" borderId="7" xfId="0" applyNumberFormat="1" applyFont="1" applyBorder="1" applyAlignment="1" applyProtection="1">
      <alignment horizontal="right"/>
      <protection hidden="1"/>
    </xf>
    <xf numFmtId="2" fontId="59" fillId="0" borderId="0" xfId="0" applyNumberFormat="1" applyFont="1" applyProtection="1">
      <protection hidden="1"/>
    </xf>
    <xf numFmtId="0" fontId="47" fillId="0" borderId="5" xfId="0" applyFont="1" applyBorder="1" applyProtection="1">
      <protection hidden="1"/>
    </xf>
    <xf numFmtId="0" fontId="0" fillId="0" borderId="4" xfId="0" applyBorder="1" applyAlignment="1" applyProtection="1">
      <alignment vertical="center"/>
      <protection hidden="1"/>
    </xf>
    <xf numFmtId="0" fontId="47" fillId="0" borderId="0" xfId="0" applyFont="1" applyAlignment="1" applyProtection="1">
      <alignment vertical="center"/>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58" fillId="0" borderId="0" xfId="0" applyFont="1" applyProtection="1">
      <protection hidden="1"/>
    </xf>
    <xf numFmtId="0" fontId="0" fillId="2" borderId="0" xfId="0" applyFill="1" applyProtection="1">
      <protection hidden="1"/>
    </xf>
    <xf numFmtId="0" fontId="54" fillId="2" borderId="0" xfId="0" applyFont="1" applyFill="1" applyProtection="1">
      <protection hidden="1"/>
    </xf>
    <xf numFmtId="0" fontId="48" fillId="0" borderId="4" xfId="0" applyFont="1" applyBorder="1"/>
    <xf numFmtId="0" fontId="71" fillId="0" borderId="0" xfId="0" applyFont="1"/>
    <xf numFmtId="0" fontId="48" fillId="0" borderId="0" xfId="0" applyFont="1"/>
    <xf numFmtId="0" fontId="48" fillId="0" borderId="5" xfId="0" applyFont="1" applyBorder="1"/>
    <xf numFmtId="0" fontId="75" fillId="0" borderId="0" xfId="0" applyFont="1"/>
    <xf numFmtId="0" fontId="52" fillId="0" borderId="0" xfId="0" applyFont="1"/>
    <xf numFmtId="0" fontId="60" fillId="0" borderId="0" xfId="0" applyFont="1"/>
    <xf numFmtId="0" fontId="52" fillId="0" borderId="5" xfId="0" applyFont="1" applyBorder="1"/>
    <xf numFmtId="0" fontId="65" fillId="0" borderId="0" xfId="0" applyFont="1"/>
    <xf numFmtId="0" fontId="59" fillId="0" borderId="5" xfId="0" applyFont="1" applyBorder="1"/>
    <xf numFmtId="0" fontId="48" fillId="0" borderId="25" xfId="0" applyFont="1" applyBorder="1"/>
    <xf numFmtId="0" fontId="48" fillId="0" borderId="26" xfId="0" applyFont="1" applyBorder="1"/>
    <xf numFmtId="0" fontId="52" fillId="0" borderId="26" xfId="0" applyFont="1" applyBorder="1"/>
    <xf numFmtId="0" fontId="59" fillId="0" borderId="26" xfId="0" applyFont="1" applyBorder="1"/>
    <xf numFmtId="0" fontId="59" fillId="0" borderId="27" xfId="0" applyFont="1" applyBorder="1"/>
    <xf numFmtId="0" fontId="72" fillId="0" borderId="0" xfId="0" applyFont="1"/>
    <xf numFmtId="0" fontId="48" fillId="0" borderId="6" xfId="0" applyFont="1" applyBorder="1"/>
    <xf numFmtId="0" fontId="48" fillId="0" borderId="8" xfId="0" applyFont="1" applyBorder="1"/>
    <xf numFmtId="0" fontId="50" fillId="0" borderId="0" xfId="0" applyFont="1"/>
    <xf numFmtId="0" fontId="47" fillId="0" borderId="0" xfId="0" quotePrefix="1" applyFont="1" applyAlignment="1" applyProtection="1">
      <alignment horizontal="left"/>
      <protection hidden="1"/>
    </xf>
    <xf numFmtId="0" fontId="60" fillId="2" borderId="0" xfId="0" applyFont="1" applyFill="1" applyAlignment="1" applyProtection="1">
      <alignment vertical="top"/>
      <protection hidden="1"/>
    </xf>
    <xf numFmtId="0" fontId="53" fillId="2" borderId="0" xfId="0" applyFont="1" applyFill="1" applyAlignment="1" applyProtection="1">
      <alignment vertical="center"/>
      <protection hidden="1"/>
    </xf>
    <xf numFmtId="0" fontId="59" fillId="0" borderId="5" xfId="0" applyFont="1" applyBorder="1" applyAlignment="1">
      <alignment horizontal="left" vertical="top"/>
    </xf>
    <xf numFmtId="0" fontId="59" fillId="0" borderId="5" xfId="0" applyFont="1" applyBorder="1" applyAlignment="1">
      <alignment horizontal="left"/>
    </xf>
    <xf numFmtId="2" fontId="47" fillId="0" borderId="17" xfId="0" applyNumberFormat="1" applyFont="1" applyBorder="1" applyAlignment="1" applyProtection="1">
      <alignment horizontal="right"/>
      <protection hidden="1"/>
    </xf>
    <xf numFmtId="0" fontId="0" fillId="0" borderId="2" xfId="0" applyBorder="1" applyProtection="1">
      <protection hidden="1"/>
    </xf>
    <xf numFmtId="0" fontId="59" fillId="0" borderId="0" xfId="0" applyFont="1" applyAlignment="1">
      <alignment horizontal="left" vertical="top"/>
    </xf>
    <xf numFmtId="0" fontId="59" fillId="0" borderId="0" xfId="0" applyFont="1" applyAlignment="1">
      <alignment horizontal="left"/>
    </xf>
    <xf numFmtId="0" fontId="48" fillId="6" borderId="0" xfId="0" applyFont="1" applyFill="1" applyAlignment="1">
      <alignment horizontal="center"/>
    </xf>
    <xf numFmtId="0" fontId="71" fillId="0" borderId="4" xfId="0" applyFont="1" applyBorder="1"/>
    <xf numFmtId="0" fontId="71" fillId="9" borderId="15" xfId="0" applyFont="1" applyFill="1" applyBorder="1" applyAlignment="1" applyProtection="1">
      <alignment horizontal="center" vertical="center"/>
      <protection locked="0"/>
    </xf>
    <xf numFmtId="0" fontId="77" fillId="0" borderId="0" xfId="0" applyFont="1"/>
    <xf numFmtId="0" fontId="71" fillId="0" borderId="5" xfId="0" applyFont="1" applyBorder="1"/>
    <xf numFmtId="0" fontId="77" fillId="0" borderId="4" xfId="0" applyFont="1" applyBorder="1"/>
    <xf numFmtId="0" fontId="78" fillId="0" borderId="0" xfId="0" applyFont="1"/>
    <xf numFmtId="0" fontId="77" fillId="0" borderId="5" xfId="0" applyFont="1" applyBorder="1"/>
    <xf numFmtId="0" fontId="51" fillId="9" borderId="15" xfId="0" applyFont="1" applyFill="1" applyBorder="1" applyAlignment="1" applyProtection="1">
      <alignment horizontal="center" vertical="center"/>
      <protection locked="0"/>
    </xf>
    <xf numFmtId="0" fontId="78" fillId="0" borderId="5" xfId="0" applyFont="1" applyBorder="1"/>
    <xf numFmtId="0" fontId="54" fillId="9" borderId="15" xfId="0" applyFont="1" applyFill="1" applyBorder="1" applyAlignment="1" applyProtection="1">
      <alignment horizontal="center" vertical="center"/>
      <protection locked="0"/>
    </xf>
    <xf numFmtId="0" fontId="59" fillId="0" borderId="0" xfId="0" applyFont="1" applyAlignment="1">
      <alignment vertical="top"/>
    </xf>
    <xf numFmtId="0" fontId="0" fillId="0" borderId="7" xfId="0" applyBorder="1"/>
    <xf numFmtId="0" fontId="52" fillId="0" borderId="7" xfId="0" applyFont="1" applyBorder="1"/>
    <xf numFmtId="0" fontId="79" fillId="0" borderId="0" xfId="0" applyFont="1"/>
    <xf numFmtId="0" fontId="48" fillId="6" borderId="0" xfId="0" applyFont="1" applyFill="1" applyProtection="1">
      <protection hidden="1"/>
    </xf>
    <xf numFmtId="0" fontId="59" fillId="6" borderId="0" xfId="0" applyFont="1" applyFill="1" applyProtection="1">
      <protection hidden="1"/>
    </xf>
    <xf numFmtId="0" fontId="54" fillId="6" borderId="0" xfId="0" applyFont="1" applyFill="1" applyAlignment="1" applyProtection="1">
      <alignment horizontal="center"/>
      <protection hidden="1"/>
    </xf>
    <xf numFmtId="0" fontId="48" fillId="0" borderId="0" xfId="0" applyFont="1" applyProtection="1">
      <protection hidden="1"/>
    </xf>
    <xf numFmtId="0" fontId="83" fillId="0" borderId="0" xfId="0" applyFont="1"/>
    <xf numFmtId="0" fontId="84" fillId="0" borderId="0" xfId="0" applyFont="1" applyAlignment="1">
      <alignment vertical="top"/>
    </xf>
    <xf numFmtId="0" fontId="87" fillId="0" borderId="0" xfId="0" applyFont="1"/>
    <xf numFmtId="0" fontId="61" fillId="0" borderId="0" xfId="1" applyBorder="1" applyAlignment="1" applyProtection="1"/>
    <xf numFmtId="0" fontId="94" fillId="6" borderId="0" xfId="1" applyFont="1" applyFill="1" applyAlignment="1" applyProtection="1"/>
    <xf numFmtId="0" fontId="52" fillId="2" borderId="7" xfId="0" applyFont="1" applyFill="1" applyBorder="1" applyProtection="1">
      <protection hidden="1"/>
    </xf>
    <xf numFmtId="0" fontId="52" fillId="2" borderId="8" xfId="0" applyFont="1" applyFill="1" applyBorder="1" applyProtection="1">
      <protection hidden="1"/>
    </xf>
    <xf numFmtId="0" fontId="0" fillId="0" borderId="3" xfId="0" applyBorder="1"/>
    <xf numFmtId="0" fontId="0" fillId="0" borderId="18" xfId="0" applyBorder="1"/>
    <xf numFmtId="14" fontId="96" fillId="0" borderId="0" xfId="0" applyNumberFormat="1" applyFont="1"/>
    <xf numFmtId="0" fontId="0" fillId="0" borderId="14" xfId="0" applyBorder="1"/>
    <xf numFmtId="0" fontId="53" fillId="0" borderId="1" xfId="0" applyFont="1" applyBorder="1"/>
    <xf numFmtId="0" fontId="0" fillId="0" borderId="12" xfId="0" applyBorder="1"/>
    <xf numFmtId="0" fontId="0" fillId="0" borderId="13" xfId="0" applyBorder="1"/>
    <xf numFmtId="0" fontId="0" fillId="0" borderId="6" xfId="0" applyBorder="1"/>
    <xf numFmtId="0" fontId="0" fillId="14" borderId="14" xfId="0" applyFill="1" applyBorder="1"/>
    <xf numFmtId="44" fontId="0" fillId="15" borderId="18" xfId="2" applyFont="1" applyFill="1" applyBorder="1" applyProtection="1">
      <protection locked="0"/>
    </xf>
    <xf numFmtId="172" fontId="0" fillId="6" borderId="14" xfId="0" applyNumberFormat="1" applyFill="1" applyBorder="1" applyAlignment="1">
      <alignment horizontal="center"/>
    </xf>
    <xf numFmtId="44" fontId="0" fillId="16" borderId="2" xfId="2" applyFont="1" applyFill="1" applyBorder="1" applyProtection="1"/>
    <xf numFmtId="44" fontId="0" fillId="16" borderId="12" xfId="2" applyFont="1" applyFill="1" applyBorder="1" applyProtection="1"/>
    <xf numFmtId="44" fontId="53" fillId="14" borderId="32" xfId="2" applyFont="1" applyFill="1" applyBorder="1" applyAlignment="1" applyProtection="1">
      <alignment horizontal="center"/>
    </xf>
    <xf numFmtId="44" fontId="53" fillId="14" borderId="33" xfId="2" applyFont="1" applyFill="1" applyBorder="1" applyAlignment="1" applyProtection="1">
      <alignment horizontal="center"/>
    </xf>
    <xf numFmtId="0" fontId="53" fillId="6" borderId="0" xfId="0" applyFont="1" applyFill="1" applyAlignment="1">
      <alignment horizontal="center"/>
    </xf>
    <xf numFmtId="0" fontId="0" fillId="6" borderId="14" xfId="0" applyFill="1" applyBorder="1"/>
    <xf numFmtId="0" fontId="0" fillId="6" borderId="14" xfId="0" applyFill="1" applyBorder="1" applyAlignment="1">
      <alignment wrapText="1"/>
    </xf>
    <xf numFmtId="0" fontId="0" fillId="14" borderId="12" xfId="0" applyFill="1" applyBorder="1"/>
    <xf numFmtId="0" fontId="0" fillId="2" borderId="20" xfId="0" applyFill="1" applyBorder="1"/>
    <xf numFmtId="0" fontId="0" fillId="14" borderId="2" xfId="0" applyFill="1" applyBorder="1"/>
    <xf numFmtId="0" fontId="0" fillId="2" borderId="14" xfId="0" applyFill="1" applyBorder="1"/>
    <xf numFmtId="0" fontId="0" fillId="2" borderId="12" xfId="0" applyFill="1" applyBorder="1"/>
    <xf numFmtId="0" fontId="46" fillId="0" borderId="7" xfId="0" applyFont="1" applyBorder="1"/>
    <xf numFmtId="0" fontId="46" fillId="0" borderId="4" xfId="0" applyFont="1" applyBorder="1"/>
    <xf numFmtId="0" fontId="53" fillId="0" borderId="0" xfId="0" applyFont="1"/>
    <xf numFmtId="0" fontId="50" fillId="0" borderId="1" xfId="0" applyFont="1" applyBorder="1"/>
    <xf numFmtId="14" fontId="0" fillId="14" borderId="14" xfId="0" applyNumberFormat="1" applyFill="1" applyBorder="1" applyAlignment="1">
      <alignment horizontal="center"/>
    </xf>
    <xf numFmtId="0" fontId="0" fillId="2" borderId="2" xfId="0" applyFill="1" applyBorder="1"/>
    <xf numFmtId="176" fontId="0" fillId="0" borderId="18" xfId="0" applyNumberFormat="1" applyBorder="1" applyAlignment="1">
      <alignment horizontal="right"/>
    </xf>
    <xf numFmtId="0" fontId="0" fillId="0" borderId="18" xfId="0" applyBorder="1" applyAlignment="1">
      <alignment horizontal="right"/>
    </xf>
    <xf numFmtId="0" fontId="0" fillId="0" borderId="0" xfId="0" applyAlignment="1">
      <alignment horizontal="right"/>
    </xf>
    <xf numFmtId="0" fontId="45" fillId="0" borderId="0" xfId="0" applyFont="1"/>
    <xf numFmtId="0" fontId="0" fillId="6" borderId="0" xfId="0" applyFill="1"/>
    <xf numFmtId="0" fontId="0" fillId="6" borderId="5" xfId="0" applyFill="1" applyBorder="1"/>
    <xf numFmtId="0" fontId="74" fillId="0" borderId="7" xfId="0" applyFont="1" applyBorder="1"/>
    <xf numFmtId="0" fontId="45" fillId="6" borderId="0" xfId="0" applyFont="1" applyFill="1"/>
    <xf numFmtId="0" fontId="53" fillId="0" borderId="14" xfId="0" applyFont="1" applyBorder="1" applyAlignment="1">
      <alignment horizontal="center"/>
    </xf>
    <xf numFmtId="0" fontId="53" fillId="0" borderId="31" xfId="0" applyFont="1" applyBorder="1" applyAlignment="1">
      <alignment horizontal="center"/>
    </xf>
    <xf numFmtId="0" fontId="51" fillId="0" borderId="0" xfId="0" applyFont="1"/>
    <xf numFmtId="0" fontId="50" fillId="2" borderId="12" xfId="0" applyFont="1" applyFill="1" applyBorder="1"/>
    <xf numFmtId="0" fontId="0" fillId="2" borderId="18" xfId="0" applyFill="1" applyBorder="1"/>
    <xf numFmtId="0" fontId="0" fillId="0" borderId="19" xfId="0" applyBorder="1" applyAlignment="1">
      <alignment horizontal="right"/>
    </xf>
    <xf numFmtId="0" fontId="0" fillId="0" borderId="14" xfId="0" applyBorder="1" applyAlignment="1">
      <alignment horizontal="right"/>
    </xf>
    <xf numFmtId="0" fontId="0" fillId="14" borderId="13" xfId="0" applyFill="1" applyBorder="1"/>
    <xf numFmtId="0" fontId="0" fillId="6" borderId="7" xfId="0" applyFill="1" applyBorder="1"/>
    <xf numFmtId="0" fontId="74" fillId="0" borderId="0" xfId="0" applyFont="1"/>
    <xf numFmtId="0" fontId="0" fillId="6" borderId="4" xfId="0" applyFill="1" applyBorder="1"/>
    <xf numFmtId="0" fontId="0" fillId="3" borderId="0" xfId="0" applyFill="1"/>
    <xf numFmtId="0" fontId="59" fillId="0" borderId="4" xfId="0" applyFont="1" applyBorder="1"/>
    <xf numFmtId="0" fontId="54" fillId="0" borderId="0" xfId="0" applyFont="1"/>
    <xf numFmtId="2" fontId="59" fillId="0" borderId="0" xfId="0" applyNumberFormat="1" applyFont="1" applyAlignment="1">
      <alignment horizontal="right"/>
    </xf>
    <xf numFmtId="2" fontId="59" fillId="0" borderId="0" xfId="0" applyNumberFormat="1" applyFont="1" applyAlignment="1">
      <alignment horizontal="center"/>
    </xf>
    <xf numFmtId="0" fontId="47" fillId="0" borderId="4" xfId="0" applyFont="1" applyBorder="1"/>
    <xf numFmtId="0" fontId="47" fillId="0" borderId="0" xfId="0" applyFont="1"/>
    <xf numFmtId="14" fontId="47" fillId="0" borderId="0" xfId="0" applyNumberFormat="1" applyFont="1" applyAlignment="1">
      <alignment horizontal="right"/>
    </xf>
    <xf numFmtId="14" fontId="47" fillId="0" borderId="0" xfId="0" applyNumberFormat="1" applyFont="1" applyAlignment="1">
      <alignment horizontal="center" vertical="top"/>
    </xf>
    <xf numFmtId="14" fontId="47" fillId="0" borderId="0" xfId="0" applyNumberFormat="1" applyFont="1" applyAlignment="1">
      <alignment horizontal="right" vertical="top"/>
    </xf>
    <xf numFmtId="0" fontId="47" fillId="0" borderId="5" xfId="0" applyFont="1" applyBorder="1"/>
    <xf numFmtId="0" fontId="54" fillId="2" borderId="0" xfId="0" applyFont="1" applyFill="1"/>
    <xf numFmtId="0" fontId="0" fillId="2" borderId="0" xfId="0" applyFill="1"/>
    <xf numFmtId="0" fontId="60" fillId="0" borderId="2" xfId="0" applyFont="1" applyBorder="1" applyAlignment="1">
      <alignment vertical="top"/>
    </xf>
    <xf numFmtId="0" fontId="53" fillId="0" borderId="2" xfId="0" applyFont="1" applyBorder="1"/>
    <xf numFmtId="0" fontId="60" fillId="0" borderId="2" xfId="0" applyFont="1" applyBorder="1" applyAlignment="1">
      <alignment horizontal="center" vertical="top"/>
    </xf>
    <xf numFmtId="0" fontId="47" fillId="0" borderId="16" xfId="0" applyFont="1" applyBorder="1"/>
    <xf numFmtId="0" fontId="47" fillId="0" borderId="17" xfId="0" applyFont="1" applyBorder="1"/>
    <xf numFmtId="0" fontId="74" fillId="0" borderId="0" xfId="0" applyFont="1" applyAlignment="1">
      <alignment vertical="top" wrapText="1"/>
    </xf>
    <xf numFmtId="0" fontId="74" fillId="0" borderId="5" xfId="0" applyFont="1" applyBorder="1" applyAlignment="1">
      <alignment vertical="top" wrapText="1"/>
    </xf>
    <xf numFmtId="0" fontId="47" fillId="0" borderId="7" xfId="0" applyFont="1" applyBorder="1"/>
    <xf numFmtId="0" fontId="74" fillId="0" borderId="7" xfId="0" applyFont="1" applyBorder="1" applyAlignment="1">
      <alignment vertical="top" wrapText="1"/>
    </xf>
    <xf numFmtId="0" fontId="58" fillId="6" borderId="7" xfId="0" applyFont="1" applyFill="1" applyBorder="1"/>
    <xf numFmtId="0" fontId="47" fillId="0" borderId="8" xfId="0" applyFont="1" applyBorder="1"/>
    <xf numFmtId="0" fontId="42" fillId="0" borderId="0" xfId="0" applyFont="1"/>
    <xf numFmtId="0" fontId="47" fillId="0" borderId="0" xfId="0" applyFont="1" applyAlignment="1">
      <alignment horizontal="center"/>
    </xf>
    <xf numFmtId="14" fontId="47" fillId="6" borderId="0" xfId="0" applyNumberFormat="1" applyFont="1" applyFill="1" applyAlignment="1">
      <alignment horizontal="center" vertical="top"/>
    </xf>
    <xf numFmtId="14" fontId="47" fillId="6" borderId="0" xfId="0" applyNumberFormat="1" applyFont="1" applyFill="1" applyAlignment="1">
      <alignment horizontal="right" vertical="top"/>
    </xf>
    <xf numFmtId="0" fontId="74" fillId="6" borderId="0" xfId="0" applyFont="1" applyFill="1" applyAlignment="1">
      <alignment wrapText="1"/>
    </xf>
    <xf numFmtId="0" fontId="54" fillId="2" borderId="7" xfId="0" applyFont="1" applyFill="1" applyBorder="1" applyProtection="1">
      <protection hidden="1"/>
    </xf>
    <xf numFmtId="0" fontId="52" fillId="6" borderId="0" xfId="0" applyFont="1" applyFill="1"/>
    <xf numFmtId="0" fontId="0" fillId="6" borderId="0" xfId="0" applyFill="1" applyAlignment="1">
      <alignment vertical="top" wrapText="1"/>
    </xf>
    <xf numFmtId="14" fontId="0" fillId="16" borderId="14" xfId="0" applyNumberFormat="1" applyFill="1" applyBorder="1" applyAlignment="1">
      <alignment horizontal="center"/>
    </xf>
    <xf numFmtId="0" fontId="53" fillId="2" borderId="6" xfId="0" applyFont="1" applyFill="1" applyBorder="1"/>
    <xf numFmtId="0" fontId="0" fillId="2" borderId="3" xfId="0" applyFill="1" applyBorder="1"/>
    <xf numFmtId="0" fontId="0" fillId="2" borderId="8" xfId="0" applyFill="1" applyBorder="1"/>
    <xf numFmtId="0" fontId="53" fillId="2" borderId="1" xfId="0" applyFont="1" applyFill="1" applyBorder="1"/>
    <xf numFmtId="0" fontId="40" fillId="2" borderId="2" xfId="0" applyFont="1" applyFill="1" applyBorder="1"/>
    <xf numFmtId="0" fontId="40" fillId="2" borderId="7" xfId="0" applyFont="1" applyFill="1" applyBorder="1"/>
    <xf numFmtId="0" fontId="47" fillId="3" borderId="7" xfId="0" applyFont="1" applyFill="1" applyBorder="1" applyAlignment="1" applyProtection="1">
      <alignment horizontal="center"/>
      <protection locked="0"/>
    </xf>
    <xf numFmtId="0" fontId="53" fillId="3" borderId="15" xfId="0" applyFont="1" applyFill="1" applyBorder="1" applyAlignment="1" applyProtection="1">
      <alignment horizontal="center"/>
      <protection locked="0"/>
    </xf>
    <xf numFmtId="164" fontId="47" fillId="3" borderId="14" xfId="0" applyNumberFormat="1" applyFont="1" applyFill="1" applyBorder="1" applyAlignment="1" applyProtection="1">
      <alignment horizontal="center"/>
      <protection locked="0"/>
    </xf>
    <xf numFmtId="14" fontId="47" fillId="3" borderId="14" xfId="0" applyNumberFormat="1" applyFont="1" applyFill="1" applyBorder="1" applyAlignment="1" applyProtection="1">
      <alignment horizontal="center"/>
      <protection locked="0"/>
    </xf>
    <xf numFmtId="14" fontId="47" fillId="6" borderId="0" xfId="0" applyNumberFormat="1" applyFont="1" applyFill="1" applyAlignment="1">
      <alignment horizontal="center" vertical="center"/>
    </xf>
    <xf numFmtId="14" fontId="59" fillId="6" borderId="0" xfId="0" applyNumberFormat="1" applyFont="1" applyFill="1" applyAlignment="1">
      <alignment horizontal="center" vertical="center"/>
    </xf>
    <xf numFmtId="0" fontId="0" fillId="15" borderId="14" xfId="0" applyFill="1" applyBorder="1" applyProtection="1">
      <protection locked="0"/>
    </xf>
    <xf numFmtId="0" fontId="0" fillId="15" borderId="12" xfId="0" applyFill="1" applyBorder="1" applyProtection="1">
      <protection locked="0"/>
    </xf>
    <xf numFmtId="174" fontId="0" fillId="15" borderId="12" xfId="0" applyNumberFormat="1" applyFill="1" applyBorder="1" applyProtection="1">
      <protection locked="0"/>
    </xf>
    <xf numFmtId="175" fontId="0" fillId="15" borderId="12" xfId="0" applyNumberFormat="1" applyFill="1" applyBorder="1" applyProtection="1">
      <protection locked="0"/>
    </xf>
    <xf numFmtId="44" fontId="0" fillId="15" borderId="12" xfId="2" applyFont="1" applyFill="1" applyBorder="1" applyProtection="1">
      <protection locked="0"/>
    </xf>
    <xf numFmtId="44" fontId="0" fillId="15" borderId="7" xfId="2" applyFont="1" applyFill="1" applyBorder="1" applyProtection="1">
      <protection locked="0"/>
    </xf>
    <xf numFmtId="0" fontId="0" fillId="6" borderId="2" xfId="0" applyFill="1" applyBorder="1"/>
    <xf numFmtId="10" fontId="0" fillId="15" borderId="14" xfId="3" applyNumberFormat="1" applyFont="1" applyFill="1" applyBorder="1" applyProtection="1">
      <protection locked="0"/>
    </xf>
    <xf numFmtId="0" fontId="108" fillId="22" borderId="0" xfId="0" applyFont="1" applyFill="1" applyAlignment="1">
      <alignment horizontal="left"/>
    </xf>
    <xf numFmtId="0" fontId="109" fillId="22" borderId="0" xfId="0" applyFont="1" applyFill="1" applyAlignment="1">
      <alignment horizontal="left"/>
    </xf>
    <xf numFmtId="0" fontId="110" fillId="22" borderId="0" xfId="0" applyFont="1" applyFill="1" applyAlignment="1">
      <alignment horizontal="left"/>
    </xf>
    <xf numFmtId="177" fontId="0" fillId="15" borderId="14" xfId="3" applyNumberFormat="1" applyFont="1" applyFill="1" applyBorder="1" applyProtection="1">
      <protection locked="0"/>
    </xf>
    <xf numFmtId="0" fontId="0" fillId="26" borderId="0" xfId="0" applyFill="1"/>
    <xf numFmtId="0" fontId="0" fillId="10" borderId="0" xfId="0" applyFill="1"/>
    <xf numFmtId="0" fontId="0" fillId="14" borderId="0" xfId="0" applyFill="1"/>
    <xf numFmtId="165" fontId="58" fillId="14" borderId="48" xfId="0" applyNumberFormat="1" applyFont="1" applyFill="1" applyBorder="1"/>
    <xf numFmtId="165" fontId="63" fillId="14" borderId="48" xfId="0" applyNumberFormat="1" applyFont="1" applyFill="1" applyBorder="1"/>
    <xf numFmtId="165" fontId="85" fillId="14" borderId="48" xfId="0" applyNumberFormat="1" applyFont="1" applyFill="1" applyBorder="1"/>
    <xf numFmtId="44" fontId="63" fillId="14" borderId="21" xfId="2" applyFont="1" applyFill="1" applyBorder="1" applyProtection="1"/>
    <xf numFmtId="44" fontId="85" fillId="14" borderId="21" xfId="2" applyFont="1" applyFill="1" applyBorder="1" applyProtection="1"/>
    <xf numFmtId="44" fontId="85" fillId="14" borderId="21" xfId="2" applyFont="1" applyFill="1" applyBorder="1" applyAlignment="1" applyProtection="1">
      <alignment horizontal="left"/>
    </xf>
    <xf numFmtId="44" fontId="85" fillId="14" borderId="14" xfId="2" applyFont="1" applyFill="1" applyBorder="1" applyAlignment="1" applyProtection="1">
      <alignment horizontal="left"/>
    </xf>
    <xf numFmtId="0" fontId="112" fillId="0" borderId="8" xfId="0" applyFont="1" applyBorder="1" applyAlignment="1">
      <alignment horizontal="right"/>
    </xf>
    <xf numFmtId="0" fontId="111" fillId="0" borderId="8" xfId="0" applyFont="1" applyBorder="1" applyAlignment="1" applyProtection="1">
      <alignment horizontal="right"/>
      <protection hidden="1"/>
    </xf>
    <xf numFmtId="0" fontId="92" fillId="0" borderId="0" xfId="0" applyFont="1"/>
    <xf numFmtId="14" fontId="100" fillId="0" borderId="0" xfId="0" applyNumberFormat="1" applyFont="1"/>
    <xf numFmtId="14" fontId="101" fillId="0" borderId="0" xfId="0" applyNumberFormat="1" applyFont="1"/>
    <xf numFmtId="0" fontId="93" fillId="0" borderId="0" xfId="0" applyFont="1"/>
    <xf numFmtId="0" fontId="88" fillId="0" borderId="0" xfId="0" applyFont="1"/>
    <xf numFmtId="0" fontId="87" fillId="0" borderId="0" xfId="0" applyFont="1" applyProtection="1">
      <protection hidden="1"/>
    </xf>
    <xf numFmtId="0" fontId="49" fillId="0" borderId="0" xfId="0" applyFont="1" applyProtection="1">
      <protection hidden="1"/>
    </xf>
    <xf numFmtId="14" fontId="84" fillId="0" borderId="0" xfId="0" applyNumberFormat="1" applyFont="1"/>
    <xf numFmtId="0" fontId="91" fillId="0" borderId="0" xfId="0" applyFont="1"/>
    <xf numFmtId="0" fontId="86" fillId="0" borderId="0" xfId="0" applyFont="1"/>
    <xf numFmtId="0" fontId="99" fillId="0" borderId="0" xfId="0" applyFont="1"/>
    <xf numFmtId="0" fontId="67" fillId="0" borderId="0" xfId="0" applyFont="1" applyProtection="1">
      <protection hidden="1"/>
    </xf>
    <xf numFmtId="0" fontId="89" fillId="0" borderId="0" xfId="0" applyFont="1" applyProtection="1">
      <protection hidden="1"/>
    </xf>
    <xf numFmtId="2" fontId="87" fillId="0" borderId="0" xfId="0" applyNumberFormat="1" applyFont="1" applyProtection="1">
      <protection hidden="1"/>
    </xf>
    <xf numFmtId="2" fontId="0" fillId="0" borderId="0" xfId="0" applyNumberFormat="1" applyProtection="1">
      <protection hidden="1"/>
    </xf>
    <xf numFmtId="0" fontId="58" fillId="0" borderId="0" xfId="0" applyFont="1"/>
    <xf numFmtId="0" fontId="58" fillId="0" borderId="0" xfId="0" applyFont="1" applyAlignment="1" applyProtection="1">
      <alignment vertical="center"/>
      <protection hidden="1"/>
    </xf>
    <xf numFmtId="0" fontId="97" fillId="0" borderId="0" xfId="0" applyFont="1" applyAlignment="1" applyProtection="1">
      <alignment vertical="center"/>
      <protection hidden="1"/>
    </xf>
    <xf numFmtId="0" fontId="96" fillId="0" borderId="0" xfId="0" applyFont="1" applyAlignment="1" applyProtection="1">
      <alignment vertical="center"/>
      <protection hidden="1"/>
    </xf>
    <xf numFmtId="0" fontId="36" fillId="0" borderId="0" xfId="0" applyFont="1" applyAlignment="1" applyProtection="1">
      <alignment vertical="center"/>
      <protection hidden="1"/>
    </xf>
    <xf numFmtId="0" fontId="73" fillId="0" borderId="0" xfId="0" applyFont="1" applyProtection="1">
      <protection hidden="1"/>
    </xf>
    <xf numFmtId="0" fontId="64" fillId="0" borderId="0" xfId="0" applyFont="1" applyAlignment="1" applyProtection="1">
      <alignment horizontal="left"/>
      <protection hidden="1"/>
    </xf>
    <xf numFmtId="0" fontId="54" fillId="0" borderId="0" xfId="0" applyFont="1" applyAlignment="1" applyProtection="1">
      <alignment horizontal="left"/>
      <protection hidden="1"/>
    </xf>
    <xf numFmtId="0" fontId="0" fillId="8" borderId="0" xfId="0" applyFill="1" applyProtection="1">
      <protection hidden="1"/>
    </xf>
    <xf numFmtId="0" fontId="54" fillId="0" borderId="0" xfId="0" applyFont="1" applyAlignment="1" applyProtection="1">
      <alignment horizontal="right"/>
      <protection hidden="1"/>
    </xf>
    <xf numFmtId="0" fontId="59" fillId="8" borderId="0" xfId="0" applyFont="1" applyFill="1" applyAlignment="1" applyProtection="1">
      <alignment horizontal="right"/>
      <protection hidden="1"/>
    </xf>
    <xf numFmtId="169" fontId="0" fillId="8" borderId="0" xfId="0" applyNumberFormat="1" applyFill="1" applyProtection="1">
      <protection hidden="1"/>
    </xf>
    <xf numFmtId="0" fontId="68" fillId="8" borderId="0" xfId="0" applyFont="1" applyFill="1" applyProtection="1">
      <protection hidden="1"/>
    </xf>
    <xf numFmtId="0" fontId="54" fillId="0" borderId="0" xfId="0" applyFont="1" applyAlignment="1" applyProtection="1">
      <alignment horizontal="right" indent="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63" fillId="8" borderId="18" xfId="0" applyFont="1" applyFill="1" applyBorder="1" applyAlignment="1" applyProtection="1">
      <alignment horizontal="right"/>
      <protection hidden="1"/>
    </xf>
    <xf numFmtId="166" fontId="54" fillId="7" borderId="13" xfId="0" applyNumberFormat="1" applyFont="1" applyFill="1" applyBorder="1" applyAlignment="1" applyProtection="1">
      <alignment horizontal="right"/>
      <protection hidden="1"/>
    </xf>
    <xf numFmtId="166" fontId="54" fillId="7" borderId="13" xfId="0" applyNumberFormat="1" applyFont="1" applyFill="1" applyBorder="1" applyProtection="1">
      <protection hidden="1"/>
    </xf>
    <xf numFmtId="166" fontId="53" fillId="7" borderId="13" xfId="0" applyNumberFormat="1" applyFont="1" applyFill="1" applyBorder="1" applyProtection="1">
      <protection hidden="1"/>
    </xf>
    <xf numFmtId="166" fontId="0" fillId="0" borderId="0" xfId="0" applyNumberFormat="1" applyProtection="1">
      <protection hidden="1"/>
    </xf>
    <xf numFmtId="0" fontId="66" fillId="0" borderId="0" xfId="0" applyFont="1" applyProtection="1">
      <protection hidden="1"/>
    </xf>
    <xf numFmtId="0" fontId="0" fillId="0" borderId="0" xfId="0" applyAlignment="1" applyProtection="1">
      <alignment horizontal="left"/>
      <protection hidden="1"/>
    </xf>
    <xf numFmtId="166" fontId="52" fillId="0" borderId="0" xfId="0" applyNumberFormat="1" applyFont="1" applyAlignment="1" applyProtection="1">
      <alignment horizontal="left"/>
      <protection hidden="1"/>
    </xf>
    <xf numFmtId="0" fontId="54" fillId="7" borderId="18" xfId="0" applyFont="1" applyFill="1" applyBorder="1" applyAlignment="1" applyProtection="1">
      <alignment horizontal="left"/>
      <protection hidden="1"/>
    </xf>
    <xf numFmtId="0" fontId="69" fillId="0" borderId="5" xfId="0" applyFont="1" applyBorder="1" applyAlignment="1" applyProtection="1">
      <alignment horizontal="right" indent="1"/>
      <protection hidden="1"/>
    </xf>
    <xf numFmtId="166" fontId="54" fillId="0" borderId="0" xfId="0" applyNumberFormat="1" applyFont="1" applyProtection="1">
      <protection hidden="1"/>
    </xf>
    <xf numFmtId="0" fontId="58" fillId="0" borderId="0" xfId="0" applyFont="1" applyAlignment="1" applyProtection="1">
      <alignment horizontal="right"/>
      <protection hidden="1"/>
    </xf>
    <xf numFmtId="0" fontId="53" fillId="8" borderId="0" xfId="0" applyFont="1" applyFill="1" applyAlignment="1" applyProtection="1">
      <alignment horizontal="right"/>
      <protection hidden="1"/>
    </xf>
    <xf numFmtId="0" fontId="59" fillId="0" borderId="0" xfId="0" applyFont="1" applyAlignment="1" applyProtection="1">
      <alignment horizontal="left"/>
      <protection hidden="1"/>
    </xf>
    <xf numFmtId="0" fontId="68" fillId="0" borderId="0" xfId="0" applyFont="1" applyProtection="1">
      <protection hidden="1"/>
    </xf>
    <xf numFmtId="0" fontId="89" fillId="0" borderId="0" xfId="0" applyFont="1" applyAlignment="1" applyProtection="1">
      <alignment horizontal="left"/>
      <protection hidden="1"/>
    </xf>
    <xf numFmtId="164" fontId="90" fillId="0" borderId="0" xfId="0" applyNumberFormat="1" applyFont="1" applyAlignment="1" applyProtection="1">
      <alignment horizontal="right" indent="1"/>
      <protection hidden="1"/>
    </xf>
    <xf numFmtId="0" fontId="53" fillId="0" borderId="7" xfId="0" applyFont="1" applyBorder="1" applyProtection="1">
      <protection hidden="1"/>
    </xf>
    <xf numFmtId="0" fontId="53" fillId="0" borderId="7" xfId="0" applyFont="1" applyBorder="1" applyAlignment="1" applyProtection="1">
      <alignment horizontal="right"/>
      <protection hidden="1"/>
    </xf>
    <xf numFmtId="0" fontId="61" fillId="0" borderId="0" xfId="1" applyFill="1" applyBorder="1" applyAlignment="1" applyProtection="1">
      <alignment horizontal="center" wrapText="1"/>
      <protection hidden="1"/>
    </xf>
    <xf numFmtId="0" fontId="61" fillId="0" borderId="0" xfId="1" applyFill="1" applyBorder="1" applyAlignment="1" applyProtection="1">
      <protection hidden="1"/>
    </xf>
    <xf numFmtId="0" fontId="70" fillId="0" borderId="0" xfId="0" applyFont="1" applyProtection="1">
      <protection hidden="1"/>
    </xf>
    <xf numFmtId="0" fontId="95" fillId="0" borderId="0" xfId="0" applyFont="1" applyProtection="1">
      <protection hidden="1"/>
    </xf>
    <xf numFmtId="0" fontId="0" fillId="6" borderId="4" xfId="0" applyFill="1" applyBorder="1" applyProtection="1">
      <protection hidden="1"/>
    </xf>
    <xf numFmtId="0" fontId="0" fillId="6" borderId="0" xfId="0" applyFill="1" applyProtection="1">
      <protection hidden="1"/>
    </xf>
    <xf numFmtId="0" fontId="40" fillId="6" borderId="0" xfId="0" applyFont="1" applyFill="1" applyProtection="1">
      <protection hidden="1"/>
    </xf>
    <xf numFmtId="0" fontId="40" fillId="7" borderId="0" xfId="0" applyFont="1" applyFill="1" applyProtection="1">
      <protection hidden="1"/>
    </xf>
    <xf numFmtId="0" fontId="59" fillId="6" borderId="0" xfId="0" applyFont="1" applyFill="1" applyAlignment="1" applyProtection="1">
      <alignment horizontal="right"/>
      <protection hidden="1"/>
    </xf>
    <xf numFmtId="0" fontId="38" fillId="6" borderId="0" xfId="0" applyFont="1" applyFill="1" applyProtection="1">
      <protection hidden="1"/>
    </xf>
    <xf numFmtId="0" fontId="53" fillId="6" borderId="0" xfId="0" applyFont="1" applyFill="1" applyProtection="1">
      <protection hidden="1"/>
    </xf>
    <xf numFmtId="0" fontId="0" fillId="6" borderId="5" xfId="0" applyFill="1" applyBorder="1" applyProtection="1">
      <protection hidden="1"/>
    </xf>
    <xf numFmtId="0" fontId="40" fillId="6" borderId="4" xfId="0" applyFont="1" applyFill="1" applyBorder="1" applyProtection="1">
      <protection hidden="1"/>
    </xf>
    <xf numFmtId="0" fontId="0" fillId="6" borderId="2" xfId="0" applyFill="1" applyBorder="1" applyProtection="1">
      <protection hidden="1"/>
    </xf>
    <xf numFmtId="0" fontId="58" fillId="6" borderId="0" xfId="0" applyFont="1" applyFill="1" applyAlignment="1" applyProtection="1">
      <alignment horizontal="left" vertical="top"/>
      <protection hidden="1"/>
    </xf>
    <xf numFmtId="0" fontId="39" fillId="6" borderId="0" xfId="0" applyFont="1" applyFill="1" applyAlignment="1" applyProtection="1">
      <alignment horizontal="left" vertical="top"/>
      <protection hidden="1"/>
    </xf>
    <xf numFmtId="0" fontId="50" fillId="6" borderId="0" xfId="0" applyFont="1" applyFill="1" applyProtection="1">
      <protection hidden="1"/>
    </xf>
    <xf numFmtId="0" fontId="0" fillId="6" borderId="7" xfId="0" applyFill="1" applyBorder="1" applyProtection="1">
      <protection hidden="1"/>
    </xf>
    <xf numFmtId="0" fontId="50" fillId="6" borderId="7" xfId="0" applyFont="1" applyFill="1" applyBorder="1" applyProtection="1">
      <protection hidden="1"/>
    </xf>
    <xf numFmtId="0" fontId="0" fillId="2" borderId="5" xfId="0" applyFill="1" applyBorder="1"/>
    <xf numFmtId="0" fontId="50" fillId="2" borderId="4" xfId="0" applyFont="1" applyFill="1" applyBorder="1"/>
    <xf numFmtId="0" fontId="53" fillId="2" borderId="4" xfId="0" applyFont="1" applyFill="1" applyBorder="1"/>
    <xf numFmtId="0" fontId="53" fillId="0" borderId="4" xfId="0" applyFont="1" applyBorder="1"/>
    <xf numFmtId="176" fontId="46" fillId="0" borderId="19" xfId="0" applyNumberFormat="1" applyFont="1" applyBorder="1"/>
    <xf numFmtId="0" fontId="46" fillId="0" borderId="19" xfId="0" applyFont="1" applyBorder="1"/>
    <xf numFmtId="0" fontId="44" fillId="0" borderId="4" xfId="0" applyFont="1" applyBorder="1"/>
    <xf numFmtId="0" fontId="0" fillId="0" borderId="19" xfId="0" applyBorder="1"/>
    <xf numFmtId="0" fontId="45" fillId="0" borderId="4" xfId="0" applyFont="1" applyBorder="1"/>
    <xf numFmtId="0" fontId="74" fillId="0" borderId="6" xfId="0" applyFont="1" applyBorder="1"/>
    <xf numFmtId="0" fontId="105" fillId="26" borderId="0" xfId="0" applyFont="1" applyFill="1"/>
    <xf numFmtId="2" fontId="47" fillId="27" borderId="8" xfId="0" applyNumberFormat="1" applyFont="1" applyFill="1" applyBorder="1" applyAlignment="1" applyProtection="1">
      <alignment horizontal="center"/>
      <protection locked="0"/>
    </xf>
    <xf numFmtId="2" fontId="47" fillId="27" borderId="13" xfId="0" applyNumberFormat="1" applyFont="1" applyFill="1" applyBorder="1" applyAlignment="1" applyProtection="1">
      <alignment horizontal="center"/>
      <protection locked="0"/>
    </xf>
    <xf numFmtId="2" fontId="47" fillId="27" borderId="7" xfId="0" applyNumberFormat="1" applyFont="1" applyFill="1" applyBorder="1" applyAlignment="1" applyProtection="1">
      <alignment horizontal="center"/>
      <protection locked="0"/>
    </xf>
    <xf numFmtId="14" fontId="47" fillId="3" borderId="15" xfId="0" applyNumberFormat="1" applyFont="1" applyFill="1" applyBorder="1" applyAlignment="1" applyProtection="1">
      <alignment horizontal="center"/>
      <protection locked="0"/>
    </xf>
    <xf numFmtId="10" fontId="74" fillId="6" borderId="0" xfId="0" applyNumberFormat="1" applyFont="1" applyFill="1" applyAlignment="1">
      <alignment horizontal="center"/>
    </xf>
    <xf numFmtId="10" fontId="74" fillId="6" borderId="4" xfId="0" applyNumberFormat="1" applyFont="1" applyFill="1" applyBorder="1" applyAlignment="1">
      <alignment horizontal="center"/>
    </xf>
    <xf numFmtId="14" fontId="96" fillId="8" borderId="0" xfId="0" applyNumberFormat="1" applyFont="1" applyFill="1"/>
    <xf numFmtId="14" fontId="49" fillId="8" borderId="0" xfId="0" applyNumberFormat="1" applyFont="1" applyFill="1"/>
    <xf numFmtId="14" fontId="87" fillId="8" borderId="0" xfId="0" applyNumberFormat="1" applyFont="1" applyFill="1"/>
    <xf numFmtId="14" fontId="65" fillId="8" borderId="0" xfId="0" applyNumberFormat="1" applyFont="1" applyFill="1"/>
    <xf numFmtId="14" fontId="0" fillId="8" borderId="0" xfId="0" applyNumberFormat="1" applyFill="1"/>
    <xf numFmtId="0" fontId="0" fillId="8" borderId="0" xfId="0" applyFill="1"/>
    <xf numFmtId="0" fontId="96" fillId="8" borderId="0" xfId="0" applyFont="1" applyFill="1"/>
    <xf numFmtId="0" fontId="49" fillId="8" borderId="0" xfId="0" applyFont="1" applyFill="1"/>
    <xf numFmtId="0" fontId="45" fillId="8" borderId="0" xfId="0" applyFont="1" applyFill="1"/>
    <xf numFmtId="0" fontId="74" fillId="8" borderId="0" xfId="0" applyFont="1" applyFill="1"/>
    <xf numFmtId="0" fontId="98" fillId="8" borderId="0" xfId="0" applyFont="1" applyFill="1"/>
    <xf numFmtId="0" fontId="35" fillId="8" borderId="0" xfId="0" applyFont="1" applyFill="1"/>
    <xf numFmtId="0" fontId="117" fillId="8" borderId="0" xfId="0" applyFont="1" applyFill="1"/>
    <xf numFmtId="0" fontId="118" fillId="8" borderId="0" xfId="0" applyFont="1" applyFill="1"/>
    <xf numFmtId="0" fontId="119" fillId="8" borderId="0" xfId="0" applyFont="1" applyFill="1"/>
    <xf numFmtId="6" fontId="0" fillId="8" borderId="0" xfId="0" applyNumberFormat="1" applyFill="1"/>
    <xf numFmtId="0" fontId="82" fillId="8" borderId="0" xfId="0" applyFont="1" applyFill="1"/>
    <xf numFmtId="6" fontId="0" fillId="8" borderId="0" xfId="0" applyNumberFormat="1" applyFill="1" applyAlignment="1">
      <alignment horizontal="left"/>
    </xf>
    <xf numFmtId="0" fontId="49" fillId="8" borderId="7" xfId="0" applyFont="1" applyFill="1" applyBorder="1"/>
    <xf numFmtId="0" fontId="50" fillId="8" borderId="0" xfId="0" applyFont="1" applyFill="1"/>
    <xf numFmtId="10" fontId="116" fillId="15" borderId="12" xfId="0" applyNumberFormat="1" applyFont="1" applyFill="1" applyBorder="1" applyAlignment="1" applyProtection="1">
      <alignment horizontal="center"/>
      <protection locked="0"/>
    </xf>
    <xf numFmtId="0" fontId="50" fillId="2" borderId="14" xfId="0" applyFont="1" applyFill="1" applyBorder="1" applyAlignment="1">
      <alignment horizontal="left" vertical="center"/>
    </xf>
    <xf numFmtId="0" fontId="105" fillId="2" borderId="4" xfId="0" applyFont="1" applyFill="1" applyBorder="1" applyAlignment="1" applyProtection="1">
      <alignment vertical="center" wrapText="1"/>
      <protection hidden="1"/>
    </xf>
    <xf numFmtId="0" fontId="105" fillId="2" borderId="0" xfId="0" applyFont="1" applyFill="1" applyAlignment="1" applyProtection="1">
      <alignment vertical="center" wrapText="1"/>
      <protection hidden="1"/>
    </xf>
    <xf numFmtId="0" fontId="49" fillId="6" borderId="0" xfId="0" applyFont="1" applyFill="1" applyProtection="1">
      <protection hidden="1"/>
    </xf>
    <xf numFmtId="0" fontId="48" fillId="6" borderId="0" xfId="0" applyFont="1" applyFill="1"/>
    <xf numFmtId="0" fontId="48" fillId="6" borderId="4" xfId="0" applyFont="1" applyFill="1" applyBorder="1"/>
    <xf numFmtId="0" fontId="48" fillId="6" borderId="5" xfId="0" applyFont="1" applyFill="1" applyBorder="1"/>
    <xf numFmtId="0" fontId="48" fillId="6" borderId="0" xfId="0" applyFont="1" applyFill="1" applyAlignment="1">
      <alignment horizontal="left"/>
    </xf>
    <xf numFmtId="0" fontId="61" fillId="0" borderId="0" xfId="1" applyAlignment="1" applyProtection="1"/>
    <xf numFmtId="0" fontId="54" fillId="6" borderId="4" xfId="0" applyFont="1" applyFill="1" applyBorder="1"/>
    <xf numFmtId="0" fontId="80" fillId="6" borderId="0" xfId="0" applyFont="1" applyFill="1"/>
    <xf numFmtId="0" fontId="48" fillId="6" borderId="7" xfId="0" applyFont="1" applyFill="1" applyBorder="1"/>
    <xf numFmtId="0" fontId="48" fillId="6" borderId="8" xfId="0" applyFont="1" applyFill="1" applyBorder="1"/>
    <xf numFmtId="0" fontId="59" fillId="6" borderId="0" xfId="0" applyFont="1" applyFill="1"/>
    <xf numFmtId="0" fontId="59" fillId="6" borderId="5" xfId="0" applyFont="1" applyFill="1" applyBorder="1"/>
    <xf numFmtId="0" fontId="81" fillId="6" borderId="5" xfId="0" applyFont="1" applyFill="1" applyBorder="1"/>
    <xf numFmtId="0" fontId="48" fillId="6" borderId="6" xfId="0" applyFont="1" applyFill="1" applyBorder="1"/>
    <xf numFmtId="0" fontId="49" fillId="6" borderId="0" xfId="0" applyFont="1" applyFill="1"/>
    <xf numFmtId="0" fontId="62" fillId="6" borderId="0" xfId="0" applyFont="1" applyFill="1"/>
    <xf numFmtId="0" fontId="64" fillId="0" borderId="0" xfId="0" applyFont="1"/>
    <xf numFmtId="10" fontId="116" fillId="15" borderId="14" xfId="0" applyNumberFormat="1" applyFont="1" applyFill="1" applyBorder="1" applyAlignment="1" applyProtection="1">
      <alignment horizontal="center"/>
      <protection locked="0"/>
    </xf>
    <xf numFmtId="168" fontId="0" fillId="0" borderId="4" xfId="0" applyNumberFormat="1" applyBorder="1"/>
    <xf numFmtId="0" fontId="58" fillId="29" borderId="0" xfId="0" applyFont="1" applyFill="1" applyProtection="1">
      <protection hidden="1"/>
    </xf>
    <xf numFmtId="0" fontId="59" fillId="30" borderId="0" xfId="18" applyFill="1" applyAlignment="1">
      <alignment vertical="center" wrapText="1"/>
    </xf>
    <xf numFmtId="0" fontId="54" fillId="0" borderId="14" xfId="18" applyFont="1" applyBorder="1" applyAlignment="1">
      <alignment horizontal="center" vertical="center" wrapText="1"/>
    </xf>
    <xf numFmtId="0" fontId="33" fillId="0" borderId="0" xfId="0" applyFont="1"/>
    <xf numFmtId="0" fontId="59" fillId="0" borderId="20" xfId="18" applyBorder="1" applyAlignment="1">
      <alignment horizontal="left" vertical="top" wrapText="1"/>
    </xf>
    <xf numFmtId="185" fontId="0" fillId="16" borderId="14" xfId="0" applyNumberFormat="1" applyFill="1" applyBorder="1" applyAlignment="1">
      <alignment vertical="top" wrapText="1"/>
    </xf>
    <xf numFmtId="0" fontId="32" fillId="0" borderId="0" xfId="0" applyFont="1"/>
    <xf numFmtId="14" fontId="53" fillId="3" borderId="14" xfId="0" applyNumberFormat="1" applyFont="1" applyFill="1" applyBorder="1" applyAlignment="1" applyProtection="1">
      <alignment horizontal="center"/>
      <protection locked="0"/>
    </xf>
    <xf numFmtId="186" fontId="0" fillId="15" borderId="14" xfId="0" applyNumberFormat="1" applyFill="1" applyBorder="1" applyProtection="1">
      <protection locked="0"/>
    </xf>
    <xf numFmtId="0" fontId="54" fillId="6" borderId="0" xfId="0" applyFont="1" applyFill="1"/>
    <xf numFmtId="0" fontId="121" fillId="29" borderId="0" xfId="0" applyFont="1" applyFill="1" applyProtection="1">
      <protection hidden="1"/>
    </xf>
    <xf numFmtId="0" fontId="30" fillId="0" borderId="0" xfId="0" applyFont="1"/>
    <xf numFmtId="180" fontId="58" fillId="14" borderId="21" xfId="2" applyNumberFormat="1" applyFont="1" applyFill="1" applyBorder="1" applyProtection="1"/>
    <xf numFmtId="0" fontId="52" fillId="2" borderId="3" xfId="0" applyFont="1" applyFill="1" applyBorder="1" applyProtection="1">
      <protection hidden="1"/>
    </xf>
    <xf numFmtId="0" fontId="52" fillId="2" borderId="4" xfId="0" applyFont="1" applyFill="1" applyBorder="1" applyProtection="1">
      <protection hidden="1"/>
    </xf>
    <xf numFmtId="0" fontId="54" fillId="2" borderId="1" xfId="0" applyFont="1" applyFill="1" applyBorder="1" applyAlignment="1" applyProtection="1">
      <alignment horizontal="left"/>
      <protection hidden="1"/>
    </xf>
    <xf numFmtId="0" fontId="59" fillId="2" borderId="2" xfId="0" applyFont="1" applyFill="1" applyBorder="1" applyProtection="1">
      <protection hidden="1"/>
    </xf>
    <xf numFmtId="0" fontId="52" fillId="2" borderId="5" xfId="0" applyFont="1" applyFill="1" applyBorder="1" applyProtection="1">
      <protection hidden="1"/>
    </xf>
    <xf numFmtId="0" fontId="54" fillId="2" borderId="6" xfId="0" applyFont="1" applyFill="1" applyBorder="1" applyAlignment="1" applyProtection="1">
      <alignment horizontal="left"/>
      <protection hidden="1"/>
    </xf>
    <xf numFmtId="0" fontId="59" fillId="2" borderId="7" xfId="0" applyFont="1" applyFill="1" applyBorder="1" applyProtection="1">
      <protection hidden="1"/>
    </xf>
    <xf numFmtId="14" fontId="59" fillId="2" borderId="8" xfId="0" applyNumberFormat="1" applyFont="1" applyFill="1" applyBorder="1" applyAlignment="1" applyProtection="1">
      <alignment horizontal="left"/>
      <protection hidden="1"/>
    </xf>
    <xf numFmtId="0" fontId="41" fillId="14" borderId="1" xfId="0" applyFont="1" applyFill="1" applyBorder="1" applyAlignment="1" applyProtection="1">
      <alignment horizontal="center" vertical="center" wrapText="1"/>
      <protection hidden="1"/>
    </xf>
    <xf numFmtId="0" fontId="74" fillId="14" borderId="20" xfId="0" applyFont="1" applyFill="1" applyBorder="1" applyAlignment="1" applyProtection="1">
      <alignment horizontal="center" vertical="center" wrapText="1"/>
      <protection hidden="1"/>
    </xf>
    <xf numFmtId="0" fontId="74" fillId="6" borderId="20" xfId="0" applyFont="1" applyFill="1" applyBorder="1" applyAlignment="1" applyProtection="1">
      <alignment horizontal="center" vertical="center" wrapText="1"/>
      <protection hidden="1"/>
    </xf>
    <xf numFmtId="0" fontId="74" fillId="6" borderId="14" xfId="0" applyFont="1" applyFill="1" applyBorder="1" applyAlignment="1" applyProtection="1">
      <alignment horizontal="center" vertical="center" wrapText="1"/>
      <protection hidden="1"/>
    </xf>
    <xf numFmtId="0" fontId="0" fillId="14" borderId="6" xfId="0" applyFill="1" applyBorder="1" applyProtection="1">
      <protection hidden="1"/>
    </xf>
    <xf numFmtId="0" fontId="0" fillId="14" borderId="21" xfId="0" applyFill="1" applyBorder="1" applyProtection="1">
      <protection hidden="1"/>
    </xf>
    <xf numFmtId="0" fontId="0" fillId="6" borderId="21" xfId="0" applyFill="1" applyBorder="1" applyProtection="1">
      <protection hidden="1"/>
    </xf>
    <xf numFmtId="9" fontId="0" fillId="16" borderId="14" xfId="0" applyNumberFormat="1" applyFill="1" applyBorder="1" applyProtection="1">
      <protection hidden="1"/>
    </xf>
    <xf numFmtId="10" fontId="0" fillId="6" borderId="2" xfId="0" applyNumberFormat="1" applyFill="1" applyBorder="1" applyProtection="1">
      <protection hidden="1"/>
    </xf>
    <xf numFmtId="177" fontId="0" fillId="6" borderId="0" xfId="3" applyNumberFormat="1" applyFont="1" applyFill="1" applyBorder="1" applyProtection="1">
      <protection hidden="1"/>
    </xf>
    <xf numFmtId="9" fontId="0" fillId="6" borderId="5" xfId="0" applyNumberFormat="1" applyFill="1" applyBorder="1" applyProtection="1">
      <protection hidden="1"/>
    </xf>
    <xf numFmtId="0" fontId="50" fillId="20" borderId="18" xfId="0" applyFont="1" applyFill="1" applyBorder="1" applyProtection="1">
      <protection hidden="1"/>
    </xf>
    <xf numFmtId="0" fontId="50" fillId="14" borderId="12" xfId="0" applyFont="1" applyFill="1" applyBorder="1" applyProtection="1">
      <protection hidden="1"/>
    </xf>
    <xf numFmtId="0" fontId="0" fillId="14" borderId="2" xfId="0" applyFill="1" applyBorder="1" applyProtection="1">
      <protection hidden="1"/>
    </xf>
    <xf numFmtId="0" fontId="0" fillId="6" borderId="3" xfId="0" applyFill="1" applyBorder="1" applyProtection="1">
      <protection hidden="1"/>
    </xf>
    <xf numFmtId="0" fontId="40" fillId="6" borderId="7" xfId="0" applyFont="1" applyFill="1" applyBorder="1" applyProtection="1">
      <protection hidden="1"/>
    </xf>
    <xf numFmtId="44" fontId="40" fillId="14" borderId="48" xfId="2" applyFont="1" applyFill="1" applyBorder="1" applyProtection="1">
      <protection hidden="1"/>
    </xf>
    <xf numFmtId="44" fontId="104" fillId="16" borderId="57" xfId="2" applyFont="1" applyFill="1" applyBorder="1" applyProtection="1">
      <protection hidden="1"/>
    </xf>
    <xf numFmtId="10" fontId="31" fillId="7" borderId="14" xfId="0" applyNumberFormat="1" applyFont="1" applyFill="1" applyBorder="1" applyProtection="1">
      <protection hidden="1"/>
    </xf>
    <xf numFmtId="0" fontId="40" fillId="6" borderId="2" xfId="0" applyFont="1" applyFill="1" applyBorder="1" applyProtection="1">
      <protection hidden="1"/>
    </xf>
    <xf numFmtId="0" fontId="50" fillId="6" borderId="3" xfId="0" applyFont="1" applyFill="1" applyBorder="1" applyProtection="1">
      <protection hidden="1"/>
    </xf>
    <xf numFmtId="0" fontId="0" fillId="17" borderId="59" xfId="0" applyFill="1" applyBorder="1" applyProtection="1">
      <protection hidden="1"/>
    </xf>
    <xf numFmtId="0" fontId="50" fillId="6" borderId="5" xfId="0" applyFont="1" applyFill="1" applyBorder="1" applyProtection="1">
      <protection hidden="1"/>
    </xf>
    <xf numFmtId="0" fontId="0" fillId="19" borderId="61" xfId="0" applyFill="1" applyBorder="1" applyProtection="1">
      <protection hidden="1"/>
    </xf>
    <xf numFmtId="0" fontId="0" fillId="6" borderId="6" xfId="0" applyFill="1" applyBorder="1" applyAlignment="1" applyProtection="1">
      <alignment wrapText="1"/>
      <protection hidden="1"/>
    </xf>
    <xf numFmtId="0" fontId="0" fillId="6" borderId="55" xfId="0" applyFill="1" applyBorder="1" applyProtection="1">
      <protection hidden="1"/>
    </xf>
    <xf numFmtId="0" fontId="103" fillId="6" borderId="58" xfId="0" applyFont="1" applyFill="1" applyBorder="1" applyProtection="1">
      <protection hidden="1"/>
    </xf>
    <xf numFmtId="165" fontId="103" fillId="6" borderId="58" xfId="0" applyNumberFormat="1" applyFont="1" applyFill="1" applyBorder="1" applyProtection="1">
      <protection hidden="1"/>
    </xf>
    <xf numFmtId="0" fontId="50" fillId="20" borderId="20" xfId="0" applyFont="1" applyFill="1" applyBorder="1" applyProtection="1">
      <protection hidden="1"/>
    </xf>
    <xf numFmtId="0" fontId="40" fillId="6" borderId="6" xfId="0" applyFont="1" applyFill="1" applyBorder="1" applyProtection="1">
      <protection hidden="1"/>
    </xf>
    <xf numFmtId="0" fontId="40" fillId="0" borderId="44" xfId="0" applyFont="1" applyBorder="1" applyProtection="1">
      <protection hidden="1"/>
    </xf>
    <xf numFmtId="44" fontId="40" fillId="14" borderId="55" xfId="2" applyFont="1" applyFill="1" applyBorder="1" applyProtection="1">
      <protection hidden="1"/>
    </xf>
    <xf numFmtId="44" fontId="40" fillId="14" borderId="56" xfId="2" applyFont="1" applyFill="1" applyBorder="1" applyProtection="1">
      <protection hidden="1"/>
    </xf>
    <xf numFmtId="0" fontId="37" fillId="14" borderId="34" xfId="0" applyFont="1" applyFill="1" applyBorder="1" applyAlignment="1" applyProtection="1">
      <alignment vertical="center"/>
      <protection hidden="1"/>
    </xf>
    <xf numFmtId="0" fontId="37" fillId="14" borderId="50" xfId="0" applyFont="1" applyFill="1" applyBorder="1" applyAlignment="1" applyProtection="1">
      <alignment vertical="center"/>
      <protection hidden="1"/>
    </xf>
    <xf numFmtId="0" fontId="38" fillId="6" borderId="32" xfId="0" applyFont="1" applyFill="1" applyBorder="1" applyAlignment="1" applyProtection="1">
      <alignment wrapText="1"/>
      <protection hidden="1"/>
    </xf>
    <xf numFmtId="0" fontId="37" fillId="0" borderId="32" xfId="0" applyFont="1" applyBorder="1" applyAlignment="1" applyProtection="1">
      <alignment horizontal="center" wrapText="1"/>
      <protection hidden="1"/>
    </xf>
    <xf numFmtId="0" fontId="37" fillId="0" borderId="33" xfId="0" applyFont="1" applyBorder="1" applyAlignment="1" applyProtection="1">
      <alignment horizontal="center" wrapText="1"/>
      <protection hidden="1"/>
    </xf>
    <xf numFmtId="0" fontId="0" fillId="6" borderId="71" xfId="0" applyFill="1" applyBorder="1" applyProtection="1">
      <protection hidden="1"/>
    </xf>
    <xf numFmtId="4" fontId="37" fillId="24" borderId="69" xfId="0" applyNumberFormat="1" applyFont="1" applyFill="1" applyBorder="1" applyAlignment="1" applyProtection="1">
      <alignment horizontal="left"/>
      <protection hidden="1"/>
    </xf>
    <xf numFmtId="2" fontId="38" fillId="6" borderId="20" xfId="0" applyNumberFormat="1" applyFont="1" applyFill="1" applyBorder="1" applyProtection="1">
      <protection hidden="1"/>
    </xf>
    <xf numFmtId="4" fontId="53" fillId="18" borderId="15" xfId="0" applyNumberFormat="1" applyFont="1" applyFill="1" applyBorder="1" applyAlignment="1" applyProtection="1">
      <alignment horizontal="left" wrapText="1"/>
      <protection hidden="1"/>
    </xf>
    <xf numFmtId="44" fontId="53" fillId="18" borderId="22" xfId="2" applyFont="1" applyFill="1" applyBorder="1" applyAlignment="1" applyProtection="1">
      <alignment horizontal="center" vertical="center"/>
      <protection hidden="1"/>
    </xf>
    <xf numFmtId="44" fontId="53" fillId="18" borderId="70" xfId="2" applyFont="1" applyFill="1" applyBorder="1" applyAlignment="1" applyProtection="1">
      <alignment horizontal="center" vertical="center"/>
      <protection hidden="1"/>
    </xf>
    <xf numFmtId="44" fontId="53" fillId="18" borderId="23" xfId="2" applyFont="1" applyFill="1" applyBorder="1" applyAlignment="1" applyProtection="1">
      <alignment horizontal="center" vertical="center"/>
      <protection hidden="1"/>
    </xf>
    <xf numFmtId="4" fontId="53" fillId="24" borderId="9" xfId="0" applyNumberFormat="1" applyFont="1" applyFill="1" applyBorder="1" applyAlignment="1" applyProtection="1">
      <alignment horizontal="left" wrapText="1"/>
      <protection hidden="1"/>
    </xf>
    <xf numFmtId="10" fontId="53" fillId="0" borderId="22" xfId="3" applyNumberFormat="1" applyFont="1" applyBorder="1" applyAlignment="1" applyProtection="1">
      <alignment horizontal="right"/>
      <protection hidden="1"/>
    </xf>
    <xf numFmtId="10" fontId="53" fillId="0" borderId="70" xfId="0" applyNumberFormat="1" applyFont="1" applyBorder="1" applyAlignment="1" applyProtection="1">
      <alignment horizontal="right"/>
      <protection hidden="1"/>
    </xf>
    <xf numFmtId="10" fontId="53" fillId="0" borderId="23" xfId="0" applyNumberFormat="1" applyFont="1" applyBorder="1" applyAlignment="1" applyProtection="1">
      <alignment horizontal="right"/>
      <protection hidden="1"/>
    </xf>
    <xf numFmtId="0" fontId="53" fillId="25" borderId="15" xfId="0" applyFont="1" applyFill="1" applyBorder="1" applyAlignment="1" applyProtection="1">
      <alignment horizontal="left" wrapText="1"/>
      <protection hidden="1"/>
    </xf>
    <xf numFmtId="0" fontId="111" fillId="0" borderId="5" xfId="0" applyFont="1" applyBorder="1" applyAlignment="1" applyProtection="1">
      <alignment horizontal="right"/>
      <protection hidden="1"/>
    </xf>
    <xf numFmtId="44" fontId="27" fillId="17" borderId="60" xfId="2" applyFont="1" applyFill="1" applyBorder="1" applyProtection="1">
      <protection hidden="1"/>
    </xf>
    <xf numFmtId="44" fontId="27" fillId="19" borderId="61" xfId="2" applyFont="1" applyFill="1" applyBorder="1" applyProtection="1">
      <protection hidden="1"/>
    </xf>
    <xf numFmtId="44" fontId="27" fillId="7" borderId="6" xfId="2" applyFont="1" applyFill="1" applyBorder="1" applyProtection="1">
      <protection hidden="1"/>
    </xf>
    <xf numFmtId="0" fontId="27" fillId="14" borderId="18" xfId="0" applyFont="1" applyFill="1" applyBorder="1" applyProtection="1">
      <protection hidden="1"/>
    </xf>
    <xf numFmtId="188" fontId="58" fillId="14" borderId="21" xfId="2" applyNumberFormat="1" applyFont="1" applyFill="1" applyBorder="1" applyProtection="1"/>
    <xf numFmtId="180" fontId="0" fillId="0" borderId="0" xfId="0" applyNumberFormat="1"/>
    <xf numFmtId="44" fontId="48" fillId="6" borderId="6" xfId="2" applyFont="1" applyFill="1" applyBorder="1" applyProtection="1"/>
    <xf numFmtId="44" fontId="48" fillId="16" borderId="12" xfId="2" applyFont="1" applyFill="1" applyBorder="1" applyProtection="1"/>
    <xf numFmtId="0" fontId="48" fillId="0" borderId="12" xfId="0" applyFont="1" applyBorder="1"/>
    <xf numFmtId="44" fontId="48" fillId="6" borderId="12" xfId="2" applyFont="1" applyFill="1" applyBorder="1" applyProtection="1"/>
    <xf numFmtId="0" fontId="61" fillId="6" borderId="0" xfId="1" applyFill="1" applyAlignment="1" applyProtection="1"/>
    <xf numFmtId="0" fontId="113" fillId="6" borderId="1" xfId="0" applyFont="1" applyFill="1" applyBorder="1"/>
    <xf numFmtId="0" fontId="74" fillId="6" borderId="0" xfId="0" applyFont="1" applyFill="1"/>
    <xf numFmtId="0" fontId="74" fillId="6" borderId="5" xfId="0" applyFont="1" applyFill="1" applyBorder="1"/>
    <xf numFmtId="0" fontId="74" fillId="6" borderId="7" xfId="0" applyFont="1" applyFill="1" applyBorder="1"/>
    <xf numFmtId="0" fontId="74" fillId="6" borderId="8" xfId="0" applyFont="1" applyFill="1" applyBorder="1"/>
    <xf numFmtId="0" fontId="61" fillId="6" borderId="0" xfId="1" applyFill="1" applyBorder="1" applyAlignment="1" applyProtection="1"/>
    <xf numFmtId="0" fontId="28" fillId="6" borderId="10" xfId="0" applyFont="1" applyFill="1" applyBorder="1" applyProtection="1">
      <protection hidden="1"/>
    </xf>
    <xf numFmtId="0" fontId="0" fillId="29" borderId="14" xfId="0" applyFill="1" applyBorder="1"/>
    <xf numFmtId="44" fontId="0" fillId="29" borderId="14" xfId="0" applyNumberFormat="1" applyFill="1" applyBorder="1"/>
    <xf numFmtId="164" fontId="0" fillId="29" borderId="14" xfId="0" applyNumberFormat="1" applyFill="1" applyBorder="1"/>
    <xf numFmtId="165" fontId="0" fillId="29" borderId="14" xfId="0" applyNumberFormat="1" applyFill="1" applyBorder="1"/>
    <xf numFmtId="181" fontId="0" fillId="29" borderId="14" xfId="0" applyNumberFormat="1" applyFill="1" applyBorder="1"/>
    <xf numFmtId="14" fontId="58" fillId="0" borderId="0" xfId="0" applyNumberFormat="1" applyFont="1" applyAlignment="1">
      <alignment horizontal="right"/>
    </xf>
    <xf numFmtId="0" fontId="58" fillId="0" borderId="0" xfId="0" applyFont="1" applyAlignment="1">
      <alignment horizontal="center"/>
    </xf>
    <xf numFmtId="0" fontId="0" fillId="0" borderId="2" xfId="0" applyBorder="1" applyAlignment="1">
      <alignment horizontal="right"/>
    </xf>
    <xf numFmtId="0" fontId="0" fillId="0" borderId="13" xfId="0" applyBorder="1" applyAlignment="1">
      <alignment horizontal="right"/>
    </xf>
    <xf numFmtId="0" fontId="52" fillId="6" borderId="14" xfId="0" applyFont="1" applyFill="1" applyBorder="1"/>
    <xf numFmtId="164" fontId="26" fillId="3" borderId="14" xfId="0" applyNumberFormat="1" applyFont="1" applyFill="1" applyBorder="1" applyAlignment="1" applyProtection="1">
      <alignment horizontal="center"/>
      <protection locked="0"/>
    </xf>
    <xf numFmtId="14" fontId="26" fillId="0" borderId="0" xfId="0" applyNumberFormat="1" applyFont="1" applyAlignment="1">
      <alignment horizontal="center" vertical="top"/>
    </xf>
    <xf numFmtId="14" fontId="26" fillId="0" borderId="0" xfId="0" applyNumberFormat="1" applyFont="1" applyAlignment="1">
      <alignment horizontal="right" vertical="top"/>
    </xf>
    <xf numFmtId="0" fontId="26" fillId="0" borderId="0" xfId="0" applyFont="1"/>
    <xf numFmtId="14" fontId="26" fillId="3" borderId="21" xfId="0" applyNumberFormat="1" applyFont="1" applyFill="1" applyBorder="1" applyAlignment="1" applyProtection="1">
      <alignment horizontal="center"/>
      <protection locked="0"/>
    </xf>
    <xf numFmtId="14" fontId="26" fillId="6" borderId="0" xfId="0" applyNumberFormat="1" applyFont="1" applyFill="1" applyAlignment="1" applyProtection="1">
      <alignment horizontal="center"/>
      <protection hidden="1"/>
    </xf>
    <xf numFmtId="0" fontId="26" fillId="0" borderId="2" xfId="0" applyFont="1" applyBorder="1"/>
    <xf numFmtId="0" fontId="26" fillId="0" borderId="3" xfId="0" applyFont="1" applyBorder="1"/>
    <xf numFmtId="0" fontId="26" fillId="0" borderId="4" xfId="0" applyFont="1" applyBorder="1"/>
    <xf numFmtId="0" fontId="26" fillId="0" borderId="5" xfId="0" applyFont="1" applyBorder="1"/>
    <xf numFmtId="0" fontId="26" fillId="0" borderId="6" xfId="0" applyFont="1" applyBorder="1"/>
    <xf numFmtId="0" fontId="26" fillId="0" borderId="7" xfId="0" applyFont="1" applyBorder="1"/>
    <xf numFmtId="0" fontId="26" fillId="0" borderId="8" xfId="0" applyFont="1" applyBorder="1"/>
    <xf numFmtId="10" fontId="58" fillId="15" borderId="14" xfId="3" applyNumberFormat="1" applyFont="1" applyFill="1" applyBorder="1"/>
    <xf numFmtId="0" fontId="26" fillId="15" borderId="14" xfId="0" applyFont="1" applyFill="1" applyBorder="1"/>
    <xf numFmtId="0" fontId="26" fillId="15" borderId="14" xfId="0" applyFont="1" applyFill="1" applyBorder="1" applyAlignment="1">
      <alignment wrapText="1"/>
    </xf>
    <xf numFmtId="0" fontId="26" fillId="6" borderId="12" xfId="0" applyFont="1" applyFill="1" applyBorder="1" applyAlignment="1">
      <alignment horizontal="left" vertical="top"/>
    </xf>
    <xf numFmtId="0" fontId="26" fillId="6" borderId="13" xfId="0" applyFont="1" applyFill="1" applyBorder="1" applyAlignment="1">
      <alignment horizontal="left" vertical="top"/>
    </xf>
    <xf numFmtId="10" fontId="58" fillId="15" borderId="14" xfId="3" applyNumberFormat="1" applyFont="1" applyFill="1" applyBorder="1" applyAlignment="1" applyProtection="1"/>
    <xf numFmtId="164" fontId="26" fillId="0" borderId="0" xfId="0" applyNumberFormat="1" applyFont="1"/>
    <xf numFmtId="0" fontId="26" fillId="0" borderId="0" xfId="0" applyFont="1" applyAlignment="1">
      <alignment horizontal="center"/>
    </xf>
    <xf numFmtId="0" fontId="123" fillId="0" borderId="2" xfId="0" applyFont="1" applyBorder="1"/>
    <xf numFmtId="0" fontId="53" fillId="0" borderId="3" xfId="0" applyFont="1" applyBorder="1"/>
    <xf numFmtId="0" fontId="26" fillId="7" borderId="4" xfId="0" applyFont="1" applyFill="1" applyBorder="1"/>
    <xf numFmtId="0" fontId="0" fillId="6" borderId="13" xfId="0" applyFill="1" applyBorder="1" applyAlignment="1">
      <alignment wrapText="1"/>
    </xf>
    <xf numFmtId="180" fontId="58" fillId="14" borderId="72" xfId="0" applyNumberFormat="1" applyFont="1" applyFill="1" applyBorder="1"/>
    <xf numFmtId="180" fontId="85" fillId="14" borderId="72" xfId="0" applyNumberFormat="1" applyFont="1" applyFill="1" applyBorder="1"/>
    <xf numFmtId="44" fontId="58" fillId="14" borderId="48" xfId="0" applyNumberFormat="1" applyFont="1" applyFill="1" applyBorder="1"/>
    <xf numFmtId="44" fontId="63" fillId="14" borderId="48" xfId="0" applyNumberFormat="1" applyFont="1" applyFill="1" applyBorder="1"/>
    <xf numFmtId="44" fontId="85" fillId="14" borderId="48" xfId="0" applyNumberFormat="1" applyFont="1" applyFill="1" applyBorder="1"/>
    <xf numFmtId="180" fontId="63" fillId="14" borderId="72" xfId="0" applyNumberFormat="1" applyFont="1" applyFill="1" applyBorder="1"/>
    <xf numFmtId="4" fontId="58" fillId="0" borderId="0" xfId="0" applyNumberFormat="1" applyFont="1" applyAlignment="1" applyProtection="1">
      <alignment horizontal="right"/>
      <protection hidden="1"/>
    </xf>
    <xf numFmtId="0" fontId="102" fillId="0" borderId="0" xfId="0" applyFont="1" applyProtection="1">
      <protection hidden="1"/>
    </xf>
    <xf numFmtId="44" fontId="0" fillId="29" borderId="0" xfId="0" applyNumberFormat="1" applyFill="1"/>
    <xf numFmtId="164" fontId="0" fillId="29" borderId="0" xfId="0" applyNumberFormat="1" applyFill="1"/>
    <xf numFmtId="165" fontId="0" fillId="29" borderId="0" xfId="0" applyNumberFormat="1" applyFill="1"/>
    <xf numFmtId="181" fontId="0" fillId="29" borderId="0" xfId="0" applyNumberFormat="1" applyFill="1"/>
    <xf numFmtId="0" fontId="52" fillId="2" borderId="0" xfId="0" applyFont="1" applyFill="1" applyProtection="1">
      <protection hidden="1"/>
    </xf>
    <xf numFmtId="0" fontId="0" fillId="6" borderId="0" xfId="0" applyFill="1" applyAlignment="1" applyProtection="1">
      <alignment horizontal="center" vertical="center"/>
      <protection hidden="1"/>
    </xf>
    <xf numFmtId="10" fontId="0" fillId="6" borderId="0" xfId="0" applyNumberFormat="1" applyFill="1" applyProtection="1">
      <protection hidden="1"/>
    </xf>
    <xf numFmtId="9" fontId="0" fillId="6" borderId="0" xfId="0" applyNumberFormat="1" applyFill="1" applyProtection="1">
      <protection hidden="1"/>
    </xf>
    <xf numFmtId="0" fontId="103" fillId="6" borderId="0" xfId="0" applyFont="1" applyFill="1" applyProtection="1">
      <protection hidden="1"/>
    </xf>
    <xf numFmtId="0" fontId="27" fillId="6" borderId="0" xfId="0" applyFont="1" applyFill="1" applyProtection="1">
      <protection hidden="1"/>
    </xf>
    <xf numFmtId="10" fontId="58" fillId="6" borderId="0" xfId="0" applyNumberFormat="1" applyFont="1" applyFill="1" applyProtection="1">
      <protection hidden="1"/>
    </xf>
    <xf numFmtId="4" fontId="53" fillId="0" borderId="0" xfId="0" applyNumberFormat="1" applyFont="1" applyAlignment="1" applyProtection="1">
      <alignment horizontal="left"/>
      <protection hidden="1"/>
    </xf>
    <xf numFmtId="4" fontId="53" fillId="6" borderId="0" xfId="0" applyNumberFormat="1" applyFont="1" applyFill="1" applyAlignment="1" applyProtection="1">
      <alignment horizontal="left"/>
      <protection hidden="1"/>
    </xf>
    <xf numFmtId="44" fontId="0" fillId="6" borderId="0" xfId="0" applyNumberFormat="1" applyFill="1" applyProtection="1">
      <protection hidden="1"/>
    </xf>
    <xf numFmtId="0" fontId="38" fillId="6" borderId="0" xfId="0" applyFont="1" applyFill="1" applyAlignment="1" applyProtection="1">
      <alignment horizontal="center"/>
      <protection hidden="1"/>
    </xf>
    <xf numFmtId="0" fontId="124" fillId="0" borderId="0" xfId="0" applyFont="1" applyProtection="1">
      <protection hidden="1"/>
    </xf>
    <xf numFmtId="0" fontId="0" fillId="19" borderId="0" xfId="0" applyFill="1" applyProtection="1">
      <protection hidden="1"/>
    </xf>
    <xf numFmtId="0" fontId="107" fillId="0" borderId="7" xfId="0" applyFont="1" applyBorder="1" applyAlignment="1" applyProtection="1">
      <alignment horizontal="left" wrapText="1"/>
      <protection hidden="1"/>
    </xf>
    <xf numFmtId="181" fontId="107" fillId="0" borderId="7" xfId="2" applyNumberFormat="1" applyFont="1" applyFill="1" applyBorder="1" applyAlignment="1" applyProtection="1">
      <alignment horizontal="center" vertical="center"/>
      <protection hidden="1"/>
    </xf>
    <xf numFmtId="0" fontId="107" fillId="23" borderId="22" xfId="0" applyFont="1" applyFill="1" applyBorder="1" applyAlignment="1" applyProtection="1">
      <alignment horizontal="left" wrapText="1"/>
      <protection hidden="1"/>
    </xf>
    <xf numFmtId="181" fontId="107" fillId="23" borderId="70" xfId="2" applyNumberFormat="1" applyFont="1" applyFill="1" applyBorder="1" applyAlignment="1" applyProtection="1">
      <alignment horizontal="center" vertical="center"/>
      <protection hidden="1"/>
    </xf>
    <xf numFmtId="181" fontId="107" fillId="23" borderId="23" xfId="2" applyNumberFormat="1" applyFont="1" applyFill="1" applyBorder="1" applyAlignment="1" applyProtection="1">
      <alignment horizontal="center" vertical="center"/>
      <protection hidden="1"/>
    </xf>
    <xf numFmtId="4" fontId="37" fillId="24" borderId="47" xfId="0" applyNumberFormat="1" applyFont="1" applyFill="1" applyBorder="1" applyAlignment="1" applyProtection="1">
      <alignment horizontal="left"/>
      <protection hidden="1"/>
    </xf>
    <xf numFmtId="44" fontId="29" fillId="6" borderId="34" xfId="2" applyFont="1" applyFill="1" applyBorder="1" applyProtection="1">
      <protection hidden="1"/>
    </xf>
    <xf numFmtId="44" fontId="29" fillId="6" borderId="50" xfId="2" applyFont="1" applyFill="1" applyBorder="1" applyProtection="1">
      <protection hidden="1"/>
    </xf>
    <xf numFmtId="2" fontId="38" fillId="6" borderId="76" xfId="0" applyNumberFormat="1" applyFont="1" applyFill="1" applyBorder="1" applyProtection="1">
      <protection hidden="1"/>
    </xf>
    <xf numFmtId="4" fontId="59" fillId="24" borderId="47" xfId="0" applyNumberFormat="1" applyFont="1" applyFill="1" applyBorder="1" applyAlignment="1" applyProtection="1">
      <alignment horizontal="left" wrapText="1"/>
      <protection hidden="1"/>
    </xf>
    <xf numFmtId="165" fontId="37" fillId="0" borderId="34" xfId="0" applyNumberFormat="1" applyFont="1" applyBorder="1" applyAlignment="1" applyProtection="1">
      <alignment horizontal="center" vertical="center"/>
      <protection hidden="1"/>
    </xf>
    <xf numFmtId="165" fontId="37" fillId="0" borderId="50" xfId="0" applyNumberFormat="1" applyFont="1" applyBorder="1" applyAlignment="1" applyProtection="1">
      <alignment horizontal="center" vertical="center"/>
      <protection hidden="1"/>
    </xf>
    <xf numFmtId="0" fontId="25" fillId="7" borderId="4" xfId="0" applyFont="1" applyFill="1" applyBorder="1"/>
    <xf numFmtId="0" fontId="26" fillId="7" borderId="6" xfId="0" applyFont="1" applyFill="1" applyBorder="1"/>
    <xf numFmtId="9" fontId="26" fillId="6" borderId="4" xfId="0" applyNumberFormat="1" applyFont="1" applyFill="1" applyBorder="1"/>
    <xf numFmtId="0" fontId="26" fillId="15" borderId="4" xfId="0" applyFont="1" applyFill="1" applyBorder="1" applyAlignment="1">
      <alignment horizontal="center"/>
    </xf>
    <xf numFmtId="0" fontId="122" fillId="29" borderId="5" xfId="0" applyFont="1" applyFill="1" applyBorder="1" applyAlignment="1" applyProtection="1">
      <alignment horizontal="center"/>
      <protection hidden="1"/>
    </xf>
    <xf numFmtId="2" fontId="58" fillId="19" borderId="0" xfId="0" applyNumberFormat="1" applyFont="1" applyFill="1" applyAlignment="1" applyProtection="1">
      <alignment horizontal="right"/>
      <protection hidden="1"/>
    </xf>
    <xf numFmtId="0" fontId="69" fillId="0" borderId="0" xfId="0" applyFont="1" applyAlignment="1" applyProtection="1">
      <alignment vertical="top"/>
      <protection hidden="1"/>
    </xf>
    <xf numFmtId="0" fontId="0" fillId="14" borderId="12" xfId="0" applyFill="1" applyBorder="1" applyAlignment="1">
      <alignment horizontal="center" vertical="center"/>
    </xf>
    <xf numFmtId="0" fontId="0" fillId="14" borderId="14" xfId="0" applyFill="1" applyBorder="1" applyAlignment="1">
      <alignment horizontal="center" vertical="center"/>
    </xf>
    <xf numFmtId="0" fontId="125" fillId="6" borderId="0" xfId="0" applyFont="1" applyFill="1"/>
    <xf numFmtId="0" fontId="61" fillId="0" borderId="0" xfId="1" applyBorder="1" applyAlignment="1" applyProtection="1">
      <alignment horizontal="left"/>
    </xf>
    <xf numFmtId="0" fontId="94" fillId="6" borderId="0" xfId="1" applyFont="1" applyFill="1" applyBorder="1" applyAlignment="1" applyProtection="1"/>
    <xf numFmtId="0" fontId="74" fillId="6" borderId="2" xfId="0" applyFont="1" applyFill="1" applyBorder="1"/>
    <xf numFmtId="0" fontId="74" fillId="6" borderId="3" xfId="0" applyFont="1" applyFill="1" applyBorder="1"/>
    <xf numFmtId="0" fontId="74" fillId="6" borderId="4" xfId="0" applyFont="1" applyFill="1" applyBorder="1"/>
    <xf numFmtId="0" fontId="74" fillId="6" borderId="6" xfId="0" applyFont="1" applyFill="1" applyBorder="1"/>
    <xf numFmtId="0" fontId="54" fillId="7" borderId="14" xfId="0" applyFont="1" applyFill="1" applyBorder="1" applyAlignment="1">
      <alignment horizontal="center" vertical="center"/>
    </xf>
    <xf numFmtId="0" fontId="48" fillId="7" borderId="14" xfId="0" applyFont="1" applyFill="1" applyBorder="1" applyAlignment="1">
      <alignment horizontal="center" vertical="center"/>
    </xf>
    <xf numFmtId="14" fontId="58" fillId="29" borderId="0" xfId="0" applyNumberFormat="1" applyFont="1" applyFill="1" applyAlignment="1" applyProtection="1">
      <alignment horizontal="left"/>
      <protection hidden="1"/>
    </xf>
    <xf numFmtId="0" fontId="26" fillId="6" borderId="12" xfId="0" applyFont="1" applyFill="1" applyBorder="1" applyAlignment="1">
      <alignment horizontal="left" vertical="top" wrapText="1"/>
    </xf>
    <xf numFmtId="0" fontId="26" fillId="6" borderId="13" xfId="0" applyFont="1" applyFill="1" applyBorder="1" applyAlignment="1">
      <alignment horizontal="left" vertical="top" wrapText="1"/>
    </xf>
    <xf numFmtId="0" fontId="22" fillId="0" borderId="12" xfId="0" applyFont="1" applyBorder="1"/>
    <xf numFmtId="0" fontId="26" fillId="0" borderId="13" xfId="0" applyFont="1" applyBorder="1"/>
    <xf numFmtId="0" fontId="53" fillId="2" borderId="14" xfId="0" applyFont="1" applyFill="1" applyBorder="1" applyAlignment="1">
      <alignment horizontal="center" vertical="center" wrapText="1"/>
    </xf>
    <xf numFmtId="0" fontId="0" fillId="2" borderId="14" xfId="0" applyFill="1" applyBorder="1" applyAlignment="1">
      <alignment horizontal="center" vertical="center" wrapText="1"/>
    </xf>
    <xf numFmtId="0" fontId="58" fillId="0" borderId="4" xfId="0" applyFont="1" applyBorder="1"/>
    <xf numFmtId="0" fontId="58" fillId="29" borderId="0" xfId="0" applyFont="1" applyFill="1" applyAlignment="1" applyProtection="1">
      <alignment horizontal="right" vertical="center"/>
      <protection hidden="1"/>
    </xf>
    <xf numFmtId="49" fontId="0" fillId="0" borderId="0" xfId="0" applyNumberFormat="1"/>
    <xf numFmtId="14" fontId="47" fillId="0" borderId="0" xfId="0" applyNumberFormat="1" applyFont="1" applyAlignment="1">
      <alignment horizontal="center"/>
    </xf>
    <xf numFmtId="14" fontId="21" fillId="3" borderId="14" xfId="0" applyNumberFormat="1" applyFont="1" applyFill="1" applyBorder="1" applyAlignment="1" applyProtection="1">
      <alignment horizontal="center"/>
      <protection locked="0"/>
    </xf>
    <xf numFmtId="14" fontId="58" fillId="19" borderId="0" xfId="0" applyNumberFormat="1" applyFont="1" applyFill="1" applyAlignment="1">
      <alignment horizontal="center" vertical="top"/>
    </xf>
    <xf numFmtId="0" fontId="122" fillId="32" borderId="0" xfId="0" applyFont="1" applyFill="1"/>
    <xf numFmtId="0" fontId="0" fillId="2" borderId="13" xfId="0" applyFill="1" applyBorder="1" applyAlignment="1">
      <alignment horizontal="center"/>
    </xf>
    <xf numFmtId="10" fontId="26" fillId="0" borderId="14" xfId="3" applyNumberFormat="1" applyFont="1" applyFill="1" applyBorder="1"/>
    <xf numFmtId="10" fontId="58" fillId="15" borderId="14" xfId="3" applyNumberFormat="1" applyFont="1" applyFill="1" applyBorder="1" applyAlignment="1" applyProtection="1">
      <alignment wrapText="1"/>
    </xf>
    <xf numFmtId="0" fontId="20" fillId="0" borderId="14" xfId="0" applyFont="1" applyBorder="1" applyAlignment="1">
      <alignment horizontal="center"/>
    </xf>
    <xf numFmtId="0" fontId="26" fillId="6" borderId="14" xfId="0" applyFont="1" applyFill="1" applyBorder="1" applyAlignment="1">
      <alignment vertical="top"/>
    </xf>
    <xf numFmtId="10" fontId="20" fillId="6" borderId="14" xfId="3" applyNumberFormat="1" applyFont="1" applyFill="1" applyBorder="1" applyAlignment="1">
      <alignment horizontal="center" vertical="center" wrapText="1"/>
    </xf>
    <xf numFmtId="0" fontId="0" fillId="17" borderId="20" xfId="0" applyFill="1" applyBorder="1" applyProtection="1">
      <protection hidden="1"/>
    </xf>
    <xf numFmtId="44" fontId="27" fillId="17" borderId="1" xfId="2" applyFont="1" applyFill="1" applyBorder="1" applyProtection="1">
      <protection hidden="1"/>
    </xf>
    <xf numFmtId="44" fontId="40" fillId="14" borderId="20" xfId="2" applyFont="1" applyFill="1" applyBorder="1" applyProtection="1">
      <protection hidden="1"/>
    </xf>
    <xf numFmtId="44" fontId="27" fillId="14" borderId="20" xfId="2" applyFont="1" applyFill="1" applyBorder="1" applyProtection="1">
      <protection hidden="1"/>
    </xf>
    <xf numFmtId="44" fontId="40" fillId="14" borderId="77" xfId="2" applyFont="1" applyFill="1" applyBorder="1" applyProtection="1">
      <protection hidden="1"/>
    </xf>
    <xf numFmtId="44" fontId="104" fillId="16" borderId="35" xfId="2" applyFont="1" applyFill="1" applyBorder="1" applyProtection="1">
      <protection hidden="1"/>
    </xf>
    <xf numFmtId="0" fontId="0" fillId="7" borderId="62" xfId="0" applyFill="1" applyBorder="1" applyAlignment="1" applyProtection="1">
      <alignment wrapText="1"/>
      <protection hidden="1"/>
    </xf>
    <xf numFmtId="44" fontId="27" fillId="7" borderId="63" xfId="2" applyFont="1" applyFill="1" applyBorder="1" applyProtection="1">
      <protection hidden="1"/>
    </xf>
    <xf numFmtId="0" fontId="0" fillId="19" borderId="12" xfId="0" applyFill="1" applyBorder="1" applyProtection="1">
      <protection hidden="1"/>
    </xf>
    <xf numFmtId="44" fontId="27" fillId="19" borderId="18" xfId="2" applyFont="1" applyFill="1" applyBorder="1" applyProtection="1">
      <protection hidden="1"/>
    </xf>
    <xf numFmtId="44" fontId="40" fillId="14" borderId="14" xfId="2" applyFont="1" applyFill="1" applyBorder="1" applyProtection="1">
      <protection hidden="1"/>
    </xf>
    <xf numFmtId="44" fontId="27" fillId="14" borderId="14" xfId="2" applyFont="1" applyFill="1" applyBorder="1" applyProtection="1">
      <protection hidden="1"/>
    </xf>
    <xf numFmtId="44" fontId="40" fillId="14" borderId="68" xfId="2" applyFont="1" applyFill="1" applyBorder="1" applyProtection="1">
      <protection hidden="1"/>
    </xf>
    <xf numFmtId="44" fontId="104" fillId="16" borderId="51" xfId="2" applyFont="1" applyFill="1" applyBorder="1" applyProtection="1">
      <protection hidden="1"/>
    </xf>
    <xf numFmtId="44" fontId="40" fillId="16" borderId="20" xfId="2" applyFont="1" applyFill="1" applyBorder="1" applyProtection="1">
      <protection hidden="1"/>
    </xf>
    <xf numFmtId="44" fontId="40" fillId="16" borderId="14" xfId="2" applyFont="1" applyFill="1" applyBorder="1" applyProtection="1">
      <protection hidden="1"/>
    </xf>
    <xf numFmtId="44" fontId="40" fillId="16" borderId="59" xfId="2" applyFont="1" applyFill="1" applyBorder="1" applyProtection="1">
      <protection hidden="1"/>
    </xf>
    <xf numFmtId="44" fontId="40" fillId="16" borderId="78" xfId="2" applyFont="1" applyFill="1" applyBorder="1" applyProtection="1">
      <protection hidden="1"/>
    </xf>
    <xf numFmtId="44" fontId="40" fillId="16" borderId="21" xfId="2" applyFont="1" applyFill="1" applyBorder="1" applyProtection="1">
      <protection hidden="1"/>
    </xf>
    <xf numFmtId="44" fontId="53" fillId="16" borderId="48" xfId="2" applyFont="1" applyFill="1" applyBorder="1" applyProtection="1">
      <protection hidden="1"/>
    </xf>
    <xf numFmtId="10" fontId="58" fillId="6" borderId="7" xfId="0" applyNumberFormat="1" applyFont="1" applyFill="1" applyBorder="1" applyProtection="1">
      <protection hidden="1"/>
    </xf>
    <xf numFmtId="44" fontId="104" fillId="16" borderId="54" xfId="2" applyFont="1" applyFill="1" applyBorder="1" applyProtection="1">
      <protection hidden="1"/>
    </xf>
    <xf numFmtId="0" fontId="50" fillId="2" borderId="0" xfId="0" applyFont="1" applyFill="1" applyAlignment="1" applyProtection="1">
      <alignment horizontal="center" vertical="center" wrapText="1"/>
      <protection hidden="1"/>
    </xf>
    <xf numFmtId="0" fontId="53" fillId="2" borderId="0" xfId="0" applyFont="1" applyFill="1" applyProtection="1">
      <protection hidden="1"/>
    </xf>
    <xf numFmtId="14" fontId="52" fillId="2" borderId="0" xfId="0" applyNumberFormat="1" applyFont="1" applyFill="1" applyAlignment="1" applyProtection="1">
      <alignment vertical="center" wrapText="1"/>
      <protection hidden="1"/>
    </xf>
    <xf numFmtId="0" fontId="52" fillId="2" borderId="0" xfId="0" applyFont="1" applyFill="1" applyAlignment="1" applyProtection="1">
      <alignment horizontal="left"/>
      <protection hidden="1"/>
    </xf>
    <xf numFmtId="0" fontId="40" fillId="6" borderId="0" xfId="0" applyFont="1" applyFill="1" applyAlignment="1" applyProtection="1">
      <alignment horizontal="left"/>
      <protection hidden="1"/>
    </xf>
    <xf numFmtId="0" fontId="54" fillId="0" borderId="0" xfId="0" applyFont="1" applyAlignment="1" applyProtection="1">
      <alignment horizontal="center" vertical="center"/>
      <protection hidden="1"/>
    </xf>
    <xf numFmtId="0" fontId="53" fillId="0" borderId="0" xfId="0" applyFont="1" applyAlignment="1" applyProtection="1">
      <alignment horizontal="center" vertical="center"/>
      <protection hidden="1"/>
    </xf>
    <xf numFmtId="0" fontId="19" fillId="0" borderId="0" xfId="0" applyFont="1" applyProtection="1">
      <protection hidden="1"/>
    </xf>
    <xf numFmtId="0" fontId="19" fillId="6" borderId="0" xfId="0" applyFont="1" applyFill="1" applyProtection="1">
      <protection hidden="1"/>
    </xf>
    <xf numFmtId="44" fontId="59" fillId="6" borderId="14" xfId="0" applyNumberFormat="1" applyFont="1" applyFill="1" applyBorder="1" applyAlignment="1" applyProtection="1">
      <alignment horizontal="right"/>
      <protection hidden="1"/>
    </xf>
    <xf numFmtId="0" fontId="49" fillId="2" borderId="5" xfId="0" applyFont="1" applyFill="1" applyBorder="1" applyAlignment="1" applyProtection="1">
      <alignment wrapText="1"/>
      <protection hidden="1"/>
    </xf>
    <xf numFmtId="0" fontId="126" fillId="0" borderId="0" xfId="0" applyFont="1" applyProtection="1">
      <protection hidden="1"/>
    </xf>
    <xf numFmtId="0" fontId="59" fillId="6" borderId="0" xfId="0" applyFont="1" applyFill="1" applyAlignment="1" applyProtection="1">
      <alignment horizontal="left"/>
      <protection hidden="1"/>
    </xf>
    <xf numFmtId="0" fontId="0" fillId="6" borderId="4" xfId="0" applyFill="1" applyBorder="1" applyAlignment="1" applyProtection="1">
      <alignment horizontal="left" vertical="top"/>
      <protection hidden="1"/>
    </xf>
    <xf numFmtId="0" fontId="40" fillId="6" borderId="0" xfId="0" applyFont="1" applyFill="1" applyAlignment="1" applyProtection="1">
      <alignment horizontal="left" vertical="top"/>
      <protection hidden="1"/>
    </xf>
    <xf numFmtId="0" fontId="0" fillId="6" borderId="0" xfId="0" applyFill="1" applyAlignment="1" applyProtection="1">
      <alignment horizontal="left" vertical="top"/>
      <protection hidden="1"/>
    </xf>
    <xf numFmtId="0" fontId="0" fillId="0" borderId="5" xfId="0" applyBorder="1" applyAlignment="1" applyProtection="1">
      <alignment horizontal="left" vertical="top"/>
      <protection hidden="1"/>
    </xf>
    <xf numFmtId="0" fontId="0" fillId="0" borderId="0" xfId="0" applyAlignment="1" applyProtection="1">
      <alignment horizontal="left" vertical="top"/>
      <protection hidden="1"/>
    </xf>
    <xf numFmtId="0" fontId="19" fillId="0" borderId="12" xfId="0" applyFont="1" applyBorder="1" applyProtection="1">
      <protection hidden="1"/>
    </xf>
    <xf numFmtId="0" fontId="0" fillId="0" borderId="13" xfId="0" applyBorder="1" applyProtection="1">
      <protection hidden="1"/>
    </xf>
    <xf numFmtId="0" fontId="53" fillId="0" borderId="0" xfId="0" applyFont="1" applyAlignment="1" applyProtection="1">
      <alignment horizontal="left" vertical="top"/>
      <protection hidden="1"/>
    </xf>
    <xf numFmtId="14" fontId="53" fillId="6" borderId="0" xfId="0" applyNumberFormat="1" applyFont="1" applyFill="1" applyAlignment="1" applyProtection="1">
      <alignment vertical="center"/>
      <protection hidden="1"/>
    </xf>
    <xf numFmtId="1" fontId="19" fillId="6" borderId="14" xfId="0" applyNumberFormat="1" applyFont="1" applyFill="1" applyBorder="1" applyAlignment="1" applyProtection="1">
      <alignment horizontal="center" vertical="center"/>
      <protection hidden="1"/>
    </xf>
    <xf numFmtId="189" fontId="59" fillId="6" borderId="14" xfId="0" applyNumberFormat="1" applyFont="1" applyFill="1" applyBorder="1" applyAlignment="1" applyProtection="1">
      <alignment horizontal="center" vertical="center"/>
      <protection hidden="1"/>
    </xf>
    <xf numFmtId="0" fontId="40" fillId="6" borderId="0" xfId="0" applyFont="1" applyFill="1" applyAlignment="1" applyProtection="1">
      <alignment horizontal="center" vertical="center"/>
      <protection hidden="1"/>
    </xf>
    <xf numFmtId="189" fontId="40" fillId="6" borderId="14" xfId="0" applyNumberFormat="1" applyFont="1" applyFill="1" applyBorder="1" applyAlignment="1" applyProtection="1">
      <alignment horizontal="center" vertical="center"/>
      <protection hidden="1"/>
    </xf>
    <xf numFmtId="0" fontId="59" fillId="6" borderId="14" xfId="0" applyFont="1" applyFill="1" applyBorder="1" applyAlignment="1" applyProtection="1">
      <alignment horizontal="center" vertical="center"/>
      <protection hidden="1"/>
    </xf>
    <xf numFmtId="0" fontId="59" fillId="6" borderId="0" xfId="0" applyFont="1" applyFill="1" applyAlignment="1" applyProtection="1">
      <alignment horizontal="center" vertical="center"/>
      <protection hidden="1"/>
    </xf>
    <xf numFmtId="2" fontId="59" fillId="7" borderId="7" xfId="0" applyNumberFormat="1" applyFont="1" applyFill="1" applyBorder="1" applyAlignment="1" applyProtection="1">
      <alignment horizontal="right"/>
      <protection hidden="1"/>
    </xf>
    <xf numFmtId="0" fontId="59" fillId="2" borderId="6" xfId="0" applyFont="1" applyFill="1" applyBorder="1" applyAlignment="1" applyProtection="1">
      <alignment horizontal="left"/>
      <protection hidden="1"/>
    </xf>
    <xf numFmtId="14" fontId="127" fillId="0" borderId="0" xfId="0" applyNumberFormat="1" applyFont="1" applyAlignment="1" applyProtection="1">
      <alignment horizontal="left"/>
      <protection hidden="1"/>
    </xf>
    <xf numFmtId="0" fontId="19" fillId="6" borderId="2" xfId="0" applyFont="1" applyFill="1" applyBorder="1" applyProtection="1">
      <protection hidden="1"/>
    </xf>
    <xf numFmtId="0" fontId="51" fillId="6" borderId="0" xfId="0" applyFont="1" applyFill="1" applyAlignment="1" applyProtection="1">
      <alignment vertical="top"/>
      <protection hidden="1"/>
    </xf>
    <xf numFmtId="0" fontId="18" fillId="0" borderId="0" xfId="0" applyFont="1" applyProtection="1">
      <protection hidden="1"/>
    </xf>
    <xf numFmtId="44" fontId="18" fillId="6" borderId="14" xfId="0" applyNumberFormat="1" applyFont="1" applyFill="1" applyBorder="1" applyProtection="1">
      <protection hidden="1"/>
    </xf>
    <xf numFmtId="0" fontId="0" fillId="0" borderId="0" xfId="0" applyAlignment="1" applyProtection="1">
      <alignment horizontal="center" vertical="center" wrapText="1"/>
      <protection hidden="1"/>
    </xf>
    <xf numFmtId="0" fontId="0" fillId="6" borderId="0" xfId="0" applyFill="1" applyAlignment="1" applyProtection="1">
      <alignment vertical="center"/>
      <protection hidden="1"/>
    </xf>
    <xf numFmtId="0" fontId="49" fillId="29" borderId="0" xfId="0" applyFont="1" applyFill="1" applyProtection="1">
      <protection hidden="1"/>
    </xf>
    <xf numFmtId="0" fontId="0" fillId="16" borderId="14" xfId="0" applyFill="1" applyBorder="1"/>
    <xf numFmtId="0" fontId="61" fillId="0" borderId="0" xfId="1" quotePrefix="1" applyAlignment="1" applyProtection="1"/>
    <xf numFmtId="0" fontId="61" fillId="0" borderId="0" xfId="1" applyFill="1" applyBorder="1" applyAlignment="1" applyProtection="1">
      <alignment horizontal="center" wrapText="1"/>
    </xf>
    <xf numFmtId="0" fontId="61" fillId="0" borderId="0" xfId="1" applyFill="1" applyBorder="1" applyAlignment="1" applyProtection="1"/>
    <xf numFmtId="0" fontId="58" fillId="29" borderId="0" xfId="0" applyFont="1" applyFill="1" applyAlignment="1" applyProtection="1">
      <alignment horizontal="left" vertical="top"/>
      <protection hidden="1"/>
    </xf>
    <xf numFmtId="0" fontId="50" fillId="2" borderId="4" xfId="0" applyFont="1" applyFill="1" applyBorder="1" applyAlignment="1">
      <alignment horizontal="center"/>
    </xf>
    <xf numFmtId="191" fontId="59" fillId="2" borderId="3" xfId="0" applyNumberFormat="1" applyFont="1" applyFill="1" applyBorder="1" applyAlignment="1" applyProtection="1">
      <alignment horizontal="left"/>
      <protection hidden="1"/>
    </xf>
    <xf numFmtId="191" fontId="52" fillId="2" borderId="7" xfId="0" applyNumberFormat="1" applyFont="1" applyFill="1" applyBorder="1" applyProtection="1">
      <protection hidden="1"/>
    </xf>
    <xf numFmtId="14" fontId="53" fillId="7" borderId="14" xfId="0" applyNumberFormat="1" applyFont="1" applyFill="1" applyBorder="1" applyAlignment="1" applyProtection="1">
      <alignment horizontal="center" vertical="center"/>
      <protection hidden="1"/>
    </xf>
    <xf numFmtId="191" fontId="15" fillId="2" borderId="5" xfId="0" applyNumberFormat="1" applyFont="1" applyFill="1" applyBorder="1"/>
    <xf numFmtId="178" fontId="59" fillId="2" borderId="2" xfId="0" applyNumberFormat="1" applyFont="1" applyFill="1" applyBorder="1" applyAlignment="1" applyProtection="1">
      <alignment horizontal="left"/>
      <protection hidden="1"/>
    </xf>
    <xf numFmtId="0" fontId="59" fillId="2" borderId="7" xfId="0" applyFont="1" applyFill="1" applyBorder="1" applyAlignment="1" applyProtection="1">
      <alignment horizontal="left"/>
      <protection hidden="1"/>
    </xf>
    <xf numFmtId="0" fontId="97" fillId="0" borderId="0" xfId="0" applyFont="1" applyProtection="1">
      <protection hidden="1"/>
    </xf>
    <xf numFmtId="0" fontId="19" fillId="0" borderId="0" xfId="0" applyFont="1" applyAlignment="1" applyProtection="1">
      <alignment horizontal="center"/>
      <protection hidden="1"/>
    </xf>
    <xf numFmtId="0" fontId="59" fillId="0" borderId="0" xfId="0" applyFont="1" applyAlignment="1" applyProtection="1">
      <alignment horizontal="left" vertical="top"/>
      <protection hidden="1"/>
    </xf>
    <xf numFmtId="0" fontId="58" fillId="0" borderId="0" xfId="0" applyFont="1" applyAlignment="1" applyProtection="1">
      <alignment horizontal="left" vertical="top"/>
      <protection hidden="1"/>
    </xf>
    <xf numFmtId="0" fontId="39" fillId="0" borderId="0" xfId="0" applyFont="1" applyAlignment="1" applyProtection="1">
      <alignment horizontal="left" vertical="top"/>
      <protection hidden="1"/>
    </xf>
    <xf numFmtId="0" fontId="59" fillId="0" borderId="0" xfId="0" applyFont="1" applyProtection="1">
      <protection hidden="1"/>
    </xf>
    <xf numFmtId="0" fontId="17" fillId="0" borderId="0" xfId="0" applyFont="1" applyProtection="1">
      <protection hidden="1"/>
    </xf>
    <xf numFmtId="0" fontId="49" fillId="29" borderId="0" xfId="0" applyFont="1" applyFill="1"/>
    <xf numFmtId="0" fontId="14" fillId="15" borderId="14" xfId="0" applyFont="1" applyFill="1" applyBorder="1" applyAlignment="1" applyProtection="1">
      <alignment horizontal="center"/>
      <protection locked="0"/>
    </xf>
    <xf numFmtId="0" fontId="0" fillId="8" borderId="0" xfId="0" applyFill="1" applyAlignment="1">
      <alignment horizontal="left" wrapText="1"/>
    </xf>
    <xf numFmtId="0" fontId="56" fillId="0" borderId="0" xfId="0" applyFont="1" applyProtection="1">
      <protection hidden="1"/>
    </xf>
    <xf numFmtId="0" fontId="0" fillId="0" borderId="7" xfId="0" applyBorder="1" applyAlignment="1">
      <alignment horizontal="right"/>
    </xf>
    <xf numFmtId="2" fontId="52" fillId="8" borderId="7" xfId="0" applyNumberFormat="1" applyFont="1" applyFill="1" applyBorder="1"/>
    <xf numFmtId="14" fontId="97" fillId="0" borderId="0" xfId="0" applyNumberFormat="1" applyFont="1"/>
    <xf numFmtId="3" fontId="0" fillId="15" borderId="14" xfId="0" applyNumberFormat="1" applyFill="1" applyBorder="1" applyProtection="1">
      <protection locked="0"/>
    </xf>
    <xf numFmtId="0" fontId="51" fillId="8" borderId="0" xfId="0" applyFont="1" applyFill="1"/>
    <xf numFmtId="0" fontId="0" fillId="8" borderId="0" xfId="0" applyFill="1" applyAlignment="1">
      <alignment horizontal="center"/>
    </xf>
    <xf numFmtId="0" fontId="52" fillId="8" borderId="0" xfId="0" applyFont="1" applyFill="1" applyAlignment="1">
      <alignment horizontal="center" vertical="center"/>
    </xf>
    <xf numFmtId="0" fontId="0" fillId="8" borderId="0" xfId="0" applyFill="1" applyAlignment="1">
      <alignment horizontal="center" vertical="center" wrapText="1"/>
    </xf>
    <xf numFmtId="0" fontId="0" fillId="8" borderId="0" xfId="0" applyFill="1" applyAlignment="1">
      <alignment horizontal="center" vertical="center"/>
    </xf>
    <xf numFmtId="189" fontId="0" fillId="8" borderId="0" xfId="0" applyNumberFormat="1" applyFill="1"/>
    <xf numFmtId="0" fontId="50" fillId="2" borderId="37" xfId="0" applyFont="1" applyFill="1" applyBorder="1" applyAlignment="1">
      <alignment horizontal="center"/>
    </xf>
    <xf numFmtId="0" fontId="53" fillId="0" borderId="51" xfId="0" applyFont="1" applyBorder="1" applyAlignment="1">
      <alignment horizontal="center"/>
    </xf>
    <xf numFmtId="44" fontId="53" fillId="14" borderId="54" xfId="2" applyFont="1" applyFill="1" applyBorder="1" applyAlignment="1" applyProtection="1">
      <alignment horizontal="center"/>
    </xf>
    <xf numFmtId="0" fontId="13" fillId="0" borderId="0" xfId="0" applyFont="1" applyProtection="1">
      <protection hidden="1"/>
    </xf>
    <xf numFmtId="44" fontId="18" fillId="6" borderId="0" xfId="0" applyNumberFormat="1" applyFont="1" applyFill="1" applyProtection="1">
      <protection hidden="1"/>
    </xf>
    <xf numFmtId="44" fontId="19" fillId="0" borderId="14" xfId="2"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12" fillId="0" borderId="0" xfId="0" applyFont="1" applyProtection="1">
      <protection hidden="1"/>
    </xf>
    <xf numFmtId="0" fontId="19" fillId="6" borderId="0" xfId="0" applyFont="1" applyFill="1" applyAlignment="1" applyProtection="1">
      <alignment horizontal="left"/>
      <protection hidden="1"/>
    </xf>
    <xf numFmtId="2" fontId="59" fillId="0" borderId="0" xfId="0" applyNumberFormat="1" applyFont="1" applyAlignment="1" applyProtection="1">
      <alignment horizontal="right"/>
      <protection hidden="1"/>
    </xf>
    <xf numFmtId="0" fontId="0" fillId="0" borderId="14" xfId="0" applyBorder="1" applyAlignment="1" applyProtection="1">
      <alignment horizontal="center" vertical="center" wrapText="1"/>
      <protection hidden="1"/>
    </xf>
    <xf numFmtId="1" fontId="19" fillId="6" borderId="0" xfId="0" applyNumberFormat="1" applyFont="1" applyFill="1" applyAlignment="1" applyProtection="1">
      <alignment horizontal="center" vertical="center"/>
      <protection hidden="1"/>
    </xf>
    <xf numFmtId="172" fontId="0" fillId="0" borderId="0" xfId="0" applyNumberFormat="1" applyAlignment="1">
      <alignment horizontal="center"/>
    </xf>
    <xf numFmtId="10" fontId="69" fillId="6" borderId="0" xfId="0" applyNumberFormat="1" applyFont="1" applyFill="1" applyAlignment="1">
      <alignment horizontal="left" wrapText="1"/>
    </xf>
    <xf numFmtId="172" fontId="0" fillId="6" borderId="0" xfId="0" applyNumberFormat="1" applyFill="1" applyAlignment="1">
      <alignment horizontal="center"/>
    </xf>
    <xf numFmtId="10" fontId="116" fillId="0" borderId="5" xfId="0" applyNumberFormat="1" applyFont="1" applyBorder="1" applyAlignment="1">
      <alignment horizontal="center"/>
    </xf>
    <xf numFmtId="0" fontId="50" fillId="2" borderId="13" xfId="0" applyFont="1" applyFill="1" applyBorder="1" applyAlignment="1">
      <alignment vertical="center"/>
    </xf>
    <xf numFmtId="0" fontId="0" fillId="2" borderId="76" xfId="0" applyFill="1" applyBorder="1" applyAlignment="1">
      <alignment horizontal="center" vertical="center"/>
    </xf>
    <xf numFmtId="176" fontId="0" fillId="0" borderId="12" xfId="0" applyNumberFormat="1" applyBorder="1" applyAlignment="1">
      <alignment horizontal="right"/>
    </xf>
    <xf numFmtId="0" fontId="0" fillId="0" borderId="12" xfId="0" applyBorder="1" applyAlignment="1">
      <alignment horizontal="right"/>
    </xf>
    <xf numFmtId="0" fontId="62" fillId="0" borderId="0" xfId="0" applyFont="1" applyProtection="1">
      <protection hidden="1"/>
    </xf>
    <xf numFmtId="0" fontId="0" fillId="0" borderId="4" xfId="0" applyBorder="1" applyProtection="1">
      <protection locked="0"/>
    </xf>
    <xf numFmtId="0" fontId="12" fillId="0" borderId="0" xfId="0" applyFont="1" applyAlignment="1" applyProtection="1">
      <alignment horizontal="left"/>
      <protection hidden="1"/>
    </xf>
    <xf numFmtId="0" fontId="12" fillId="0" borderId="0" xfId="0" applyFont="1" applyAlignment="1" applyProtection="1">
      <alignment horizontal="center"/>
      <protection hidden="1"/>
    </xf>
    <xf numFmtId="0" fontId="12"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3" fontId="54" fillId="7" borderId="14" xfId="0" applyNumberFormat="1" applyFont="1" applyFill="1" applyBorder="1" applyAlignment="1" applyProtection="1">
      <alignment horizontal="center" vertical="center"/>
      <protection hidden="1"/>
    </xf>
    <xf numFmtId="0" fontId="12" fillId="8" borderId="0" xfId="0" applyFont="1" applyFill="1" applyAlignment="1" applyProtection="1">
      <alignment vertical="center"/>
      <protection hidden="1"/>
    </xf>
    <xf numFmtId="0" fontId="0" fillId="8" borderId="0" xfId="0" applyFill="1" applyAlignment="1" applyProtection="1">
      <alignment vertical="center"/>
      <protection hidden="1"/>
    </xf>
    <xf numFmtId="0" fontId="53" fillId="7" borderId="14" xfId="0" applyFont="1" applyFill="1" applyBorder="1" applyAlignment="1" applyProtection="1">
      <alignment horizontal="center" vertical="center"/>
      <protection hidden="1"/>
    </xf>
    <xf numFmtId="167" fontId="53" fillId="7" borderId="14" xfId="0" applyNumberFormat="1" applyFont="1" applyFill="1" applyBorder="1" applyAlignment="1" applyProtection="1">
      <alignment horizontal="center" vertical="center"/>
      <protection hidden="1"/>
    </xf>
    <xf numFmtId="4" fontId="53" fillId="7" borderId="14" xfId="0" applyNumberFormat="1" applyFont="1" applyFill="1" applyBorder="1" applyAlignment="1" applyProtection="1">
      <alignment horizontal="center" vertical="center"/>
      <protection hidden="1"/>
    </xf>
    <xf numFmtId="0" fontId="54" fillId="8" borderId="0" xfId="0" applyFont="1" applyFill="1" applyAlignment="1" applyProtection="1">
      <alignment horizontal="right" vertical="center"/>
      <protection hidden="1"/>
    </xf>
    <xf numFmtId="0" fontId="0" fillId="8" borderId="0" xfId="0" applyFill="1" applyAlignment="1" applyProtection="1">
      <alignment horizontal="right" vertical="center"/>
      <protection hidden="1"/>
    </xf>
    <xf numFmtId="0" fontId="58" fillId="8" borderId="0" xfId="0" applyFont="1" applyFill="1" applyAlignment="1" applyProtection="1">
      <alignment horizontal="right" vertical="center"/>
      <protection hidden="1"/>
    </xf>
    <xf numFmtId="0" fontId="12" fillId="8" borderId="0" xfId="0" applyFont="1" applyFill="1" applyAlignment="1" applyProtection="1">
      <alignment horizontal="right"/>
      <protection hidden="1"/>
    </xf>
    <xf numFmtId="0" fontId="54" fillId="0" borderId="0" xfId="0" applyFont="1" applyAlignment="1" applyProtection="1">
      <alignment horizontal="right" vertical="center"/>
      <protection hidden="1"/>
    </xf>
    <xf numFmtId="0" fontId="58" fillId="0" borderId="0" xfId="0" applyFont="1" applyAlignment="1" applyProtection="1">
      <alignment horizontal="right" vertical="center"/>
      <protection hidden="1"/>
    </xf>
    <xf numFmtId="0" fontId="12" fillId="8" borderId="0" xfId="0" applyFont="1" applyFill="1" applyProtection="1">
      <protection hidden="1"/>
    </xf>
    <xf numFmtId="0" fontId="59" fillId="0" borderId="0" xfId="0" applyFont="1" applyAlignment="1" applyProtection="1">
      <alignment horizontal="right" vertical="center"/>
      <protection hidden="1"/>
    </xf>
    <xf numFmtId="0" fontId="12" fillId="0" borderId="0" xfId="0" applyFont="1" applyAlignment="1" applyProtection="1">
      <alignment horizontal="right"/>
      <protection hidden="1"/>
    </xf>
    <xf numFmtId="0" fontId="12" fillId="2" borderId="12" xfId="0" applyFont="1" applyFill="1" applyBorder="1" applyAlignment="1" applyProtection="1">
      <alignment horizontal="center" wrapText="1"/>
      <protection hidden="1"/>
    </xf>
    <xf numFmtId="0" fontId="12" fillId="2" borderId="14" xfId="0" applyFont="1" applyFill="1" applyBorder="1" applyAlignment="1" applyProtection="1">
      <alignment horizontal="center" vertical="center" wrapText="1"/>
      <protection hidden="1"/>
    </xf>
    <xf numFmtId="0" fontId="12" fillId="2" borderId="13" xfId="0" applyFont="1" applyFill="1" applyBorder="1" applyAlignment="1" applyProtection="1">
      <alignment horizontal="center" vertical="center" wrapText="1"/>
      <protection hidden="1"/>
    </xf>
    <xf numFmtId="0" fontId="12" fillId="2" borderId="12" xfId="0" applyFont="1" applyFill="1" applyBorder="1" applyAlignment="1" applyProtection="1">
      <alignment horizontal="center" vertical="center" wrapText="1"/>
      <protection hidden="1"/>
    </xf>
    <xf numFmtId="0" fontId="12" fillId="2" borderId="13" xfId="0" applyFont="1" applyFill="1" applyBorder="1" applyAlignment="1" applyProtection="1">
      <alignment horizontal="right"/>
      <protection hidden="1"/>
    </xf>
    <xf numFmtId="0" fontId="12" fillId="8" borderId="18" xfId="0" applyFont="1" applyFill="1" applyBorder="1" applyAlignment="1" applyProtection="1">
      <alignment horizontal="right"/>
      <protection hidden="1"/>
    </xf>
    <xf numFmtId="0" fontId="12" fillId="2" borderId="12" xfId="0" applyFont="1" applyFill="1" applyBorder="1" applyAlignment="1" applyProtection="1">
      <alignment horizontal="right"/>
      <protection hidden="1"/>
    </xf>
    <xf numFmtId="0" fontId="12" fillId="2" borderId="13" xfId="0" applyFont="1" applyFill="1" applyBorder="1" applyAlignment="1" applyProtection="1">
      <alignment horizontal="center"/>
      <protection hidden="1"/>
    </xf>
    <xf numFmtId="0" fontId="12" fillId="2" borderId="18" xfId="0" applyFont="1" applyFill="1" applyBorder="1" applyAlignment="1" applyProtection="1">
      <alignment horizontal="center"/>
      <protection hidden="1"/>
    </xf>
    <xf numFmtId="0" fontId="12" fillId="2" borderId="14" xfId="0" applyFont="1" applyFill="1" applyBorder="1" applyAlignment="1" applyProtection="1">
      <alignment horizontal="center"/>
      <protection hidden="1"/>
    </xf>
    <xf numFmtId="0" fontId="12" fillId="2" borderId="12" xfId="0" applyFont="1" applyFill="1" applyBorder="1" applyAlignment="1" applyProtection="1">
      <alignment horizontal="right" vertical="center"/>
      <protection hidden="1"/>
    </xf>
    <xf numFmtId="166" fontId="53" fillId="7" borderId="18" xfId="0" applyNumberFormat="1" applyFont="1" applyFill="1" applyBorder="1" applyProtection="1">
      <protection hidden="1"/>
    </xf>
    <xf numFmtId="166" fontId="63" fillId="7" borderId="18" xfId="0" applyNumberFormat="1" applyFont="1" applyFill="1" applyBorder="1" applyProtection="1">
      <protection hidden="1"/>
    </xf>
    <xf numFmtId="166" fontId="54" fillId="7" borderId="12" xfId="0" applyNumberFormat="1" applyFont="1" applyFill="1" applyBorder="1" applyProtection="1">
      <protection hidden="1"/>
    </xf>
    <xf numFmtId="166" fontId="53" fillId="0" borderId="3" xfId="0" applyNumberFormat="1" applyFont="1" applyBorder="1" applyProtection="1">
      <protection hidden="1"/>
    </xf>
    <xf numFmtId="166" fontId="53" fillId="0" borderId="0" xfId="0" applyNumberFormat="1" applyFont="1" applyProtection="1">
      <protection hidden="1"/>
    </xf>
    <xf numFmtId="166" fontId="53" fillId="0" borderId="0" xfId="0" applyNumberFormat="1" applyFont="1" applyAlignment="1" applyProtection="1">
      <alignment horizontal="right" vertical="center"/>
      <protection hidden="1"/>
    </xf>
    <xf numFmtId="166" fontId="0" fillId="0" borderId="0" xfId="0" applyNumberFormat="1" applyAlignment="1" applyProtection="1">
      <alignment horizontal="right" vertical="center"/>
      <protection hidden="1"/>
    </xf>
    <xf numFmtId="0" fontId="12" fillId="0" borderId="18" xfId="0" applyFont="1" applyBorder="1" applyProtection="1">
      <protection hidden="1"/>
    </xf>
    <xf numFmtId="16" fontId="12" fillId="0" borderId="18" xfId="0" quotePrefix="1" applyNumberFormat="1" applyFont="1" applyBorder="1" applyAlignment="1" applyProtection="1">
      <alignment horizontal="left"/>
      <protection hidden="1"/>
    </xf>
    <xf numFmtId="166" fontId="59" fillId="0" borderId="13" xfId="0" applyNumberFormat="1" applyFont="1" applyBorder="1" applyAlignment="1" applyProtection="1">
      <alignment horizontal="right"/>
      <protection hidden="1"/>
    </xf>
    <xf numFmtId="166" fontId="12" fillId="0" borderId="18" xfId="0" applyNumberFormat="1" applyFont="1" applyBorder="1" applyProtection="1">
      <protection hidden="1"/>
    </xf>
    <xf numFmtId="166" fontId="63" fillId="0" borderId="18" xfId="0" applyNumberFormat="1" applyFont="1" applyBorder="1" applyProtection="1">
      <protection hidden="1"/>
    </xf>
    <xf numFmtId="166" fontId="12" fillId="0" borderId="12" xfId="0" applyNumberFormat="1" applyFont="1" applyBorder="1" applyProtection="1">
      <protection hidden="1"/>
    </xf>
    <xf numFmtId="166" fontId="12" fillId="0" borderId="14" xfId="0" applyNumberFormat="1" applyFont="1" applyBorder="1" applyProtection="1">
      <protection hidden="1"/>
    </xf>
    <xf numFmtId="166" fontId="12" fillId="0" borderId="1" xfId="0" applyNumberFormat="1" applyFont="1" applyBorder="1" applyProtection="1">
      <protection hidden="1"/>
    </xf>
    <xf numFmtId="166" fontId="12" fillId="0" borderId="0" xfId="0" applyNumberFormat="1" applyFont="1" applyProtection="1">
      <protection hidden="1"/>
    </xf>
    <xf numFmtId="166" fontId="12" fillId="0" borderId="2" xfId="0" applyNumberFormat="1" applyFont="1" applyBorder="1" applyProtection="1">
      <protection hidden="1"/>
    </xf>
    <xf numFmtId="166" fontId="12" fillId="0" borderId="0" xfId="0" quotePrefix="1" applyNumberFormat="1" applyFont="1" applyAlignment="1" applyProtection="1">
      <alignment horizontal="right" vertical="center"/>
      <protection hidden="1"/>
    </xf>
    <xf numFmtId="166" fontId="12" fillId="0" borderId="4" xfId="0" applyNumberFormat="1" applyFont="1" applyBorder="1" applyProtection="1">
      <protection hidden="1"/>
    </xf>
    <xf numFmtId="166" fontId="12" fillId="0" borderId="7" xfId="0" applyNumberFormat="1" applyFont="1" applyBorder="1" applyProtection="1">
      <protection hidden="1"/>
    </xf>
    <xf numFmtId="166" fontId="12" fillId="0" borderId="5" xfId="0" applyNumberFormat="1" applyFont="1" applyBorder="1" applyProtection="1">
      <protection hidden="1"/>
    </xf>
    <xf numFmtId="166" fontId="12" fillId="0" borderId="7" xfId="0" quotePrefix="1" applyNumberFormat="1" applyFont="1" applyBorder="1" applyAlignment="1" applyProtection="1">
      <alignment horizontal="right" vertical="center"/>
      <protection hidden="1"/>
    </xf>
    <xf numFmtId="166" fontId="12" fillId="0" borderId="14" xfId="0" applyNumberFormat="1" applyFont="1" applyBorder="1" applyAlignment="1" applyProtection="1">
      <alignment horizontal="right" vertical="center"/>
      <protection hidden="1"/>
    </xf>
    <xf numFmtId="166" fontId="12" fillId="0" borderId="13" xfId="0" applyNumberFormat="1" applyFont="1" applyBorder="1" applyProtection="1">
      <protection hidden="1"/>
    </xf>
    <xf numFmtId="16" fontId="12" fillId="0" borderId="18" xfId="0" applyNumberFormat="1" applyFont="1" applyBorder="1" applyProtection="1">
      <protection hidden="1"/>
    </xf>
    <xf numFmtId="166" fontId="0" fillId="0" borderId="0" xfId="0" applyNumberFormat="1" applyAlignment="1" applyProtection="1">
      <alignment horizontal="left"/>
      <protection hidden="1"/>
    </xf>
    <xf numFmtId="166" fontId="12" fillId="0" borderId="0" xfId="0" applyNumberFormat="1" applyFont="1" applyAlignment="1" applyProtection="1">
      <alignment horizontal="right" vertical="center"/>
      <protection hidden="1"/>
    </xf>
    <xf numFmtId="0" fontId="53" fillId="7" borderId="18" xfId="0" applyFont="1" applyFill="1" applyBorder="1" applyProtection="1">
      <protection hidden="1"/>
    </xf>
    <xf numFmtId="166" fontId="54" fillId="7" borderId="14" xfId="0" applyNumberFormat="1" applyFont="1" applyFill="1" applyBorder="1" applyProtection="1">
      <protection hidden="1"/>
    </xf>
    <xf numFmtId="166" fontId="54" fillId="0" borderId="4" xfId="0" applyNumberFormat="1" applyFont="1" applyBorder="1" applyProtection="1">
      <protection hidden="1"/>
    </xf>
    <xf numFmtId="166" fontId="53" fillId="0" borderId="14" xfId="0" applyNumberFormat="1" applyFont="1" applyBorder="1" applyAlignment="1" applyProtection="1">
      <alignment horizontal="right" vertical="center"/>
      <protection hidden="1"/>
    </xf>
    <xf numFmtId="49" fontId="12" fillId="0" borderId="18" xfId="0" applyNumberFormat="1" applyFont="1" applyBorder="1" applyProtection="1">
      <protection hidden="1"/>
    </xf>
    <xf numFmtId="0" fontId="12" fillId="0" borderId="18" xfId="0" applyFont="1" applyBorder="1" applyAlignment="1" applyProtection="1">
      <alignment horizontal="left"/>
      <protection hidden="1"/>
    </xf>
    <xf numFmtId="166" fontId="12" fillId="0" borderId="12" xfId="0" quotePrefix="1" applyNumberFormat="1" applyFont="1" applyBorder="1" applyProtection="1">
      <protection hidden="1"/>
    </xf>
    <xf numFmtId="166" fontId="12" fillId="0" borderId="2" xfId="0" applyNumberFormat="1" applyFont="1" applyBorder="1" applyAlignment="1" applyProtection="1">
      <alignment horizontal="right" vertical="center"/>
      <protection hidden="1"/>
    </xf>
    <xf numFmtId="166" fontId="0" fillId="0" borderId="2" xfId="0" applyNumberFormat="1" applyBorder="1" applyAlignment="1" applyProtection="1">
      <alignment horizontal="right" vertical="center"/>
      <protection hidden="1"/>
    </xf>
    <xf numFmtId="166" fontId="12" fillId="0" borderId="18" xfId="0" applyNumberFormat="1" applyFont="1" applyBorder="1" applyAlignment="1" applyProtection="1">
      <alignment horizontal="right" vertical="center"/>
      <protection hidden="1"/>
    </xf>
    <xf numFmtId="0" fontId="54" fillId="7" borderId="18" xfId="0" applyFont="1" applyFill="1" applyBorder="1" applyProtection="1">
      <protection hidden="1"/>
    </xf>
    <xf numFmtId="16" fontId="12" fillId="0" borderId="18" xfId="0" quotePrefix="1" applyNumberFormat="1" applyFont="1" applyBorder="1" applyProtection="1">
      <protection hidden="1"/>
    </xf>
    <xf numFmtId="166" fontId="59" fillId="0" borderId="0" xfId="0" applyNumberFormat="1" applyFont="1" applyAlignment="1">
      <alignment horizontal="right" vertical="center" wrapText="1"/>
    </xf>
    <xf numFmtId="166" fontId="69" fillId="0" borderId="0" xfId="0" applyNumberFormat="1" applyFont="1" applyAlignment="1">
      <alignment horizontal="right" vertical="center" wrapText="1"/>
    </xf>
    <xf numFmtId="166" fontId="69" fillId="0" borderId="4" xfId="0" applyNumberFormat="1" applyFont="1" applyBorder="1" applyAlignment="1">
      <alignment horizontal="right" vertical="center" wrapText="1"/>
    </xf>
    <xf numFmtId="166" fontId="69" fillId="0" borderId="4" xfId="0" applyNumberFormat="1" applyFont="1" applyBorder="1" applyAlignment="1">
      <alignment horizontal="right" vertical="center"/>
    </xf>
    <xf numFmtId="166" fontId="69" fillId="0" borderId="0" xfId="0" applyNumberFormat="1" applyFont="1" applyAlignment="1">
      <alignment horizontal="right" vertical="center"/>
    </xf>
    <xf numFmtId="166" fontId="63" fillId="0" borderId="2" xfId="0" applyNumberFormat="1" applyFont="1" applyBorder="1" applyProtection="1">
      <protection hidden="1"/>
    </xf>
    <xf numFmtId="166" fontId="12" fillId="0" borderId="3" xfId="0" applyNumberFormat="1" applyFont="1" applyBorder="1" applyProtection="1">
      <protection hidden="1"/>
    </xf>
    <xf numFmtId="166" fontId="12" fillId="0" borderId="20" xfId="0" applyNumberFormat="1" applyFont="1" applyBorder="1" applyProtection="1">
      <protection hidden="1"/>
    </xf>
    <xf numFmtId="166" fontId="12" fillId="0" borderId="20" xfId="0" applyNumberFormat="1" applyFont="1" applyBorder="1" applyAlignment="1" applyProtection="1">
      <alignment horizontal="right" vertical="center"/>
      <protection hidden="1"/>
    </xf>
    <xf numFmtId="0" fontId="12" fillId="0" borderId="1" xfId="0" applyFont="1" applyBorder="1" applyProtection="1">
      <protection hidden="1"/>
    </xf>
    <xf numFmtId="0" fontId="12" fillId="0" borderId="2" xfId="0" applyFont="1" applyBorder="1" applyProtection="1">
      <protection hidden="1"/>
    </xf>
    <xf numFmtId="166" fontId="54" fillId="0" borderId="2" xfId="0" applyNumberFormat="1" applyFont="1" applyBorder="1" applyProtection="1">
      <protection hidden="1"/>
    </xf>
    <xf numFmtId="166" fontId="53" fillId="0" borderId="2" xfId="0" applyNumberFormat="1" applyFont="1" applyBorder="1" applyProtection="1">
      <protection hidden="1"/>
    </xf>
    <xf numFmtId="166" fontId="12" fillId="0" borderId="0" xfId="0" applyNumberFormat="1" applyFont="1" applyAlignment="1" applyProtection="1">
      <alignment horizontal="right" indent="1"/>
      <protection hidden="1"/>
    </xf>
    <xf numFmtId="0" fontId="12" fillId="0" borderId="5" xfId="0" applyFont="1" applyBorder="1" applyProtection="1">
      <protection hidden="1"/>
    </xf>
    <xf numFmtId="0" fontId="12" fillId="0" borderId="4" xfId="0" applyFont="1" applyBorder="1" applyProtection="1">
      <protection hidden="1"/>
    </xf>
    <xf numFmtId="0" fontId="58" fillId="0" borderId="0" xfId="0" applyFont="1" applyAlignment="1" applyProtection="1">
      <alignment horizontal="left"/>
      <protection hidden="1"/>
    </xf>
    <xf numFmtId="166" fontId="59" fillId="0" borderId="0" xfId="0" applyNumberFormat="1" applyFont="1" applyAlignment="1" applyProtection="1">
      <alignment horizontal="right"/>
      <protection hidden="1"/>
    </xf>
    <xf numFmtId="166" fontId="63" fillId="0" borderId="0" xfId="0" applyNumberFormat="1" applyFont="1" applyProtection="1">
      <protection hidden="1"/>
    </xf>
    <xf numFmtId="166" fontId="59" fillId="0" borderId="0" xfId="0" applyNumberFormat="1" applyFont="1" applyProtection="1">
      <protection hidden="1"/>
    </xf>
    <xf numFmtId="166" fontId="58" fillId="0" borderId="0" xfId="0" applyNumberFormat="1" applyFont="1" applyAlignment="1" applyProtection="1">
      <alignment horizontal="right" vertical="center"/>
      <protection hidden="1"/>
    </xf>
    <xf numFmtId="166" fontId="12" fillId="8" borderId="0" xfId="0" applyNumberFormat="1" applyFont="1" applyFill="1" applyProtection="1">
      <protection hidden="1"/>
    </xf>
    <xf numFmtId="166" fontId="63" fillId="8" borderId="0" xfId="0" applyNumberFormat="1" applyFont="1" applyFill="1" applyProtection="1">
      <protection hidden="1"/>
    </xf>
    <xf numFmtId="0" fontId="53" fillId="0" borderId="14" xfId="0" applyFont="1" applyBorder="1" applyAlignment="1" applyProtection="1">
      <alignment horizontal="center" vertical="center" wrapText="1"/>
      <protection hidden="1"/>
    </xf>
    <xf numFmtId="4" fontId="53" fillId="0" borderId="14" xfId="0" applyNumberFormat="1" applyFont="1" applyBorder="1" applyAlignment="1" applyProtection="1">
      <alignment horizontal="center" vertical="center"/>
      <protection hidden="1"/>
    </xf>
    <xf numFmtId="164" fontId="54" fillId="7" borderId="14" xfId="0" applyNumberFormat="1" applyFont="1" applyFill="1" applyBorder="1" applyAlignment="1" applyProtection="1">
      <alignment horizontal="right" indent="1"/>
      <protection hidden="1"/>
    </xf>
    <xf numFmtId="164" fontId="53" fillId="7" borderId="14" xfId="0" applyNumberFormat="1" applyFont="1" applyFill="1" applyBorder="1" applyAlignment="1" applyProtection="1">
      <alignment horizontal="right" indent="1"/>
      <protection hidden="1"/>
    </xf>
    <xf numFmtId="164" fontId="54" fillId="0" borderId="0" xfId="0" applyNumberFormat="1" applyFont="1" applyAlignment="1" applyProtection="1">
      <alignment horizontal="right" indent="1"/>
      <protection hidden="1"/>
    </xf>
    <xf numFmtId="0" fontId="53" fillId="0" borderId="0" xfId="0" applyFont="1" applyAlignment="1" applyProtection="1">
      <alignment horizontal="right" vertical="center"/>
      <protection hidden="1"/>
    </xf>
    <xf numFmtId="164" fontId="54" fillId="0" borderId="0" xfId="0" applyNumberFormat="1" applyFont="1" applyAlignment="1" applyProtection="1">
      <alignment horizontal="right" vertical="center"/>
      <protection hidden="1"/>
    </xf>
    <xf numFmtId="0" fontId="12" fillId="0" borderId="7" xfId="0" applyFont="1" applyBorder="1" applyProtection="1">
      <protection hidden="1"/>
    </xf>
    <xf numFmtId="0" fontId="53" fillId="0" borderId="7" xfId="0" applyFont="1" applyBorder="1" applyAlignment="1" applyProtection="1">
      <alignment horizontal="right" vertical="center"/>
      <protection hidden="1"/>
    </xf>
    <xf numFmtId="0" fontId="0" fillId="0" borderId="7" xfId="0" applyBorder="1" applyAlignment="1" applyProtection="1">
      <alignment horizontal="right" vertical="center"/>
      <protection hidden="1"/>
    </xf>
    <xf numFmtId="0" fontId="111" fillId="0" borderId="8" xfId="0" applyFont="1" applyBorder="1" applyProtection="1">
      <protection hidden="1"/>
    </xf>
    <xf numFmtId="0" fontId="126" fillId="0" borderId="0" xfId="1" applyFont="1" applyFill="1" applyBorder="1" applyAlignment="1" applyProtection="1">
      <protection hidden="1"/>
    </xf>
    <xf numFmtId="185" fontId="0" fillId="0" borderId="14" xfId="0" applyNumberFormat="1" applyBorder="1" applyAlignment="1">
      <alignment vertical="top" wrapText="1"/>
    </xf>
    <xf numFmtId="0" fontId="49" fillId="29" borderId="2" xfId="0" applyFont="1" applyFill="1" applyBorder="1"/>
    <xf numFmtId="0" fontId="0" fillId="6" borderId="13" xfId="0" applyFill="1" applyBorder="1"/>
    <xf numFmtId="0" fontId="0" fillId="2" borderId="31" xfId="0" applyFill="1" applyBorder="1" applyAlignment="1">
      <alignment horizontal="center" vertical="center"/>
    </xf>
    <xf numFmtId="0" fontId="11" fillId="0" borderId="14" xfId="0" applyFont="1" applyBorder="1" applyAlignment="1">
      <alignment horizontal="center"/>
    </xf>
    <xf numFmtId="0" fontId="11" fillId="0" borderId="14" xfId="0" applyFont="1" applyBorder="1" applyAlignment="1">
      <alignment horizontal="center" wrapText="1"/>
    </xf>
    <xf numFmtId="164" fontId="26" fillId="0" borderId="14" xfId="0" applyNumberFormat="1" applyFont="1" applyBorder="1"/>
    <xf numFmtId="0" fontId="11" fillId="0" borderId="14" xfId="0" applyFont="1" applyBorder="1"/>
    <xf numFmtId="172" fontId="11" fillId="0" borderId="14" xfId="0" applyNumberFormat="1" applyFont="1" applyBorder="1" applyAlignment="1" applyProtection="1">
      <alignment horizontal="center"/>
      <protection locked="0"/>
    </xf>
    <xf numFmtId="10" fontId="116" fillId="0" borderId="14" xfId="0" applyNumberFormat="1" applyFont="1" applyBorder="1" applyAlignment="1" applyProtection="1">
      <alignment horizontal="center"/>
      <protection locked="0"/>
    </xf>
    <xf numFmtId="10" fontId="52" fillId="0" borderId="14" xfId="3" applyNumberFormat="1" applyFont="1" applyFill="1" applyBorder="1"/>
    <xf numFmtId="174" fontId="0" fillId="0" borderId="12" xfId="0" applyNumberFormat="1" applyBorder="1"/>
    <xf numFmtId="190" fontId="0" fillId="0" borderId="68" xfId="0" applyNumberFormat="1" applyBorder="1" applyAlignment="1">
      <alignment horizontal="center"/>
    </xf>
    <xf numFmtId="10" fontId="116" fillId="0" borderId="13" xfId="0" applyNumberFormat="1" applyFont="1" applyBorder="1" applyAlignment="1" applyProtection="1">
      <alignment horizontal="center"/>
      <protection locked="0"/>
    </xf>
    <xf numFmtId="190" fontId="0" fillId="15" borderId="31" xfId="0" applyNumberFormat="1" applyFill="1" applyBorder="1" applyAlignment="1" applyProtection="1">
      <alignment horizontal="center"/>
      <protection locked="0"/>
    </xf>
    <xf numFmtId="172" fontId="0" fillId="15" borderId="14" xfId="0" applyNumberFormat="1" applyFill="1" applyBorder="1" applyAlignment="1" applyProtection="1">
      <alignment horizontal="center"/>
      <protection locked="0"/>
    </xf>
    <xf numFmtId="0" fontId="50" fillId="2" borderId="14" xfId="0" applyFont="1" applyFill="1" applyBorder="1" applyAlignment="1">
      <alignment vertical="center"/>
    </xf>
    <xf numFmtId="172" fontId="0" fillId="7" borderId="12" xfId="0" applyNumberFormat="1" applyFill="1" applyBorder="1" applyAlignment="1">
      <alignment horizontal="center"/>
    </xf>
    <xf numFmtId="172" fontId="0" fillId="7" borderId="14" xfId="0" applyNumberFormat="1" applyFill="1" applyBorder="1" applyAlignment="1">
      <alignment horizontal="center"/>
    </xf>
    <xf numFmtId="190" fontId="0" fillId="7" borderId="31" xfId="0" applyNumberFormat="1" applyFill="1" applyBorder="1" applyAlignment="1">
      <alignment horizontal="center"/>
    </xf>
    <xf numFmtId="190" fontId="0" fillId="0" borderId="28" xfId="0" applyNumberFormat="1" applyBorder="1" applyAlignment="1">
      <alignment horizontal="center"/>
    </xf>
    <xf numFmtId="190" fontId="0" fillId="6" borderId="31" xfId="0" applyNumberFormat="1" applyFill="1" applyBorder="1" applyAlignment="1">
      <alignment horizontal="center"/>
    </xf>
    <xf numFmtId="172" fontId="52" fillId="0" borderId="18" xfId="0" applyNumberFormat="1" applyFont="1" applyBorder="1" applyAlignment="1">
      <alignment horizontal="left"/>
    </xf>
    <xf numFmtId="174" fontId="0" fillId="0" borderId="14" xfId="0" applyNumberFormat="1" applyBorder="1" applyAlignment="1">
      <alignment horizontal="right"/>
    </xf>
    <xf numFmtId="174" fontId="0" fillId="0" borderId="0" xfId="0" applyNumberFormat="1" applyAlignment="1">
      <alignment horizontal="right"/>
    </xf>
    <xf numFmtId="174" fontId="0" fillId="0" borderId="12" xfId="0" applyNumberFormat="1" applyBorder="1" applyAlignment="1">
      <alignment horizontal="right"/>
    </xf>
    <xf numFmtId="0" fontId="0" fillId="0" borderId="0" xfId="0" applyAlignment="1">
      <alignment wrapText="1"/>
    </xf>
    <xf numFmtId="0" fontId="0" fillId="6" borderId="30" xfId="0" applyFill="1" applyBorder="1" applyAlignment="1">
      <alignment wrapText="1"/>
    </xf>
    <xf numFmtId="175" fontId="0" fillId="6" borderId="12" xfId="0" applyNumberFormat="1" applyFill="1" applyBorder="1" applyAlignment="1">
      <alignment horizontal="right"/>
    </xf>
    <xf numFmtId="172" fontId="52" fillId="29" borderId="18" xfId="0" applyNumberFormat="1" applyFont="1" applyFill="1" applyBorder="1" applyAlignment="1">
      <alignment horizontal="left"/>
    </xf>
    <xf numFmtId="0" fontId="50" fillId="0" borderId="4" xfId="0" applyFont="1" applyBorder="1"/>
    <xf numFmtId="0" fontId="11" fillId="0" borderId="6" xfId="0" applyFont="1" applyBorder="1"/>
    <xf numFmtId="172" fontId="11" fillId="0" borderId="7" xfId="0" applyNumberFormat="1" applyFont="1" applyBorder="1" applyAlignment="1" applyProtection="1">
      <alignment horizontal="center"/>
      <protection locked="0"/>
    </xf>
    <xf numFmtId="164" fontId="26" fillId="0" borderId="7" xfId="0" applyNumberFormat="1" applyFont="1" applyBorder="1"/>
    <xf numFmtId="189" fontId="40" fillId="16" borderId="6" xfId="0" applyNumberFormat="1" applyFont="1" applyFill="1" applyBorder="1" applyProtection="1">
      <protection hidden="1"/>
    </xf>
    <xf numFmtId="189" fontId="53" fillId="14" borderId="44" xfId="0" applyNumberFormat="1" applyFont="1" applyFill="1" applyBorder="1" applyProtection="1">
      <protection hidden="1"/>
    </xf>
    <xf numFmtId="189" fontId="106" fillId="6" borderId="0" xfId="0" applyNumberFormat="1" applyFont="1" applyFill="1" applyProtection="1">
      <protection hidden="1"/>
    </xf>
    <xf numFmtId="189" fontId="53" fillId="14" borderId="12" xfId="0" applyNumberFormat="1" applyFont="1" applyFill="1" applyBorder="1" applyProtection="1">
      <protection hidden="1"/>
    </xf>
    <xf numFmtId="0" fontId="10" fillId="0" borderId="14" xfId="0" applyFont="1" applyBorder="1" applyAlignment="1" applyProtection="1">
      <alignment horizontal="center" vertical="center" wrapText="1"/>
      <protection hidden="1"/>
    </xf>
    <xf numFmtId="0" fontId="10" fillId="0" borderId="0" xfId="0" applyFont="1" applyProtection="1">
      <protection hidden="1"/>
    </xf>
    <xf numFmtId="2" fontId="10" fillId="0" borderId="14" xfId="0" applyNumberFormat="1" applyFont="1" applyBorder="1" applyAlignment="1" applyProtection="1">
      <alignment horizontal="center" vertical="center"/>
      <protection hidden="1"/>
    </xf>
    <xf numFmtId="2" fontId="10" fillId="0" borderId="0" xfId="0" applyNumberFormat="1" applyFont="1" applyProtection="1">
      <protection hidden="1"/>
    </xf>
    <xf numFmtId="172" fontId="0" fillId="7" borderId="12" xfId="0" quotePrefix="1" applyNumberFormat="1" applyFill="1" applyBorder="1" applyAlignment="1">
      <alignment horizontal="center"/>
    </xf>
    <xf numFmtId="10" fontId="10" fillId="7" borderId="14" xfId="0" applyNumberFormat="1" applyFont="1" applyFill="1" applyBorder="1" applyProtection="1">
      <protection hidden="1"/>
    </xf>
    <xf numFmtId="0" fontId="9" fillId="7" borderId="5" xfId="0" applyFont="1" applyFill="1" applyBorder="1"/>
    <xf numFmtId="0" fontId="9" fillId="0" borderId="5" xfId="0" applyFont="1" applyBorder="1"/>
    <xf numFmtId="0" fontId="9" fillId="0" borderId="8" xfId="0" applyFont="1" applyBorder="1"/>
    <xf numFmtId="0" fontId="26" fillId="7" borderId="0" xfId="0" applyFont="1" applyFill="1"/>
    <xf numFmtId="0" fontId="26" fillId="7" borderId="0" xfId="0" applyFont="1" applyFill="1" applyAlignment="1">
      <alignment horizontal="center"/>
    </xf>
    <xf numFmtId="9" fontId="67" fillId="7" borderId="0" xfId="0" applyNumberFormat="1" applyFont="1" applyFill="1"/>
    <xf numFmtId="10" fontId="59" fillId="15" borderId="14" xfId="3" applyNumberFormat="1" applyFont="1" applyFill="1" applyBorder="1" applyAlignment="1" applyProtection="1"/>
    <xf numFmtId="189" fontId="40" fillId="10" borderId="60" xfId="0" applyNumberFormat="1" applyFont="1" applyFill="1" applyBorder="1" applyProtection="1">
      <protection locked="0"/>
    </xf>
    <xf numFmtId="189" fontId="40" fillId="10" borderId="61" xfId="0" applyNumberFormat="1" applyFont="1" applyFill="1" applyBorder="1" applyProtection="1">
      <protection locked="0"/>
    </xf>
    <xf numFmtId="0" fontId="53" fillId="0" borderId="30" xfId="0" applyFont="1" applyBorder="1" applyAlignment="1">
      <alignment horizontal="center"/>
    </xf>
    <xf numFmtId="0" fontId="45" fillId="2" borderId="36" xfId="0" applyFont="1" applyFill="1" applyBorder="1"/>
    <xf numFmtId="0" fontId="45" fillId="2" borderId="38" xfId="0" applyFont="1" applyFill="1" applyBorder="1"/>
    <xf numFmtId="44" fontId="53" fillId="15" borderId="79" xfId="2" applyFont="1" applyFill="1" applyBorder="1" applyAlignment="1" applyProtection="1">
      <alignment horizontal="center"/>
      <protection locked="0"/>
    </xf>
    <xf numFmtId="44" fontId="53" fillId="15" borderId="32" xfId="2" applyFont="1" applyFill="1" applyBorder="1" applyAlignment="1" applyProtection="1">
      <alignment horizontal="center"/>
      <protection locked="0"/>
    </xf>
    <xf numFmtId="44" fontId="53" fillId="15" borderId="33" xfId="2" applyFont="1" applyFill="1" applyBorder="1" applyAlignment="1" applyProtection="1">
      <alignment horizontal="center"/>
      <protection locked="0"/>
    </xf>
    <xf numFmtId="173" fontId="0" fillId="15" borderId="31" xfId="0" applyNumberFormat="1" applyFill="1" applyBorder="1" applyAlignment="1" applyProtection="1">
      <alignment horizontal="center"/>
      <protection locked="0"/>
    </xf>
    <xf numFmtId="0" fontId="50" fillId="2" borderId="35" xfId="0" applyFont="1" applyFill="1" applyBorder="1" applyAlignment="1">
      <alignment horizontal="center"/>
    </xf>
    <xf numFmtId="44" fontId="53" fillId="14" borderId="79" xfId="2" applyFont="1" applyFill="1" applyBorder="1" applyAlignment="1" applyProtection="1">
      <alignment horizontal="center"/>
    </xf>
    <xf numFmtId="0" fontId="8" fillId="0" borderId="14" xfId="0" applyFont="1" applyBorder="1" applyAlignment="1">
      <alignment vertical="top"/>
    </xf>
    <xf numFmtId="14" fontId="59" fillId="0" borderId="20" xfId="18" applyNumberFormat="1" applyBorder="1" applyAlignment="1">
      <alignment horizontal="right" vertical="top" wrapText="1"/>
    </xf>
    <xf numFmtId="0" fontId="30" fillId="0" borderId="20" xfId="0" applyFont="1" applyBorder="1" applyAlignment="1">
      <alignment vertical="top" wrapText="1"/>
    </xf>
    <xf numFmtId="14" fontId="7" fillId="0" borderId="14" xfId="0" applyNumberFormat="1" applyFont="1" applyBorder="1" applyAlignment="1">
      <alignment vertical="top" wrapText="1"/>
    </xf>
    <xf numFmtId="0" fontId="7" fillId="0" borderId="14" xfId="0" applyFont="1" applyBorder="1" applyAlignment="1">
      <alignment vertical="top" wrapText="1"/>
    </xf>
    <xf numFmtId="0" fontId="7" fillId="0" borderId="14" xfId="0" applyFont="1" applyBorder="1" applyAlignment="1">
      <alignment vertical="top"/>
    </xf>
    <xf numFmtId="14" fontId="6" fillId="0" borderId="1" xfId="0" applyNumberFormat="1" applyFont="1" applyBorder="1" applyAlignment="1">
      <alignment horizontal="left" vertical="top"/>
    </xf>
    <xf numFmtId="0" fontId="6" fillId="0" borderId="20" xfId="0" applyFont="1" applyBorder="1" applyAlignment="1">
      <alignment horizontal="left" vertical="top"/>
    </xf>
    <xf numFmtId="0" fontId="6" fillId="0" borderId="2" xfId="0" applyFont="1" applyBorder="1" applyAlignment="1">
      <alignment horizontal="left" vertical="top"/>
    </xf>
    <xf numFmtId="0" fontId="6" fillId="0" borderId="20" xfId="0" applyFont="1" applyBorder="1" applyAlignment="1">
      <alignment horizontal="left" vertical="top" wrapText="1"/>
    </xf>
    <xf numFmtId="0" fontId="6" fillId="0" borderId="3" xfId="0" applyFont="1" applyBorder="1"/>
    <xf numFmtId="0" fontId="6" fillId="0" borderId="4" xfId="0" applyFont="1" applyBorder="1" applyAlignment="1">
      <alignment horizontal="left" vertical="top"/>
    </xf>
    <xf numFmtId="0" fontId="6" fillId="0" borderId="0" xfId="0" applyFont="1" applyAlignment="1">
      <alignment vertical="top"/>
    </xf>
    <xf numFmtId="0" fontId="6" fillId="0" borderId="19" xfId="0" applyFont="1" applyBorder="1" applyAlignment="1">
      <alignment wrapText="1"/>
    </xf>
    <xf numFmtId="0" fontId="6" fillId="0" borderId="5" xfId="0" applyFont="1" applyBorder="1"/>
    <xf numFmtId="0" fontId="6" fillId="0" borderId="19" xfId="0" applyFont="1" applyBorder="1" applyAlignment="1">
      <alignment horizontal="left" vertical="top"/>
    </xf>
    <xf numFmtId="0" fontId="6" fillId="0" borderId="0" xfId="0" applyFont="1" applyAlignment="1">
      <alignment horizontal="left" vertical="top"/>
    </xf>
    <xf numFmtId="0" fontId="6" fillId="0" borderId="19" xfId="0" applyFont="1" applyBorder="1" applyAlignment="1">
      <alignment horizontal="left" vertical="top" wrapText="1"/>
    </xf>
    <xf numFmtId="0" fontId="6" fillId="0" borderId="6" xfId="0" applyFont="1" applyBorder="1" applyAlignment="1">
      <alignment horizontal="left" vertical="top"/>
    </xf>
    <xf numFmtId="0" fontId="6" fillId="0" borderId="21"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xf numFmtId="0" fontId="128" fillId="0" borderId="0" xfId="0" applyFont="1"/>
    <xf numFmtId="0" fontId="129" fillId="0" borderId="0" xfId="0" applyFont="1"/>
    <xf numFmtId="0" fontId="129" fillId="0" borderId="0" xfId="0" applyFont="1" applyAlignment="1">
      <alignment horizontal="center"/>
    </xf>
    <xf numFmtId="0" fontId="129" fillId="0" borderId="29" xfId="0" applyFont="1" applyBorder="1"/>
    <xf numFmtId="164" fontId="128" fillId="8" borderId="0" xfId="0" applyNumberFormat="1" applyFont="1" applyFill="1"/>
    <xf numFmtId="0" fontId="129" fillId="0" borderId="28" xfId="0" applyFont="1" applyBorder="1"/>
    <xf numFmtId="3" fontId="129" fillId="0" borderId="0" xfId="0" applyNumberFormat="1" applyFont="1"/>
    <xf numFmtId="164" fontId="129" fillId="0" borderId="0" xfId="0" applyNumberFormat="1" applyFont="1"/>
    <xf numFmtId="182" fontId="129" fillId="16" borderId="28" xfId="0" applyNumberFormat="1" applyFont="1" applyFill="1" applyBorder="1" applyAlignment="1">
      <alignment horizontal="left"/>
    </xf>
    <xf numFmtId="0" fontId="128" fillId="0" borderId="29" xfId="0" applyFont="1" applyBorder="1"/>
    <xf numFmtId="164" fontId="128" fillId="28" borderId="0" xfId="0" applyNumberFormat="1" applyFont="1" applyFill="1"/>
    <xf numFmtId="183" fontId="129" fillId="0" borderId="28" xfId="0" applyNumberFormat="1" applyFont="1" applyBorder="1" applyAlignment="1">
      <alignment horizontal="left"/>
    </xf>
    <xf numFmtId="10" fontId="129" fillId="14" borderId="28" xfId="0" applyNumberFormat="1" applyFont="1" applyFill="1" applyBorder="1" applyAlignment="1">
      <alignment horizontal="left"/>
    </xf>
    <xf numFmtId="0" fontId="128" fillId="0" borderId="29" xfId="0" applyFont="1" applyBorder="1" applyAlignment="1">
      <alignment vertical="center"/>
    </xf>
    <xf numFmtId="164" fontId="128" fillId="28" borderId="0" xfId="0" applyNumberFormat="1" applyFont="1" applyFill="1" applyAlignment="1">
      <alignment vertical="center"/>
    </xf>
    <xf numFmtId="183" fontId="129" fillId="0" borderId="28" xfId="0" applyNumberFormat="1" applyFont="1" applyBorder="1" applyAlignment="1">
      <alignment horizontal="left" vertical="center" wrapText="1"/>
    </xf>
    <xf numFmtId="164" fontId="128" fillId="0" borderId="28" xfId="0" applyNumberFormat="1" applyFont="1" applyBorder="1"/>
    <xf numFmtId="0" fontId="128" fillId="0" borderId="39" xfId="0" applyFont="1" applyBorder="1"/>
    <xf numFmtId="164" fontId="128" fillId="22" borderId="40" xfId="0" applyNumberFormat="1" applyFont="1" applyFill="1" applyBorder="1"/>
    <xf numFmtId="184" fontId="128" fillId="6" borderId="41" xfId="0" applyNumberFormat="1" applyFont="1" applyFill="1" applyBorder="1" applyAlignment="1">
      <alignment horizontal="center" vertical="center"/>
    </xf>
    <xf numFmtId="0" fontId="129" fillId="0" borderId="9" xfId="0" applyFont="1" applyBorder="1" applyAlignment="1">
      <alignment wrapText="1"/>
    </xf>
    <xf numFmtId="164" fontId="130" fillId="0" borderId="10" xfId="0" applyNumberFormat="1" applyFont="1" applyBorder="1" applyAlignment="1">
      <alignment vertical="center"/>
    </xf>
    <xf numFmtId="184" fontId="131" fillId="8" borderId="11" xfId="0" applyNumberFormat="1" applyFont="1" applyFill="1" applyBorder="1" applyAlignment="1">
      <alignment horizontal="center" vertical="center"/>
    </xf>
    <xf numFmtId="0" fontId="129" fillId="14" borderId="0" xfId="0" applyFont="1" applyFill="1" applyAlignment="1">
      <alignment horizontal="center" vertical="center"/>
    </xf>
    <xf numFmtId="164" fontId="129" fillId="14" borderId="0" xfId="0" applyNumberFormat="1" applyFont="1" applyFill="1" applyAlignment="1">
      <alignment vertical="center"/>
    </xf>
    <xf numFmtId="0" fontId="129" fillId="0" borderId="0" xfId="0" applyFont="1" applyAlignment="1">
      <alignment horizontal="center" vertical="center"/>
    </xf>
    <xf numFmtId="0" fontId="128" fillId="0" borderId="1" xfId="0" applyFont="1" applyBorder="1"/>
    <xf numFmtId="0" fontId="129" fillId="0" borderId="2" xfId="0" applyFont="1" applyBorder="1"/>
    <xf numFmtId="0" fontId="129" fillId="0" borderId="3" xfId="0" applyFont="1" applyBorder="1"/>
    <xf numFmtId="0" fontId="129" fillId="0" borderId="4" xfId="0" applyFont="1" applyBorder="1"/>
    <xf numFmtId="0" fontId="129" fillId="14" borderId="14" xfId="0" applyFont="1" applyFill="1" applyBorder="1" applyAlignment="1">
      <alignment horizontal="center"/>
    </xf>
    <xf numFmtId="0" fontId="129" fillId="0" borderId="5" xfId="0" applyFont="1" applyBorder="1"/>
    <xf numFmtId="0" fontId="129" fillId="31" borderId="12" xfId="0" applyFont="1" applyFill="1" applyBorder="1"/>
    <xf numFmtId="0" fontId="129" fillId="31" borderId="18" xfId="0" applyFont="1" applyFill="1" applyBorder="1"/>
    <xf numFmtId="0" fontId="129" fillId="31" borderId="13" xfId="0" applyFont="1" applyFill="1" applyBorder="1"/>
    <xf numFmtId="164" fontId="129" fillId="14" borderId="14" xfId="0" applyNumberFormat="1" applyFont="1" applyFill="1" applyBorder="1"/>
    <xf numFmtId="0" fontId="129" fillId="0" borderId="6" xfId="0" applyFont="1" applyBorder="1"/>
    <xf numFmtId="0" fontId="129" fillId="0" borderId="7" xfId="0" applyFont="1" applyBorder="1"/>
    <xf numFmtId="0" fontId="129" fillId="0" borderId="8" xfId="0" applyFont="1" applyBorder="1"/>
    <xf numFmtId="0" fontId="128" fillId="17" borderId="9" xfId="0" applyFont="1" applyFill="1" applyBorder="1" applyAlignment="1">
      <alignment vertical="center"/>
    </xf>
    <xf numFmtId="0" fontId="129" fillId="0" borderId="9" xfId="0" applyFont="1" applyBorder="1"/>
    <xf numFmtId="0" fontId="129" fillId="0" borderId="9" xfId="0" applyFont="1" applyBorder="1" applyAlignment="1">
      <alignment horizontal="center"/>
    </xf>
    <xf numFmtId="0" fontId="128" fillId="21" borderId="15" xfId="0" applyFont="1" applyFill="1" applyBorder="1" applyAlignment="1">
      <alignment horizontal="center"/>
    </xf>
    <xf numFmtId="0" fontId="129" fillId="0" borderId="11" xfId="0" applyFont="1" applyBorder="1" applyAlignment="1">
      <alignment horizontal="center"/>
    </xf>
    <xf numFmtId="0" fontId="129" fillId="0" borderId="64" xfId="0" applyFont="1" applyBorder="1"/>
    <xf numFmtId="177" fontId="129" fillId="0" borderId="64" xfId="3" applyNumberFormat="1" applyFont="1" applyBorder="1" applyAlignment="1">
      <alignment horizontal="center"/>
    </xf>
    <xf numFmtId="177" fontId="129" fillId="15" borderId="51" xfId="3" applyNumberFormat="1" applyFont="1" applyFill="1" applyBorder="1" applyAlignment="1">
      <alignment horizontal="center"/>
    </xf>
    <xf numFmtId="177" fontId="129" fillId="0" borderId="67" xfId="3" applyNumberFormat="1" applyFont="1" applyBorder="1" applyAlignment="1">
      <alignment horizontal="center"/>
    </xf>
    <xf numFmtId="0" fontId="129" fillId="0" borderId="65" xfId="0" applyFont="1" applyBorder="1"/>
    <xf numFmtId="177" fontId="129" fillId="0" borderId="65" xfId="3" applyNumberFormat="1" applyFont="1" applyBorder="1" applyAlignment="1">
      <alignment horizontal="center"/>
    </xf>
    <xf numFmtId="177" fontId="129" fillId="0" borderId="65" xfId="3" applyNumberFormat="1" applyFont="1" applyBorder="1" applyAlignment="1">
      <alignment horizontal="center" wrapText="1"/>
    </xf>
    <xf numFmtId="177" fontId="129" fillId="0" borderId="68" xfId="3" applyNumberFormat="1" applyFont="1" applyBorder="1" applyAlignment="1">
      <alignment horizontal="center" wrapText="1"/>
    </xf>
    <xf numFmtId="0" fontId="128" fillId="22" borderId="9" xfId="0" applyFont="1" applyFill="1" applyBorder="1"/>
    <xf numFmtId="2" fontId="129" fillId="22" borderId="9" xfId="0" applyNumberFormat="1" applyFont="1" applyFill="1" applyBorder="1" applyAlignment="1">
      <alignment horizontal="center"/>
    </xf>
    <xf numFmtId="177" fontId="128" fillId="16" borderId="15" xfId="3" applyNumberFormat="1" applyFont="1" applyFill="1" applyBorder="1" applyAlignment="1">
      <alignment horizontal="center"/>
    </xf>
    <xf numFmtId="0" fontId="129" fillId="22" borderId="38" xfId="0" applyFont="1" applyFill="1" applyBorder="1" applyAlignment="1">
      <alignment horizontal="center"/>
    </xf>
    <xf numFmtId="0" fontId="129" fillId="0" borderId="29" xfId="0" applyFont="1" applyBorder="1" applyAlignment="1">
      <alignment horizontal="center"/>
    </xf>
    <xf numFmtId="10" fontId="129" fillId="15" borderId="54" xfId="0" applyNumberFormat="1" applyFont="1" applyFill="1" applyBorder="1" applyAlignment="1">
      <alignment horizontal="center"/>
    </xf>
    <xf numFmtId="0" fontId="129" fillId="6" borderId="35" xfId="0" applyFont="1" applyFill="1" applyBorder="1" applyAlignment="1">
      <alignment horizontal="center"/>
    </xf>
    <xf numFmtId="0" fontId="129" fillId="6" borderId="52" xfId="0" applyFont="1" applyFill="1" applyBorder="1" applyAlignment="1">
      <alignment horizontal="center"/>
    </xf>
    <xf numFmtId="0" fontId="128" fillId="0" borderId="9" xfId="0" applyFont="1" applyBorder="1"/>
    <xf numFmtId="10" fontId="129" fillId="15" borderId="15" xfId="0" applyNumberFormat="1" applyFont="1" applyFill="1" applyBorder="1" applyAlignment="1">
      <alignment horizontal="center"/>
    </xf>
    <xf numFmtId="177" fontId="129" fillId="16" borderId="15" xfId="0" applyNumberFormat="1" applyFont="1" applyFill="1" applyBorder="1" applyAlignment="1">
      <alignment horizontal="center"/>
    </xf>
    <xf numFmtId="0" fontId="129" fillId="6" borderId="66" xfId="0" applyFont="1" applyFill="1" applyBorder="1"/>
    <xf numFmtId="9" fontId="129" fillId="6" borderId="1" xfId="0" applyNumberFormat="1" applyFont="1" applyFill="1" applyBorder="1" applyAlignment="1">
      <alignment horizontal="center"/>
    </xf>
    <xf numFmtId="9" fontId="129" fillId="6" borderId="2" xfId="0" applyNumberFormat="1" applyFont="1" applyFill="1" applyBorder="1" applyAlignment="1">
      <alignment horizontal="center"/>
    </xf>
    <xf numFmtId="9" fontId="129" fillId="14" borderId="14" xfId="0" applyNumberFormat="1" applyFont="1" applyFill="1" applyBorder="1" applyAlignment="1">
      <alignment horizontal="center"/>
    </xf>
    <xf numFmtId="9" fontId="129" fillId="14" borderId="14" xfId="0" applyNumberFormat="1" applyFont="1" applyFill="1" applyBorder="1" applyAlignment="1">
      <alignment horizontal="center" wrapText="1"/>
    </xf>
    <xf numFmtId="0" fontId="129" fillId="7" borderId="14" xfId="0" applyFont="1" applyFill="1" applyBorder="1"/>
    <xf numFmtId="9" fontId="129" fillId="7" borderId="14" xfId="0" applyNumberFormat="1" applyFont="1" applyFill="1" applyBorder="1"/>
    <xf numFmtId="10" fontId="129" fillId="15" borderId="14" xfId="0" applyNumberFormat="1" applyFont="1" applyFill="1" applyBorder="1"/>
    <xf numFmtId="0" fontId="129" fillId="0" borderId="14" xfId="0" applyFont="1" applyBorder="1"/>
    <xf numFmtId="10" fontId="129" fillId="15" borderId="14" xfId="3" applyNumberFormat="1" applyFont="1" applyFill="1" applyBorder="1"/>
    <xf numFmtId="9" fontId="129" fillId="15" borderId="14" xfId="3" applyFont="1" applyFill="1" applyBorder="1"/>
    <xf numFmtId="9" fontId="129" fillId="7" borderId="14" xfId="0" applyNumberFormat="1" applyFont="1" applyFill="1" applyBorder="1" applyAlignment="1">
      <alignment wrapText="1"/>
    </xf>
    <xf numFmtId="0" fontId="6" fillId="0" borderId="14" xfId="0" applyFont="1" applyBorder="1" applyAlignment="1">
      <alignment horizontal="center" vertical="center" wrapText="1"/>
    </xf>
    <xf numFmtId="0" fontId="6" fillId="0" borderId="14" xfId="0" applyFont="1" applyBorder="1" applyAlignment="1">
      <alignment horizontal="center" vertical="center"/>
    </xf>
    <xf numFmtId="10" fontId="6" fillId="15" borderId="14" xfId="3" applyNumberFormat="1" applyFont="1" applyFill="1" applyBorder="1"/>
    <xf numFmtId="10" fontId="6" fillId="15" borderId="14" xfId="3" applyNumberFormat="1" applyFont="1" applyFill="1" applyBorder="1" applyAlignment="1" applyProtection="1"/>
    <xf numFmtId="10" fontId="6" fillId="15" borderId="14" xfId="3" applyNumberFormat="1" applyFont="1" applyFill="1" applyBorder="1" applyAlignment="1" applyProtection="1">
      <alignment wrapText="1"/>
    </xf>
    <xf numFmtId="0" fontId="6" fillId="0" borderId="0" xfId="0" applyFont="1"/>
    <xf numFmtId="0" fontId="6" fillId="6" borderId="14" xfId="0" applyFont="1" applyFill="1" applyBorder="1" applyAlignment="1">
      <alignment vertical="top"/>
    </xf>
    <xf numFmtId="0" fontId="6" fillId="6" borderId="12" xfId="0" applyFont="1" applyFill="1" applyBorder="1" applyAlignment="1">
      <alignment horizontal="left" vertical="top"/>
    </xf>
    <xf numFmtId="0" fontId="129" fillId="0" borderId="14" xfId="0" applyFont="1" applyBorder="1" applyAlignment="1">
      <alignment horizontal="center" vertical="center" wrapText="1"/>
    </xf>
    <xf numFmtId="0" fontId="5" fillId="0" borderId="19" xfId="0" applyFont="1" applyBorder="1" applyAlignment="1">
      <alignment horizontal="left" vertical="top"/>
    </xf>
    <xf numFmtId="0" fontId="52" fillId="6" borderId="4" xfId="0" applyFont="1" applyFill="1" applyBorder="1"/>
    <xf numFmtId="0" fontId="4" fillId="0" borderId="0" xfId="0" applyFont="1" applyAlignment="1">
      <alignment horizontal="left" vertical="top"/>
    </xf>
    <xf numFmtId="0" fontId="5" fillId="0" borderId="20" xfId="0" applyFont="1" applyBorder="1" applyAlignment="1">
      <alignment vertical="top"/>
    </xf>
    <xf numFmtId="14" fontId="5" fillId="0" borderId="20" xfId="0" applyNumberFormat="1" applyFont="1" applyBorder="1" applyAlignment="1">
      <alignment vertical="top"/>
    </xf>
    <xf numFmtId="0" fontId="5" fillId="0" borderId="20" xfId="0" applyFont="1" applyBorder="1" applyAlignment="1">
      <alignment horizontal="left" vertical="top"/>
    </xf>
    <xf numFmtId="0" fontId="5" fillId="0" borderId="20" xfId="0" applyFont="1" applyBorder="1" applyAlignment="1">
      <alignment horizontal="left" vertical="top" wrapText="1"/>
    </xf>
    <xf numFmtId="0" fontId="5" fillId="0" borderId="20" xfId="0" applyFont="1" applyBorder="1"/>
    <xf numFmtId="0" fontId="4" fillId="0" borderId="2" xfId="0" applyFont="1" applyBorder="1" applyAlignment="1">
      <alignment horizontal="left" vertical="top"/>
    </xf>
    <xf numFmtId="0" fontId="5" fillId="0" borderId="3" xfId="0" applyFont="1" applyBorder="1"/>
    <xf numFmtId="0" fontId="32" fillId="0" borderId="4" xfId="0" applyFont="1" applyBorder="1"/>
    <xf numFmtId="0" fontId="30" fillId="0" borderId="5" xfId="0" applyFont="1" applyBorder="1"/>
    <xf numFmtId="0" fontId="32" fillId="0" borderId="6" xfId="0" applyFont="1" applyBorder="1"/>
    <xf numFmtId="0" fontId="4" fillId="0" borderId="7" xfId="0" applyFont="1" applyBorder="1" applyAlignment="1">
      <alignment horizontal="left" vertical="top"/>
    </xf>
    <xf numFmtId="0" fontId="30" fillId="0" borderId="8" xfId="0" applyFont="1" applyBorder="1"/>
    <xf numFmtId="0" fontId="5" fillId="0" borderId="19" xfId="0" applyFont="1" applyBorder="1" applyAlignment="1">
      <alignment vertical="top"/>
    </xf>
    <xf numFmtId="0" fontId="4" fillId="0" borderId="21" xfId="0" applyFont="1" applyBorder="1" applyAlignment="1">
      <alignment vertical="top"/>
    </xf>
    <xf numFmtId="0" fontId="4" fillId="0" borderId="20" xfId="0" applyFont="1" applyBorder="1" applyAlignment="1">
      <alignment horizontal="left" vertical="top" wrapText="1"/>
    </xf>
    <xf numFmtId="0" fontId="4" fillId="0" borderId="19" xfId="0" applyFont="1" applyBorder="1" applyAlignment="1">
      <alignment horizontal="left" vertical="top" wrapText="1"/>
    </xf>
    <xf numFmtId="0" fontId="4" fillId="0" borderId="21" xfId="0" applyFont="1" applyBorder="1" applyAlignment="1">
      <alignment horizontal="left" vertical="top" wrapText="1"/>
    </xf>
    <xf numFmtId="14" fontId="5" fillId="0" borderId="1" xfId="0" applyNumberFormat="1" applyFont="1" applyBorder="1" applyAlignment="1">
      <alignment vertical="top"/>
    </xf>
    <xf numFmtId="0" fontId="48" fillId="0" borderId="14" xfId="0" applyFont="1" applyBorder="1" applyAlignment="1">
      <alignment vertical="center" wrapText="1"/>
    </xf>
    <xf numFmtId="0" fontId="48" fillId="0" borderId="14" xfId="0" applyFont="1" applyBorder="1" applyAlignment="1">
      <alignment horizontal="center" vertical="center" wrapText="1"/>
    </xf>
    <xf numFmtId="0" fontId="48" fillId="0" borderId="12" xfId="0" applyFont="1" applyBorder="1" applyAlignment="1">
      <alignment vertical="center" wrapText="1"/>
    </xf>
    <xf numFmtId="9" fontId="48" fillId="0" borderId="14" xfId="0" applyNumberFormat="1" applyFont="1" applyBorder="1" applyAlignment="1">
      <alignment horizontal="center" vertical="center" wrapText="1"/>
    </xf>
    <xf numFmtId="0" fontId="0" fillId="6" borderId="0" xfId="0" applyFill="1" applyAlignment="1">
      <alignment wrapText="1"/>
    </xf>
    <xf numFmtId="0" fontId="82" fillId="8" borderId="0" xfId="1" applyFont="1" applyFill="1" applyAlignment="1" applyProtection="1">
      <alignment textRotation="255" wrapText="1"/>
    </xf>
    <xf numFmtId="0" fontId="82" fillId="8" borderId="0" xfId="1" applyFont="1" applyFill="1" applyAlignment="1" applyProtection="1">
      <alignment vertical="center" textRotation="255"/>
    </xf>
    <xf numFmtId="0" fontId="82" fillId="8" borderId="0" xfId="1" applyFont="1" applyFill="1" applyAlignment="1" applyProtection="1">
      <alignment vertical="center" textRotation="255" wrapText="1"/>
    </xf>
    <xf numFmtId="0" fontId="2" fillId="0" borderId="80" xfId="0" applyFont="1" applyBorder="1" applyAlignment="1">
      <alignment vertical="top" wrapText="1"/>
    </xf>
    <xf numFmtId="10" fontId="2" fillId="0" borderId="80" xfId="3" applyNumberFormat="1" applyFont="1" applyBorder="1" applyAlignment="1">
      <alignment horizontal="left" vertical="top" wrapText="1"/>
    </xf>
    <xf numFmtId="0" fontId="2" fillId="0" borderId="0" xfId="0" applyFont="1"/>
    <xf numFmtId="1" fontId="54" fillId="8" borderId="81" xfId="19" applyNumberFormat="1" applyFont="1" applyFill="1" applyBorder="1" applyAlignment="1">
      <alignment horizontal="center" vertical="top" textRotation="90" wrapText="1"/>
    </xf>
    <xf numFmtId="0" fontId="54" fillId="34" borderId="81" xfId="19" applyFont="1" applyFill="1" applyBorder="1" applyAlignment="1">
      <alignment horizontal="center" vertical="top" textRotation="90" wrapText="1"/>
    </xf>
    <xf numFmtId="0" fontId="54" fillId="8" borderId="81" xfId="19" applyFont="1" applyFill="1" applyBorder="1" applyAlignment="1">
      <alignment horizontal="center" vertical="top" textRotation="90" wrapText="1"/>
    </xf>
    <xf numFmtId="1" fontId="54" fillId="35" borderId="81" xfId="19" applyNumberFormat="1" applyFont="1" applyFill="1" applyBorder="1" applyAlignment="1">
      <alignment horizontal="center" vertical="top" textRotation="90" wrapText="1"/>
    </xf>
    <xf numFmtId="164" fontId="54" fillId="36" borderId="81" xfId="19" applyNumberFormat="1" applyFont="1" applyFill="1" applyBorder="1" applyAlignment="1">
      <alignment horizontal="center" vertical="top" textRotation="90" wrapText="1"/>
    </xf>
    <xf numFmtId="10" fontId="134" fillId="37" borderId="82" xfId="19" applyNumberFormat="1" applyFont="1" applyFill="1" applyBorder="1" applyAlignment="1">
      <alignment horizontal="center" vertical="top" textRotation="90" wrapText="1"/>
    </xf>
    <xf numFmtId="10" fontId="134" fillId="37" borderId="81" xfId="19" applyNumberFormat="1" applyFont="1" applyFill="1" applyBorder="1" applyAlignment="1">
      <alignment horizontal="center" vertical="top" textRotation="90" wrapText="1"/>
    </xf>
    <xf numFmtId="164" fontId="134" fillId="38" borderId="81" xfId="19" applyNumberFormat="1" applyFont="1" applyFill="1" applyBorder="1" applyAlignment="1">
      <alignment horizontal="center" vertical="top" textRotation="90" wrapText="1"/>
    </xf>
    <xf numFmtId="164" fontId="54" fillId="39" borderId="81" xfId="19" applyNumberFormat="1" applyFont="1" applyFill="1" applyBorder="1" applyAlignment="1">
      <alignment horizontal="center" vertical="top" textRotation="90" wrapText="1"/>
    </xf>
    <xf numFmtId="164" fontId="54" fillId="40" borderId="83" xfId="19" applyNumberFormat="1" applyFont="1" applyFill="1" applyBorder="1" applyAlignment="1">
      <alignment horizontal="center" vertical="top" textRotation="90" wrapText="1"/>
    </xf>
    <xf numFmtId="164" fontId="54" fillId="41" borderId="81" xfId="19" applyNumberFormat="1" applyFont="1" applyFill="1" applyBorder="1" applyAlignment="1">
      <alignment horizontal="center" vertical="top" textRotation="90" wrapText="1"/>
    </xf>
    <xf numFmtId="164" fontId="54" fillId="35" borderId="83" xfId="19" applyNumberFormat="1" applyFont="1" applyFill="1" applyBorder="1" applyAlignment="1">
      <alignment horizontal="center" vertical="top" textRotation="90" wrapText="1"/>
    </xf>
    <xf numFmtId="164" fontId="54" fillId="35" borderId="81" xfId="19" applyNumberFormat="1" applyFont="1" applyFill="1" applyBorder="1" applyAlignment="1">
      <alignment horizontal="center" vertical="top" textRotation="90" wrapText="1"/>
    </xf>
    <xf numFmtId="164" fontId="64" fillId="35" borderId="81" xfId="19" applyNumberFormat="1" applyFont="1" applyFill="1" applyBorder="1" applyAlignment="1">
      <alignment horizontal="center" vertical="top" textRotation="90" wrapText="1"/>
    </xf>
    <xf numFmtId="14" fontId="54" fillId="35" borderId="81" xfId="19" applyNumberFormat="1" applyFont="1" applyFill="1" applyBorder="1" applyAlignment="1">
      <alignment horizontal="center" vertical="top" textRotation="90" wrapText="1"/>
    </xf>
    <xf numFmtId="183" fontId="54" fillId="2" borderId="84" xfId="0" applyNumberFormat="1" applyFont="1" applyFill="1" applyBorder="1" applyAlignment="1">
      <alignment horizontal="center" vertical="top" textRotation="90" wrapText="1"/>
    </xf>
    <xf numFmtId="1" fontId="54" fillId="42" borderId="85" xfId="19" applyNumberFormat="1" applyFont="1" applyFill="1" applyBorder="1" applyAlignment="1">
      <alignment horizontal="center" vertical="top" textRotation="90" wrapText="1"/>
    </xf>
    <xf numFmtId="1" fontId="54" fillId="42" borderId="81" xfId="19" applyNumberFormat="1" applyFont="1" applyFill="1" applyBorder="1" applyAlignment="1">
      <alignment horizontal="center" vertical="top" textRotation="90" wrapText="1"/>
    </xf>
    <xf numFmtId="1" fontId="54" fillId="42" borderId="86" xfId="19" applyNumberFormat="1" applyFont="1" applyFill="1" applyBorder="1" applyAlignment="1">
      <alignment horizontal="center" vertical="top" textRotation="90" wrapText="1"/>
    </xf>
    <xf numFmtId="164" fontId="54" fillId="37" borderId="81" xfId="19" applyNumberFormat="1" applyFont="1" applyFill="1" applyBorder="1" applyAlignment="1">
      <alignment horizontal="center" vertical="top" textRotation="90" wrapText="1"/>
    </xf>
    <xf numFmtId="192" fontId="54" fillId="37" borderId="87" xfId="19" applyNumberFormat="1" applyFont="1" applyFill="1" applyBorder="1" applyAlignment="1">
      <alignment horizontal="center" vertical="top" textRotation="90" wrapText="1"/>
    </xf>
    <xf numFmtId="192" fontId="54" fillId="37" borderId="88" xfId="19" applyNumberFormat="1" applyFont="1" applyFill="1" applyBorder="1" applyAlignment="1">
      <alignment horizontal="center" vertical="top" textRotation="90" wrapText="1"/>
    </xf>
    <xf numFmtId="2" fontId="54" fillId="28" borderId="89" xfId="19" applyNumberFormat="1" applyFont="1" applyFill="1" applyBorder="1" applyAlignment="1">
      <alignment horizontal="center" vertical="top" textRotation="90" wrapText="1"/>
    </xf>
    <xf numFmtId="1" fontId="54" fillId="28" borderId="89" xfId="19" applyNumberFormat="1" applyFont="1" applyFill="1" applyBorder="1" applyAlignment="1">
      <alignment horizontal="center" vertical="top" textRotation="90" wrapText="1"/>
    </xf>
    <xf numFmtId="0" fontId="54" fillId="43" borderId="90" xfId="0" applyFont="1" applyFill="1" applyBorder="1" applyAlignment="1">
      <alignment horizontal="center" wrapText="1"/>
    </xf>
    <xf numFmtId="2" fontId="0" fillId="44" borderId="14" xfId="0" applyNumberFormat="1" applyFill="1" applyBorder="1" applyAlignment="1">
      <alignment horizontal="left" vertical="top" wrapText="1"/>
    </xf>
    <xf numFmtId="10" fontId="54" fillId="8" borderId="91" xfId="19" applyNumberFormat="1" applyFont="1" applyFill="1" applyBorder="1" applyAlignment="1">
      <alignment horizontal="center" wrapText="1"/>
    </xf>
    <xf numFmtId="192" fontId="90" fillId="45" borderId="88" xfId="19" applyNumberFormat="1" applyFont="1" applyFill="1" applyBorder="1" applyAlignment="1">
      <alignment horizontal="center" vertical="top" textRotation="90" wrapText="1"/>
    </xf>
    <xf numFmtId="192" fontId="90" fillId="46" borderId="4" xfId="19" applyNumberFormat="1" applyFont="1" applyFill="1" applyBorder="1" applyAlignment="1">
      <alignment horizontal="center" vertical="top" textRotation="90" wrapText="1"/>
    </xf>
    <xf numFmtId="2" fontId="0" fillId="0" borderId="0" xfId="0" applyNumberFormat="1" applyAlignment="1">
      <alignment horizontal="left" vertical="top" wrapText="1"/>
    </xf>
    <xf numFmtId="14" fontId="2" fillId="0" borderId="0" xfId="0" applyNumberFormat="1" applyFont="1"/>
    <xf numFmtId="1" fontId="2" fillId="0" borderId="0" xfId="0" applyNumberFormat="1" applyFont="1"/>
    <xf numFmtId="9" fontId="2" fillId="6" borderId="0" xfId="0" applyNumberFormat="1" applyFont="1" applyFill="1"/>
    <xf numFmtId="168" fontId="2" fillId="0" borderId="0" xfId="0" applyNumberFormat="1" applyFont="1" applyAlignment="1">
      <alignment wrapText="1"/>
    </xf>
    <xf numFmtId="168" fontId="2" fillId="47" borderId="0" xfId="0" applyNumberFormat="1" applyFont="1" applyFill="1" applyAlignment="1">
      <alignment wrapText="1"/>
    </xf>
    <xf numFmtId="2" fontId="0" fillId="47" borderId="0" xfId="0" applyNumberFormat="1" applyFill="1" applyAlignment="1">
      <alignment wrapText="1"/>
    </xf>
    <xf numFmtId="44" fontId="2" fillId="0" borderId="0" xfId="2" applyFont="1"/>
    <xf numFmtId="168" fontId="2" fillId="6" borderId="0" xfId="0" applyNumberFormat="1" applyFont="1" applyFill="1"/>
    <xf numFmtId="168" fontId="2" fillId="47" borderId="0" xfId="0" applyNumberFormat="1" applyFont="1" applyFill="1"/>
    <xf numFmtId="177" fontId="2" fillId="47" borderId="0" xfId="0" applyNumberFormat="1" applyFont="1" applyFill="1"/>
    <xf numFmtId="193" fontId="2" fillId="47" borderId="0" xfId="0" applyNumberFormat="1" applyFont="1" applyFill="1"/>
    <xf numFmtId="165" fontId="2" fillId="0" borderId="0" xfId="0" applyNumberFormat="1" applyFont="1"/>
    <xf numFmtId="49" fontId="2" fillId="0" borderId="0" xfId="0" applyNumberFormat="1" applyFont="1"/>
    <xf numFmtId="10" fontId="59" fillId="47" borderId="0" xfId="0" applyNumberFormat="1" applyFont="1" applyFill="1"/>
    <xf numFmtId="4" fontId="59" fillId="47" borderId="0" xfId="0" applyNumberFormat="1" applyFont="1" applyFill="1"/>
    <xf numFmtId="2" fontId="59" fillId="47" borderId="0" xfId="0" applyNumberFormat="1" applyFont="1" applyFill="1"/>
    <xf numFmtId="0" fontId="59" fillId="47" borderId="0" xfId="0" applyFont="1" applyFill="1"/>
    <xf numFmtId="171" fontId="59" fillId="47" borderId="0" xfId="0" applyNumberFormat="1" applyFont="1" applyFill="1"/>
    <xf numFmtId="2" fontId="0" fillId="0" borderId="0" xfId="0" applyNumberFormat="1" applyAlignment="1">
      <alignment wrapText="1"/>
    </xf>
    <xf numFmtId="177" fontId="2" fillId="8" borderId="0" xfId="0" applyNumberFormat="1" applyFont="1" applyFill="1"/>
    <xf numFmtId="0" fontId="2" fillId="0" borderId="0" xfId="0" applyFont="1" applyAlignment="1">
      <alignment wrapText="1"/>
    </xf>
    <xf numFmtId="193" fontId="0" fillId="0" borderId="0" xfId="0" applyNumberFormat="1"/>
    <xf numFmtId="0" fontId="135" fillId="0" borderId="0" xfId="0" applyFont="1"/>
    <xf numFmtId="0" fontId="136" fillId="0" borderId="0" xfId="0" applyFont="1"/>
    <xf numFmtId="0" fontId="137" fillId="0" borderId="0" xfId="0" applyFont="1"/>
    <xf numFmtId="0" fontId="30" fillId="0" borderId="19" xfId="0" applyFont="1" applyBorder="1"/>
    <xf numFmtId="0" fontId="48" fillId="0" borderId="0" xfId="0" applyFont="1" applyProtection="1">
      <protection locked="0"/>
    </xf>
    <xf numFmtId="0" fontId="74" fillId="49" borderId="0" xfId="0" applyFont="1" applyFill="1" applyAlignment="1">
      <alignment wrapText="1"/>
    </xf>
    <xf numFmtId="44" fontId="2" fillId="0" borderId="0" xfId="2" applyFont="1" applyFill="1"/>
    <xf numFmtId="0" fontId="2" fillId="48" borderId="0" xfId="0" applyFont="1" applyFill="1" applyAlignment="1">
      <alignment wrapText="1"/>
    </xf>
    <xf numFmtId="1" fontId="59" fillId="20" borderId="0" xfId="0" applyNumberFormat="1" applyFont="1" applyFill="1"/>
    <xf numFmtId="0" fontId="59" fillId="15" borderId="7" xfId="0" applyFont="1" applyFill="1" applyBorder="1" applyProtection="1">
      <protection locked="0"/>
    </xf>
    <xf numFmtId="0" fontId="0" fillId="15" borderId="7" xfId="0" applyFill="1" applyBorder="1" applyProtection="1">
      <protection locked="0"/>
    </xf>
    <xf numFmtId="0" fontId="0" fillId="15" borderId="0" xfId="0" applyFill="1" applyProtection="1">
      <protection locked="0"/>
    </xf>
    <xf numFmtId="0" fontId="0" fillId="0" borderId="0" xfId="0" applyProtection="1">
      <protection locked="0"/>
    </xf>
    <xf numFmtId="0" fontId="34" fillId="0" borderId="0" xfId="0" applyFont="1" applyAlignment="1" applyProtection="1">
      <alignment vertical="top"/>
      <protection hidden="1"/>
    </xf>
    <xf numFmtId="0" fontId="45" fillId="0" borderId="0" xfId="0" applyFont="1" applyAlignment="1" applyProtection="1">
      <alignment vertical="top"/>
      <protection hidden="1"/>
    </xf>
    <xf numFmtId="0" fontId="45" fillId="0" borderId="5" xfId="0" applyFont="1" applyBorder="1" applyAlignment="1" applyProtection="1">
      <alignment vertical="top"/>
      <protection hidden="1"/>
    </xf>
    <xf numFmtId="0" fontId="0" fillId="6" borderId="4" xfId="0" applyFill="1" applyBorder="1" applyProtection="1">
      <protection locked="0"/>
    </xf>
    <xf numFmtId="0" fontId="2" fillId="8" borderId="0" xfId="0" applyFont="1" applyFill="1"/>
    <xf numFmtId="0" fontId="58" fillId="7" borderId="0" xfId="0" applyFont="1" applyFill="1" applyAlignment="1">
      <alignment wrapText="1"/>
    </xf>
    <xf numFmtId="2" fontId="2" fillId="0" borderId="0" xfId="0" applyNumberFormat="1" applyFont="1" applyAlignment="1">
      <alignment wrapText="1"/>
    </xf>
    <xf numFmtId="0" fontId="2" fillId="14" borderId="0" xfId="0" applyFont="1" applyFill="1"/>
    <xf numFmtId="10" fontId="59" fillId="0" borderId="0" xfId="3" applyNumberFormat="1" applyFont="1"/>
    <xf numFmtId="10" fontId="59" fillId="0" borderId="0" xfId="0" applyNumberFormat="1" applyFont="1"/>
    <xf numFmtId="180" fontId="59" fillId="0" borderId="0" xfId="0" applyNumberFormat="1" applyFont="1"/>
    <xf numFmtId="2" fontId="2" fillId="0" borderId="0" xfId="0" applyNumberFormat="1" applyFont="1"/>
    <xf numFmtId="0" fontId="2" fillId="0" borderId="21" xfId="0" applyFont="1" applyBorder="1" applyAlignment="1">
      <alignment vertical="top" wrapText="1"/>
    </xf>
    <xf numFmtId="14" fontId="2" fillId="0" borderId="20" xfId="0" applyNumberFormat="1" applyFont="1" applyBorder="1" applyAlignment="1">
      <alignment horizontal="left" vertical="top"/>
    </xf>
    <xf numFmtId="0" fontId="32" fillId="0" borderId="19" xfId="0" applyFont="1" applyBorder="1"/>
    <xf numFmtId="0" fontId="32" fillId="0" borderId="21" xfId="0" applyFont="1" applyBorder="1"/>
    <xf numFmtId="0" fontId="0" fillId="0" borderId="0" xfId="0" applyAlignment="1">
      <alignment horizontal="center"/>
    </xf>
    <xf numFmtId="0" fontId="50" fillId="2" borderId="0" xfId="0" applyFont="1" applyFill="1" applyAlignment="1">
      <alignment horizontal="center"/>
    </xf>
    <xf numFmtId="187" fontId="51" fillId="0" borderId="0" xfId="0" applyNumberFormat="1" applyFont="1"/>
    <xf numFmtId="0" fontId="49" fillId="29" borderId="0" xfId="0" applyFont="1" applyFill="1" applyAlignment="1">
      <alignment horizontal="center"/>
    </xf>
    <xf numFmtId="14" fontId="0" fillId="0" borderId="0" xfId="0" applyNumberFormat="1"/>
    <xf numFmtId="0" fontId="46" fillId="0" borderId="0" xfId="0" applyFont="1"/>
    <xf numFmtId="0" fontId="55" fillId="0" borderId="0" xfId="0" applyFont="1" applyAlignment="1">
      <alignment horizontal="left"/>
    </xf>
    <xf numFmtId="0" fontId="55" fillId="0" borderId="0" xfId="0" applyFont="1"/>
    <xf numFmtId="0" fontId="113" fillId="0" borderId="0" xfId="0" applyFont="1" applyAlignment="1">
      <alignment wrapText="1"/>
    </xf>
    <xf numFmtId="0" fontId="50" fillId="0" borderId="0" xfId="0" applyFont="1" applyAlignment="1">
      <alignment wrapText="1"/>
    </xf>
    <xf numFmtId="10" fontId="43" fillId="0" borderId="0" xfId="0" applyNumberFormat="1" applyFont="1" applyAlignment="1">
      <alignment horizontal="center" vertical="center" wrapText="1"/>
    </xf>
    <xf numFmtId="0" fontId="19" fillId="6" borderId="5" xfId="0" applyFont="1" applyFill="1" applyBorder="1" applyProtection="1">
      <protection hidden="1"/>
    </xf>
    <xf numFmtId="0" fontId="30" fillId="0" borderId="21" xfId="0" applyFont="1" applyBorder="1"/>
    <xf numFmtId="0" fontId="50" fillId="0" borderId="0" xfId="0" applyFont="1"/>
    <xf numFmtId="0" fontId="0" fillId="0" borderId="0" xfId="0"/>
    <xf numFmtId="0" fontId="82" fillId="8" borderId="0" xfId="1" applyFont="1" applyFill="1" applyBorder="1" applyAlignment="1" applyProtection="1">
      <alignment vertical="center" textRotation="255"/>
    </xf>
    <xf numFmtId="0" fontId="82" fillId="8" borderId="0" xfId="1" applyFont="1" applyFill="1" applyBorder="1" applyAlignment="1" applyProtection="1">
      <alignment horizontal="center" vertical="center" textRotation="255"/>
    </xf>
    <xf numFmtId="0" fontId="48" fillId="0" borderId="0" xfId="1" applyFont="1" applyAlignment="1" applyProtection="1"/>
    <xf numFmtId="0" fontId="0" fillId="0" borderId="14" xfId="0" applyBorder="1" applyAlignment="1">
      <alignment vertical="center" wrapText="1"/>
    </xf>
    <xf numFmtId="0" fontId="0" fillId="0" borderId="14" xfId="0" applyBorder="1"/>
    <xf numFmtId="0" fontId="0" fillId="0" borderId="0" xfId="0" applyAlignment="1">
      <alignment vertical="top" wrapText="1"/>
    </xf>
    <xf numFmtId="0" fontId="0" fillId="0" borderId="0" xfId="0" applyAlignment="1">
      <alignment vertical="top"/>
    </xf>
    <xf numFmtId="0" fontId="48" fillId="0" borderId="14" xfId="0" applyFont="1" applyBorder="1" applyAlignment="1">
      <alignment vertical="center" wrapText="1"/>
    </xf>
    <xf numFmtId="0" fontId="48" fillId="33" borderId="14" xfId="0" applyFont="1" applyFill="1" applyBorder="1" applyAlignment="1">
      <alignment vertical="center" wrapText="1"/>
    </xf>
    <xf numFmtId="0" fontId="48" fillId="0" borderId="7" xfId="0" applyFont="1" applyBorder="1" applyAlignment="1">
      <alignment vertical="center" wrapText="1"/>
    </xf>
    <xf numFmtId="0" fontId="0" fillId="0" borderId="7" xfId="0" applyBorder="1"/>
    <xf numFmtId="0" fontId="0" fillId="0" borderId="8" xfId="0" applyBorder="1"/>
    <xf numFmtId="0" fontId="48" fillId="0" borderId="12" xfId="0" applyFont="1" applyBorder="1" applyAlignment="1">
      <alignment vertical="center" wrapText="1"/>
    </xf>
    <xf numFmtId="0" fontId="0" fillId="0" borderId="18" xfId="0" applyBorder="1"/>
    <xf numFmtId="0" fontId="0" fillId="0" borderId="13" xfId="0" applyBorder="1"/>
    <xf numFmtId="0" fontId="0" fillId="0" borderId="0" xfId="0" applyAlignment="1">
      <alignment wrapText="1"/>
    </xf>
    <xf numFmtId="0" fontId="50" fillId="18" borderId="1" xfId="0" applyFont="1" applyFill="1" applyBorder="1" applyAlignment="1">
      <alignment horizontal="center" vertical="center" wrapText="1"/>
    </xf>
    <xf numFmtId="0" fontId="50" fillId="18" borderId="2" xfId="0" applyFont="1" applyFill="1" applyBorder="1" applyAlignment="1">
      <alignment horizontal="center" vertical="center" wrapText="1"/>
    </xf>
    <xf numFmtId="0" fontId="50" fillId="18" borderId="3" xfId="0" applyFont="1" applyFill="1" applyBorder="1" applyAlignment="1">
      <alignment horizontal="center" vertical="center" wrapText="1"/>
    </xf>
    <xf numFmtId="0" fontId="50" fillId="18" borderId="6" xfId="0" applyFont="1" applyFill="1" applyBorder="1" applyAlignment="1">
      <alignment horizontal="center" vertical="center" wrapText="1"/>
    </xf>
    <xf numFmtId="0" fontId="50" fillId="18" borderId="7" xfId="0" applyFont="1" applyFill="1" applyBorder="1" applyAlignment="1">
      <alignment horizontal="center" vertical="center" wrapText="1"/>
    </xf>
    <xf numFmtId="0" fontId="50" fillId="18" borderId="8" xfId="0" applyFont="1" applyFill="1" applyBorder="1" applyAlignment="1">
      <alignment horizontal="center" vertical="center" wrapText="1"/>
    </xf>
    <xf numFmtId="0" fontId="0" fillId="6" borderId="0" xfId="0" applyFill="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120" fillId="30" borderId="0" xfId="18" applyFont="1" applyFill="1" applyAlignment="1">
      <alignment horizontal="center" vertical="center" wrapText="1"/>
    </xf>
    <xf numFmtId="0" fontId="0" fillId="0" borderId="0" xfId="0" applyAlignment="1">
      <alignment vertical="center" wrapText="1"/>
    </xf>
    <xf numFmtId="0" fontId="58" fillId="7" borderId="0" xfId="0" applyFont="1" applyFill="1" applyAlignment="1">
      <alignment horizontal="center"/>
    </xf>
    <xf numFmtId="0" fontId="58" fillId="7" borderId="0" xfId="0" applyFont="1" applyFill="1" applyAlignment="1">
      <alignment horizontal="center" wrapText="1"/>
    </xf>
    <xf numFmtId="0" fontId="129" fillId="14" borderId="12" xfId="0" applyFont="1" applyFill="1" applyBorder="1" applyAlignment="1">
      <alignment horizontal="center" wrapText="1"/>
    </xf>
    <xf numFmtId="0" fontId="129" fillId="14" borderId="13" xfId="0" applyFont="1" applyFill="1" applyBorder="1" applyAlignment="1">
      <alignment horizontal="center" wrapText="1"/>
    </xf>
    <xf numFmtId="0" fontId="129" fillId="14" borderId="12" xfId="0" applyFont="1" applyFill="1" applyBorder="1" applyAlignment="1">
      <alignment horizontal="center"/>
    </xf>
    <xf numFmtId="0" fontId="129" fillId="14" borderId="13" xfId="0" applyFont="1" applyFill="1" applyBorder="1" applyAlignment="1">
      <alignment horizontal="center"/>
    </xf>
    <xf numFmtId="0" fontId="128" fillId="28" borderId="37" xfId="0" applyFont="1" applyFill="1" applyBorder="1" applyAlignment="1">
      <alignment wrapText="1"/>
    </xf>
    <xf numFmtId="0" fontId="128" fillId="28" borderId="36" xfId="0" applyFont="1" applyFill="1" applyBorder="1" applyAlignment="1">
      <alignment wrapText="1"/>
    </xf>
    <xf numFmtId="0" fontId="128" fillId="28" borderId="38" xfId="0" applyFont="1" applyFill="1" applyBorder="1" applyAlignment="1">
      <alignment wrapText="1"/>
    </xf>
    <xf numFmtId="0" fontId="129" fillId="6" borderId="9" xfId="0" applyFont="1" applyFill="1" applyBorder="1" applyAlignment="1">
      <alignment horizontal="left"/>
    </xf>
    <xf numFmtId="0" fontId="129" fillId="6" borderId="11" xfId="0" applyFont="1" applyFill="1" applyBorder="1" applyAlignment="1">
      <alignment horizontal="left"/>
    </xf>
    <xf numFmtId="0" fontId="11" fillId="0" borderId="0" xfId="0" applyFont="1" applyAlignment="1">
      <alignment horizontal="center"/>
    </xf>
    <xf numFmtId="0" fontId="11" fillId="0" borderId="14" xfId="0" applyFont="1" applyBorder="1" applyAlignment="1">
      <alignment horizontal="center"/>
    </xf>
    <xf numFmtId="0" fontId="128" fillId="8" borderId="9" xfId="0" applyFont="1" applyFill="1" applyBorder="1" applyAlignment="1">
      <alignment horizontal="center" vertical="center" wrapText="1"/>
    </xf>
    <xf numFmtId="0" fontId="128" fillId="8" borderId="10" xfId="0" applyFont="1" applyFill="1" applyBorder="1" applyAlignment="1">
      <alignment horizontal="center" vertical="center" wrapText="1"/>
    </xf>
    <xf numFmtId="0" fontId="128" fillId="8" borderId="11" xfId="0" applyFont="1" applyFill="1" applyBorder="1" applyAlignment="1">
      <alignment horizontal="center" vertical="center" wrapText="1"/>
    </xf>
    <xf numFmtId="0" fontId="26" fillId="0" borderId="12" xfId="0" applyFont="1" applyBorder="1" applyAlignment="1">
      <alignment horizontal="center" vertical="center"/>
    </xf>
    <xf numFmtId="0" fontId="26" fillId="0" borderId="18" xfId="0" applyFont="1" applyBorder="1" applyAlignment="1">
      <alignment horizontal="center" vertical="center"/>
    </xf>
    <xf numFmtId="0" fontId="26" fillId="0" borderId="13" xfId="0" applyFont="1" applyBorder="1" applyAlignment="1">
      <alignment horizontal="center" vertical="center"/>
    </xf>
    <xf numFmtId="0" fontId="51" fillId="2" borderId="1" xfId="0" applyFont="1" applyFill="1" applyBorder="1" applyAlignment="1" applyProtection="1">
      <alignment horizontal="center" vertical="center" wrapText="1"/>
      <protection hidden="1"/>
    </xf>
    <xf numFmtId="0" fontId="51" fillId="2" borderId="2" xfId="0" applyFont="1" applyFill="1" applyBorder="1" applyAlignment="1" applyProtection="1">
      <alignment horizontal="center" vertical="center" wrapText="1"/>
      <protection hidden="1"/>
    </xf>
    <xf numFmtId="0" fontId="51" fillId="2" borderId="3" xfId="0" applyFont="1" applyFill="1" applyBorder="1" applyAlignment="1" applyProtection="1">
      <alignment horizontal="center" vertical="center" wrapText="1"/>
      <protection hidden="1"/>
    </xf>
    <xf numFmtId="0" fontId="51" fillId="2" borderId="4" xfId="0" applyFont="1" applyFill="1" applyBorder="1" applyAlignment="1" applyProtection="1">
      <alignment horizontal="center"/>
      <protection hidden="1"/>
    </xf>
    <xf numFmtId="0" fontId="51" fillId="2" borderId="0" xfId="0" applyFont="1" applyFill="1" applyAlignment="1" applyProtection="1">
      <alignment horizontal="center"/>
      <protection hidden="1"/>
    </xf>
    <xf numFmtId="0" fontId="51" fillId="2" borderId="5" xfId="0" applyFont="1" applyFill="1" applyBorder="1" applyAlignment="1" applyProtection="1">
      <alignment horizontal="center"/>
      <protection hidden="1"/>
    </xf>
    <xf numFmtId="0" fontId="13" fillId="14" borderId="9" xfId="0" applyFont="1" applyFill="1" applyBorder="1" applyAlignment="1" applyProtection="1">
      <alignment horizontal="center"/>
      <protection locked="0"/>
    </xf>
    <xf numFmtId="0" fontId="47" fillId="14" borderId="10" xfId="0" applyFont="1" applyFill="1" applyBorder="1" applyAlignment="1" applyProtection="1">
      <alignment horizontal="center"/>
      <protection locked="0"/>
    </xf>
    <xf numFmtId="0" fontId="47" fillId="14" borderId="11" xfId="0" applyFont="1" applyFill="1" applyBorder="1" applyAlignment="1" applyProtection="1">
      <alignment horizontal="center"/>
      <protection locked="0"/>
    </xf>
    <xf numFmtId="191" fontId="59" fillId="3" borderId="12" xfId="0" applyNumberFormat="1" applyFont="1" applyFill="1" applyBorder="1" applyAlignment="1" applyProtection="1">
      <alignment horizontal="center"/>
      <protection locked="0"/>
    </xf>
    <xf numFmtId="191" fontId="59" fillId="3" borderId="13" xfId="0" applyNumberFormat="1" applyFont="1" applyFill="1" applyBorder="1" applyAlignment="1" applyProtection="1">
      <alignment horizontal="center"/>
      <protection locked="0"/>
    </xf>
    <xf numFmtId="14" fontId="132" fillId="0" borderId="1" xfId="0" applyNumberFormat="1" applyFont="1" applyBorder="1" applyAlignment="1" applyProtection="1">
      <alignment horizontal="left"/>
      <protection hidden="1"/>
    </xf>
    <xf numFmtId="0" fontId="132" fillId="0" borderId="2" xfId="0" applyFont="1" applyBorder="1" applyAlignment="1">
      <alignment horizontal="left"/>
    </xf>
    <xf numFmtId="14" fontId="47" fillId="3" borderId="12" xfId="0" applyNumberFormat="1" applyFont="1" applyFill="1" applyBorder="1" applyAlignment="1" applyProtection="1">
      <alignment horizontal="center"/>
      <protection locked="0"/>
    </xf>
    <xf numFmtId="14" fontId="47" fillId="3" borderId="13" xfId="0" applyNumberFormat="1" applyFont="1" applyFill="1" applyBorder="1" applyAlignment="1" applyProtection="1">
      <alignment horizontal="center"/>
      <protection locked="0"/>
    </xf>
    <xf numFmtId="0" fontId="59" fillId="4" borderId="7" xfId="0" applyFont="1" applyFill="1" applyBorder="1" applyProtection="1">
      <protection locked="0"/>
    </xf>
    <xf numFmtId="0" fontId="0" fillId="0" borderId="7" xfId="0" applyBorder="1" applyProtection="1">
      <protection locked="0"/>
    </xf>
    <xf numFmtId="0" fontId="59" fillId="4" borderId="7" xfId="0" applyFont="1" applyFill="1" applyBorder="1" applyAlignment="1" applyProtection="1">
      <alignment vertical="top"/>
      <protection locked="0"/>
    </xf>
    <xf numFmtId="0" fontId="47" fillId="0" borderId="0" xfId="0" applyFont="1" applyAlignment="1">
      <alignment horizontal="center"/>
    </xf>
    <xf numFmtId="0" fontId="61" fillId="5" borderId="9" xfId="1" applyFill="1" applyBorder="1" applyAlignment="1" applyProtection="1">
      <alignment horizontal="center" wrapText="1"/>
      <protection locked="0"/>
    </xf>
    <xf numFmtId="0" fontId="61" fillId="0" borderId="10" xfId="1" applyBorder="1" applyAlignment="1" applyProtection="1">
      <protection locked="0"/>
    </xf>
    <xf numFmtId="0" fontId="61" fillId="0" borderId="11" xfId="1" applyBorder="1" applyAlignment="1" applyProtection="1">
      <protection locked="0"/>
    </xf>
    <xf numFmtId="49" fontId="61" fillId="4" borderId="7" xfId="1"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49" fontId="61" fillId="4" borderId="7" xfId="1" applyNumberFormat="1" applyFill="1" applyBorder="1" applyAlignment="1" applyProtection="1">
      <protection locked="0"/>
    </xf>
    <xf numFmtId="49" fontId="0" fillId="0" borderId="7" xfId="0" applyNumberFormat="1" applyBorder="1" applyProtection="1">
      <protection locked="0"/>
    </xf>
    <xf numFmtId="0" fontId="26" fillId="27" borderId="12" xfId="0" applyFont="1" applyFill="1" applyBorder="1" applyAlignment="1" applyProtection="1">
      <alignment horizontal="left"/>
      <protection locked="0"/>
    </xf>
    <xf numFmtId="0" fontId="26" fillId="27" borderId="18" xfId="0" applyFont="1" applyFill="1" applyBorder="1" applyAlignment="1" applyProtection="1">
      <alignment horizontal="left"/>
      <protection locked="0"/>
    </xf>
    <xf numFmtId="0" fontId="26" fillId="27" borderId="13" xfId="0" applyFont="1" applyFill="1" applyBorder="1" applyAlignment="1" applyProtection="1">
      <alignment horizontal="left"/>
      <protection locked="0"/>
    </xf>
    <xf numFmtId="49" fontId="26" fillId="3" borderId="12" xfId="0" applyNumberFormat="1" applyFont="1" applyFill="1" applyBorder="1" applyAlignment="1" applyProtection="1">
      <alignment horizontal="center" vertical="center"/>
      <protection locked="0"/>
    </xf>
    <xf numFmtId="49" fontId="26" fillId="3" borderId="18" xfId="0" applyNumberFormat="1" applyFont="1" applyFill="1" applyBorder="1" applyAlignment="1" applyProtection="1">
      <alignment horizontal="center" vertical="center"/>
      <protection locked="0"/>
    </xf>
    <xf numFmtId="49" fontId="26" fillId="3" borderId="13" xfId="0" applyNumberFormat="1" applyFont="1" applyFill="1" applyBorder="1" applyAlignment="1" applyProtection="1">
      <alignment horizontal="center" vertical="center"/>
      <protection locked="0"/>
    </xf>
    <xf numFmtId="49" fontId="59" fillId="4" borderId="7" xfId="0" applyNumberFormat="1" applyFont="1" applyFill="1" applyBorder="1" applyProtection="1">
      <protection locked="0"/>
    </xf>
    <xf numFmtId="49" fontId="4" fillId="3" borderId="7" xfId="0" applyNumberFormat="1" applyFont="1" applyFill="1" applyBorder="1" applyAlignment="1" applyProtection="1">
      <alignment vertical="center"/>
      <protection locked="0"/>
    </xf>
    <xf numFmtId="0" fontId="23" fillId="3" borderId="7" xfId="0" applyFont="1" applyFill="1" applyBorder="1" applyAlignment="1" applyProtection="1">
      <alignment vertical="center"/>
      <protection locked="0"/>
    </xf>
    <xf numFmtId="49" fontId="59" fillId="4" borderId="7" xfId="0" applyNumberFormat="1" applyFont="1" applyFill="1" applyBorder="1" applyAlignment="1" applyProtection="1">
      <alignment horizontal="left"/>
      <protection locked="0"/>
    </xf>
    <xf numFmtId="0" fontId="3" fillId="27" borderId="7" xfId="0" applyFont="1" applyFill="1" applyBorder="1" applyProtection="1">
      <protection locked="0"/>
    </xf>
    <xf numFmtId="0" fontId="24" fillId="27" borderId="7" xfId="0" applyFont="1" applyFill="1" applyBorder="1" applyProtection="1">
      <protection locked="0"/>
    </xf>
    <xf numFmtId="0" fontId="50" fillId="2" borderId="46" xfId="0" applyFont="1" applyFill="1" applyBorder="1" applyAlignment="1">
      <alignment horizontal="center"/>
    </xf>
    <xf numFmtId="0" fontId="50" fillId="2" borderId="42" xfId="0" applyFont="1" applyFill="1" applyBorder="1" applyAlignment="1">
      <alignment horizontal="center"/>
    </xf>
    <xf numFmtId="0" fontId="50" fillId="2" borderId="43" xfId="0" applyFont="1" applyFill="1" applyBorder="1" applyAlignment="1">
      <alignment horizontal="center"/>
    </xf>
    <xf numFmtId="0" fontId="0" fillId="15" borderId="6" xfId="0" applyFill="1" applyBorder="1" applyAlignment="1" applyProtection="1">
      <alignment horizontal="left"/>
      <protection locked="0"/>
    </xf>
    <xf numFmtId="0" fontId="0" fillId="15" borderId="7" xfId="0" applyFill="1" applyBorder="1" applyAlignment="1" applyProtection="1">
      <alignment horizontal="left"/>
      <protection locked="0"/>
    </xf>
    <xf numFmtId="0" fontId="0" fillId="15" borderId="8" xfId="0" applyFill="1" applyBorder="1" applyAlignment="1" applyProtection="1">
      <alignment horizontal="left"/>
      <protection locked="0"/>
    </xf>
    <xf numFmtId="0" fontId="0" fillId="15" borderId="12" xfId="0" applyFill="1" applyBorder="1" applyAlignment="1" applyProtection="1">
      <alignment horizontal="left"/>
      <protection locked="0"/>
    </xf>
    <xf numFmtId="0" fontId="0" fillId="15" borderId="18" xfId="0" applyFill="1" applyBorder="1" applyAlignment="1" applyProtection="1">
      <alignment horizontal="left"/>
      <protection locked="0"/>
    </xf>
    <xf numFmtId="0" fontId="0" fillId="15" borderId="13" xfId="0" applyFill="1" applyBorder="1" applyAlignment="1" applyProtection="1">
      <alignment horizontal="left"/>
      <protection locked="0"/>
    </xf>
    <xf numFmtId="0" fontId="61" fillId="5" borderId="10" xfId="1" applyFill="1" applyBorder="1" applyAlignment="1" applyProtection="1">
      <alignment horizontal="center" wrapText="1"/>
      <protection locked="0"/>
    </xf>
    <xf numFmtId="0" fontId="61" fillId="5" borderId="11" xfId="1" applyFill="1" applyBorder="1" applyAlignment="1" applyProtection="1">
      <alignment horizontal="center" wrapText="1"/>
      <protection locked="0"/>
    </xf>
    <xf numFmtId="0" fontId="50" fillId="2" borderId="1" xfId="0" applyFont="1" applyFill="1" applyBorder="1" applyAlignment="1">
      <alignment horizontal="center"/>
    </xf>
    <xf numFmtId="0" fontId="50" fillId="2" borderId="2" xfId="0" applyFont="1" applyFill="1" applyBorder="1" applyAlignment="1">
      <alignment horizontal="center"/>
    </xf>
    <xf numFmtId="0" fontId="50" fillId="2" borderId="4" xfId="0" applyFont="1" applyFill="1" applyBorder="1" applyAlignment="1">
      <alignment horizontal="center"/>
    </xf>
    <xf numFmtId="0" fontId="50" fillId="2" borderId="0" xfId="0" applyFont="1" applyFill="1" applyAlignment="1">
      <alignment horizontal="center"/>
    </xf>
    <xf numFmtId="0" fontId="50" fillId="2" borderId="47" xfId="0" applyFont="1" applyFill="1" applyBorder="1" applyAlignment="1">
      <alignment horizontal="center"/>
    </xf>
    <xf numFmtId="0" fontId="0" fillId="6" borderId="12" xfId="0" applyFill="1" applyBorder="1" applyAlignment="1">
      <alignment horizontal="left" wrapText="1"/>
    </xf>
    <xf numFmtId="0" fontId="0" fillId="6" borderId="13" xfId="0" applyFill="1" applyBorder="1" applyAlignment="1">
      <alignment horizontal="left" wrapText="1"/>
    </xf>
    <xf numFmtId="0" fontId="0" fillId="6" borderId="18" xfId="0" applyFill="1" applyBorder="1" applyAlignment="1">
      <alignment horizontal="left" wrapText="1"/>
    </xf>
    <xf numFmtId="0" fontId="40" fillId="2" borderId="2" xfId="0" applyFont="1" applyFill="1" applyBorder="1" applyAlignment="1">
      <alignment horizontal="left"/>
    </xf>
    <xf numFmtId="0" fontId="59" fillId="2" borderId="7" xfId="0" applyFont="1" applyFill="1" applyBorder="1" applyAlignment="1">
      <alignment horizontal="left"/>
    </xf>
    <xf numFmtId="0" fontId="40" fillId="2" borderId="3" xfId="0" applyFont="1" applyFill="1" applyBorder="1" applyAlignment="1">
      <alignment horizontal="left"/>
    </xf>
    <xf numFmtId="14" fontId="40" fillId="2" borderId="7" xfId="0" applyNumberFormat="1" applyFont="1" applyFill="1" applyBorder="1" applyAlignment="1">
      <alignment horizontal="left"/>
    </xf>
    <xf numFmtId="14" fontId="40" fillId="2" borderId="8" xfId="0" applyNumberFormat="1" applyFont="1" applyFill="1" applyBorder="1" applyAlignment="1">
      <alignment horizontal="left"/>
    </xf>
    <xf numFmtId="0" fontId="0" fillId="2" borderId="12" xfId="0" applyFill="1" applyBorder="1" applyAlignment="1">
      <alignment horizontal="center" vertical="center"/>
    </xf>
    <xf numFmtId="0" fontId="0" fillId="2" borderId="18" xfId="0" applyFill="1" applyBorder="1" applyAlignment="1">
      <alignment horizontal="center" vertical="center"/>
    </xf>
    <xf numFmtId="0" fontId="0" fillId="2" borderId="13" xfId="0" applyFill="1" applyBorder="1" applyAlignment="1">
      <alignment horizontal="center" vertical="center"/>
    </xf>
    <xf numFmtId="0" fontId="0" fillId="15" borderId="1" xfId="0" applyFill="1" applyBorder="1" applyAlignment="1" applyProtection="1">
      <alignment horizontal="left" vertical="top" wrapText="1"/>
      <protection locked="0"/>
    </xf>
    <xf numFmtId="0" fontId="0" fillId="15" borderId="2" xfId="0" applyFill="1" applyBorder="1" applyAlignment="1" applyProtection="1">
      <alignment horizontal="left" vertical="top" wrapText="1"/>
      <protection locked="0"/>
    </xf>
    <xf numFmtId="0" fontId="0" fillId="15" borderId="3" xfId="0" applyFill="1" applyBorder="1" applyAlignment="1" applyProtection="1">
      <alignment horizontal="left" vertical="top" wrapText="1"/>
      <protection locked="0"/>
    </xf>
    <xf numFmtId="0" fontId="0" fillId="15" borderId="4" xfId="0" applyFill="1" applyBorder="1" applyAlignment="1" applyProtection="1">
      <alignment horizontal="left" vertical="top" wrapText="1"/>
      <protection locked="0"/>
    </xf>
    <xf numFmtId="0" fontId="0" fillId="15" borderId="0" xfId="0" applyFill="1" applyAlignment="1" applyProtection="1">
      <alignment horizontal="left" vertical="top" wrapText="1"/>
      <protection locked="0"/>
    </xf>
    <xf numFmtId="0" fontId="0" fillId="15" borderId="5" xfId="0" applyFill="1" applyBorder="1" applyAlignment="1" applyProtection="1">
      <alignment horizontal="left" vertical="top" wrapText="1"/>
      <protection locked="0"/>
    </xf>
    <xf numFmtId="0" fontId="0" fillId="15" borderId="6" xfId="0" applyFill="1" applyBorder="1" applyAlignment="1" applyProtection="1">
      <alignment horizontal="left" vertical="top" wrapText="1"/>
      <protection locked="0"/>
    </xf>
    <xf numFmtId="0" fontId="0" fillId="15" borderId="7" xfId="0" applyFill="1" applyBorder="1" applyAlignment="1" applyProtection="1">
      <alignment horizontal="left" vertical="top" wrapText="1"/>
      <protection locked="0"/>
    </xf>
    <xf numFmtId="0" fontId="0" fillId="15" borderId="8" xfId="0" applyFill="1" applyBorder="1" applyAlignment="1" applyProtection="1">
      <alignment horizontal="left" vertical="top" wrapText="1"/>
      <protection locked="0"/>
    </xf>
    <xf numFmtId="0" fontId="0" fillId="0" borderId="0" xfId="0" applyAlignment="1">
      <alignment horizontal="center"/>
    </xf>
    <xf numFmtId="0" fontId="0" fillId="0" borderId="5" xfId="0" applyBorder="1" applyAlignment="1">
      <alignment horizontal="center"/>
    </xf>
    <xf numFmtId="0" fontId="0" fillId="2" borderId="12" xfId="0" applyFill="1" applyBorder="1" applyAlignment="1">
      <alignment horizontal="center"/>
    </xf>
    <xf numFmtId="0" fontId="82" fillId="2" borderId="18" xfId="0" applyFont="1" applyFill="1" applyBorder="1" applyAlignment="1">
      <alignment horizontal="center"/>
    </xf>
    <xf numFmtId="0" fontId="82" fillId="2" borderId="13" xfId="0" applyFont="1" applyFill="1" applyBorder="1" applyAlignment="1">
      <alignment horizontal="center"/>
    </xf>
    <xf numFmtId="0" fontId="0" fillId="0" borderId="12" xfId="0" applyBorder="1" applyAlignment="1">
      <alignment horizontal="left"/>
    </xf>
    <xf numFmtId="0" fontId="0" fillId="0" borderId="13" xfId="0" applyBorder="1" applyAlignment="1">
      <alignment horizontal="left"/>
    </xf>
    <xf numFmtId="0" fontId="0" fillId="8" borderId="0" xfId="0" applyFill="1" applyAlignment="1">
      <alignment horizontal="center"/>
    </xf>
    <xf numFmtId="0" fontId="0" fillId="8" borderId="0" xfId="0" applyFill="1" applyAlignment="1">
      <alignment horizontal="left" wrapText="1"/>
    </xf>
    <xf numFmtId="0" fontId="0" fillId="8" borderId="0" xfId="0" applyFill="1" applyAlignment="1">
      <alignment horizontal="left" vertical="top" wrapText="1"/>
    </xf>
    <xf numFmtId="0" fontId="50" fillId="2" borderId="12" xfId="0" applyFont="1" applyFill="1" applyBorder="1" applyAlignment="1">
      <alignment horizontal="center" vertical="center"/>
    </xf>
    <xf numFmtId="0" fontId="50" fillId="2" borderId="18" xfId="0" applyFont="1" applyFill="1" applyBorder="1" applyAlignment="1">
      <alignment horizontal="center" vertical="center"/>
    </xf>
    <xf numFmtId="0" fontId="50" fillId="2" borderId="13" xfId="0" applyFont="1" applyFill="1" applyBorder="1" applyAlignment="1">
      <alignment horizontal="center" vertical="center"/>
    </xf>
    <xf numFmtId="0" fontId="61" fillId="5" borderId="9" xfId="1" applyFill="1" applyBorder="1" applyAlignment="1" applyProtection="1">
      <alignment horizontal="center" wrapText="1"/>
    </xf>
    <xf numFmtId="0" fontId="61" fillId="0" borderId="10" xfId="1" applyBorder="1" applyAlignment="1" applyProtection="1"/>
    <xf numFmtId="0" fontId="61" fillId="0" borderId="11" xfId="1" applyBorder="1" applyAlignment="1" applyProtection="1"/>
    <xf numFmtId="165" fontId="37" fillId="0" borderId="20" xfId="0" applyNumberFormat="1" applyFont="1" applyBorder="1" applyAlignment="1" applyProtection="1">
      <alignment horizontal="center" vertical="center"/>
      <protection hidden="1"/>
    </xf>
    <xf numFmtId="165" fontId="37" fillId="0" borderId="76" xfId="0" applyNumberFormat="1" applyFont="1" applyBorder="1" applyAlignment="1" applyProtection="1">
      <alignment horizontal="center" vertical="center"/>
      <protection hidden="1"/>
    </xf>
    <xf numFmtId="164" fontId="50" fillId="25" borderId="9" xfId="0" applyNumberFormat="1" applyFont="1" applyFill="1" applyBorder="1" applyAlignment="1" applyProtection="1">
      <alignment horizontal="center"/>
      <protection hidden="1"/>
    </xf>
    <xf numFmtId="164" fontId="50" fillId="25" borderId="10" xfId="0" applyNumberFormat="1" applyFont="1" applyFill="1" applyBorder="1" applyAlignment="1" applyProtection="1">
      <alignment horizontal="center"/>
      <protection hidden="1"/>
    </xf>
    <xf numFmtId="164" fontId="50" fillId="25" borderId="11" xfId="0" applyNumberFormat="1" applyFont="1" applyFill="1" applyBorder="1" applyAlignment="1" applyProtection="1">
      <alignment horizontal="center"/>
      <protection hidden="1"/>
    </xf>
    <xf numFmtId="4" fontId="53" fillId="14" borderId="37" xfId="0" applyNumberFormat="1" applyFont="1" applyFill="1" applyBorder="1" applyAlignment="1" applyProtection="1">
      <alignment horizontal="left" vertical="top"/>
      <protection hidden="1"/>
    </xf>
    <xf numFmtId="4" fontId="53" fillId="14" borderId="39" xfId="0" applyNumberFormat="1" applyFont="1" applyFill="1" applyBorder="1" applyAlignment="1" applyProtection="1">
      <alignment horizontal="left" vertical="top"/>
      <protection hidden="1"/>
    </xf>
    <xf numFmtId="0" fontId="0" fillId="14" borderId="20" xfId="0" applyFill="1" applyBorder="1" applyAlignment="1" applyProtection="1">
      <alignment horizontal="center" vertical="center"/>
      <protection hidden="1"/>
    </xf>
    <xf numFmtId="0" fontId="0" fillId="14" borderId="21" xfId="0" applyFill="1" applyBorder="1" applyAlignment="1" applyProtection="1">
      <alignment horizontal="center" vertical="center"/>
      <protection hidden="1"/>
    </xf>
    <xf numFmtId="164" fontId="50" fillId="6" borderId="10" xfId="0" applyNumberFormat="1" applyFont="1" applyFill="1" applyBorder="1" applyAlignment="1" applyProtection="1">
      <alignment horizontal="center"/>
      <protection hidden="1"/>
    </xf>
    <xf numFmtId="0" fontId="74" fillId="6" borderId="20" xfId="0" applyFont="1" applyFill="1" applyBorder="1" applyAlignment="1" applyProtection="1">
      <alignment horizontal="center" vertical="center" wrapText="1"/>
      <protection hidden="1"/>
    </xf>
    <xf numFmtId="0" fontId="74" fillId="6" borderId="21" xfId="0" applyFont="1" applyFill="1" applyBorder="1" applyAlignment="1" applyProtection="1">
      <alignment horizontal="center" vertical="center" wrapText="1"/>
      <protection hidden="1"/>
    </xf>
    <xf numFmtId="0" fontId="0" fillId="26" borderId="0" xfId="0" applyFill="1" applyAlignment="1">
      <alignment horizontal="center"/>
    </xf>
    <xf numFmtId="165" fontId="85" fillId="14" borderId="24" xfId="0" applyNumberFormat="1" applyFont="1" applyFill="1" applyBorder="1" applyAlignment="1">
      <alignment horizontal="center"/>
    </xf>
    <xf numFmtId="165" fontId="85" fillId="14" borderId="49" xfId="0" applyNumberFormat="1" applyFont="1" applyFill="1" applyBorder="1" applyAlignment="1">
      <alignment horizontal="center"/>
    </xf>
    <xf numFmtId="165" fontId="85" fillId="14" borderId="53" xfId="0" applyNumberFormat="1" applyFont="1" applyFill="1" applyBorder="1" applyAlignment="1">
      <alignment horizontal="center"/>
    </xf>
    <xf numFmtId="0" fontId="38" fillId="6" borderId="0" xfId="0" applyFont="1" applyFill="1" applyAlignment="1" applyProtection="1">
      <alignment horizontal="center"/>
      <protection hidden="1"/>
    </xf>
    <xf numFmtId="180" fontId="85" fillId="14" borderId="73" xfId="0" applyNumberFormat="1" applyFont="1" applyFill="1" applyBorder="1" applyAlignment="1">
      <alignment horizontal="left"/>
    </xf>
    <xf numFmtId="180" fontId="85" fillId="14" borderId="74" xfId="0" applyNumberFormat="1" applyFont="1" applyFill="1" applyBorder="1" applyAlignment="1">
      <alignment horizontal="left"/>
    </xf>
    <xf numFmtId="180" fontId="85" fillId="14" borderId="75" xfId="0" applyNumberFormat="1" applyFont="1" applyFill="1" applyBorder="1" applyAlignment="1">
      <alignment horizontal="left"/>
    </xf>
    <xf numFmtId="44" fontId="85" fillId="14" borderId="24" xfId="0" applyNumberFormat="1" applyFont="1" applyFill="1" applyBorder="1" applyAlignment="1">
      <alignment horizontal="left"/>
    </xf>
    <xf numFmtId="44" fontId="85" fillId="14" borderId="49" xfId="0" applyNumberFormat="1" applyFont="1" applyFill="1" applyBorder="1" applyAlignment="1">
      <alignment horizontal="left"/>
    </xf>
    <xf numFmtId="44" fontId="85" fillId="14" borderId="53" xfId="0" applyNumberFormat="1" applyFont="1" applyFill="1" applyBorder="1" applyAlignment="1">
      <alignment horizontal="left"/>
    </xf>
    <xf numFmtId="0" fontId="59" fillId="0" borderId="2" xfId="0" applyFont="1" applyBorder="1" applyAlignment="1">
      <alignment horizontal="center"/>
    </xf>
    <xf numFmtId="0" fontId="59" fillId="0" borderId="7" xfId="0" applyFont="1" applyBorder="1" applyAlignment="1">
      <alignment horizontal="center"/>
    </xf>
    <xf numFmtId="0" fontId="48" fillId="9" borderId="7" xfId="0" applyFont="1" applyFill="1" applyBorder="1" applyProtection="1">
      <protection locked="0"/>
    </xf>
    <xf numFmtId="0" fontId="72" fillId="0" borderId="0" xfId="0" applyFont="1" applyAlignment="1">
      <alignment horizontal="center" wrapText="1"/>
    </xf>
    <xf numFmtId="0" fontId="59" fillId="0" borderId="0" xfId="0" applyFont="1" applyAlignment="1">
      <alignment horizontal="left" vertical="top"/>
    </xf>
    <xf numFmtId="0" fontId="59" fillId="0" borderId="0" xfId="0" applyFont="1" applyAlignment="1">
      <alignment horizontal="left"/>
    </xf>
    <xf numFmtId="0" fontId="0" fillId="9" borderId="0" xfId="0" applyFill="1" applyAlignment="1" applyProtection="1">
      <alignment horizontal="center" vertical="top" wrapText="1"/>
      <protection locked="0"/>
    </xf>
    <xf numFmtId="0" fontId="48" fillId="9" borderId="0" xfId="0" applyFont="1" applyFill="1" applyAlignment="1" applyProtection="1">
      <alignment horizontal="center" vertical="top" wrapText="1"/>
      <protection locked="0"/>
    </xf>
    <xf numFmtId="0" fontId="48" fillId="6" borderId="0" xfId="0" applyFont="1" applyFill="1" applyAlignment="1">
      <alignment horizontal="center"/>
    </xf>
    <xf numFmtId="0" fontId="76" fillId="2" borderId="1" xfId="0" applyFont="1" applyFill="1" applyBorder="1" applyAlignment="1">
      <alignment horizontal="center"/>
    </xf>
    <xf numFmtId="0" fontId="76" fillId="2" borderId="2" xfId="0" applyFont="1" applyFill="1" applyBorder="1" applyAlignment="1">
      <alignment horizontal="center"/>
    </xf>
    <xf numFmtId="0" fontId="77" fillId="0" borderId="3" xfId="0" applyFont="1" applyBorder="1" applyAlignment="1">
      <alignment horizontal="center"/>
    </xf>
    <xf numFmtId="0" fontId="77" fillId="2" borderId="4" xfId="0" applyFont="1" applyFill="1" applyBorder="1" applyAlignment="1">
      <alignment horizontal="center" vertical="center"/>
    </xf>
    <xf numFmtId="0" fontId="77" fillId="2" borderId="0" xfId="0" applyFont="1" applyFill="1" applyAlignment="1">
      <alignment horizontal="center" vertical="center"/>
    </xf>
    <xf numFmtId="0" fontId="77" fillId="0" borderId="5" xfId="0" applyFont="1" applyBorder="1" applyAlignment="1">
      <alignment horizontal="center" vertical="center"/>
    </xf>
    <xf numFmtId="0" fontId="76" fillId="2" borderId="4" xfId="0" applyFont="1" applyFill="1" applyBorder="1" applyAlignment="1">
      <alignment horizontal="center"/>
    </xf>
    <xf numFmtId="0" fontId="76" fillId="2" borderId="0" xfId="0" applyFont="1" applyFill="1" applyAlignment="1">
      <alignment horizontal="center"/>
    </xf>
    <xf numFmtId="0" fontId="77" fillId="0" borderId="5" xfId="0" applyFont="1" applyBorder="1" applyAlignment="1">
      <alignment horizontal="center"/>
    </xf>
    <xf numFmtId="0" fontId="71" fillId="0" borderId="0" xfId="0" applyFont="1" applyAlignment="1">
      <alignment horizontal="center"/>
    </xf>
    <xf numFmtId="0" fontId="71" fillId="0" borderId="28" xfId="0" applyFont="1" applyBorder="1" applyAlignment="1">
      <alignment horizontal="center"/>
    </xf>
    <xf numFmtId="0" fontId="71" fillId="0" borderId="29" xfId="0" applyFont="1" applyBorder="1" applyAlignment="1">
      <alignment horizontal="center"/>
    </xf>
    <xf numFmtId="0" fontId="50" fillId="2" borderId="1" xfId="0" applyFont="1" applyFill="1" applyBorder="1" applyAlignment="1" applyProtection="1">
      <alignment horizontal="center" vertical="center" wrapText="1"/>
      <protection hidden="1"/>
    </xf>
    <xf numFmtId="0" fontId="50" fillId="2" borderId="2" xfId="0" applyFont="1" applyFill="1" applyBorder="1" applyAlignment="1" applyProtection="1">
      <alignment horizontal="center" vertical="center" wrapText="1"/>
      <protection hidden="1"/>
    </xf>
    <xf numFmtId="0" fontId="50" fillId="2" borderId="3" xfId="0" applyFont="1" applyFill="1" applyBorder="1" applyAlignment="1" applyProtection="1">
      <alignment horizontal="center" vertical="center" wrapText="1"/>
      <protection hidden="1"/>
    </xf>
    <xf numFmtId="0" fontId="51" fillId="0" borderId="0" xfId="0" applyFont="1" applyAlignment="1" applyProtection="1">
      <alignment horizontal="left" vertical="top" wrapText="1"/>
      <protection hidden="1"/>
    </xf>
    <xf numFmtId="191" fontId="40" fillId="7" borderId="0" xfId="0" applyNumberFormat="1" applyFont="1" applyFill="1" applyAlignment="1" applyProtection="1">
      <alignment horizontal="left"/>
      <protection hidden="1"/>
    </xf>
    <xf numFmtId="0" fontId="50" fillId="2" borderId="4" xfId="0" applyFont="1" applyFill="1" applyBorder="1" applyAlignment="1" applyProtection="1">
      <alignment horizontal="center" vertical="center" wrapText="1"/>
      <protection hidden="1"/>
    </xf>
    <xf numFmtId="0" fontId="50" fillId="2" borderId="0" xfId="0" applyFont="1" applyFill="1" applyAlignment="1" applyProtection="1">
      <alignment horizontal="center" vertical="center" wrapText="1"/>
      <protection hidden="1"/>
    </xf>
    <xf numFmtId="0" fontId="53" fillId="2" borderId="0" xfId="0" applyFont="1" applyFill="1" applyAlignment="1" applyProtection="1">
      <alignment horizontal="left"/>
      <protection hidden="1"/>
    </xf>
    <xf numFmtId="0" fontId="40" fillId="7" borderId="0" xfId="0" applyFont="1" applyFill="1" applyAlignment="1" applyProtection="1">
      <alignment horizontal="left"/>
      <protection hidden="1"/>
    </xf>
    <xf numFmtId="0" fontId="18" fillId="0" borderId="0" xfId="0" applyFont="1" applyAlignment="1" applyProtection="1">
      <alignment horizontal="left" vertical="center" wrapText="1"/>
      <protection hidden="1"/>
    </xf>
    <xf numFmtId="0" fontId="16" fillId="6" borderId="0" xfId="0" applyFont="1" applyFill="1" applyAlignment="1" applyProtection="1">
      <alignment horizontal="center"/>
      <protection hidden="1"/>
    </xf>
    <xf numFmtId="0" fontId="19" fillId="6" borderId="0" xfId="0" applyFont="1" applyFill="1" applyAlignment="1" applyProtection="1">
      <alignment horizontal="center"/>
      <protection hidden="1"/>
    </xf>
    <xf numFmtId="0" fontId="16" fillId="6" borderId="12" xfId="0" applyFont="1" applyFill="1" applyBorder="1" applyAlignment="1" applyProtection="1">
      <alignment horizontal="left"/>
      <protection hidden="1"/>
    </xf>
    <xf numFmtId="0" fontId="19" fillId="6" borderId="13" xfId="0" applyFont="1" applyFill="1" applyBorder="1" applyAlignment="1" applyProtection="1">
      <alignment horizontal="left"/>
      <protection hidden="1"/>
    </xf>
    <xf numFmtId="0" fontId="53" fillId="7" borderId="12" xfId="0" applyFont="1" applyFill="1" applyBorder="1" applyAlignment="1">
      <alignment horizontal="center" vertical="top"/>
    </xf>
    <xf numFmtId="0" fontId="50" fillId="0" borderId="18" xfId="0" applyFont="1" applyBorder="1" applyAlignment="1">
      <alignment horizontal="center" vertical="top"/>
    </xf>
    <xf numFmtId="0" fontId="50" fillId="0" borderId="13" xfId="0" applyFont="1" applyBorder="1" applyAlignment="1">
      <alignment horizontal="center" vertical="top"/>
    </xf>
    <xf numFmtId="0" fontId="51" fillId="2" borderId="1" xfId="0" applyFont="1" applyFill="1" applyBorder="1" applyAlignment="1" applyProtection="1">
      <alignment horizontal="center"/>
      <protection hidden="1"/>
    </xf>
    <xf numFmtId="0" fontId="51" fillId="2" borderId="2" xfId="0" applyFont="1" applyFill="1" applyBorder="1" applyAlignment="1" applyProtection="1">
      <alignment horizontal="center"/>
      <protection hidden="1"/>
    </xf>
    <xf numFmtId="0" fontId="0" fillId="0" borderId="2" xfId="0" applyBorder="1" applyProtection="1">
      <protection hidden="1"/>
    </xf>
    <xf numFmtId="0" fontId="0" fillId="0" borderId="2" xfId="0" applyBorder="1"/>
    <xf numFmtId="0" fontId="0" fillId="0" borderId="3" xfId="0" applyBorder="1"/>
    <xf numFmtId="0" fontId="0" fillId="0" borderId="0" xfId="0" applyProtection="1">
      <protection hidden="1"/>
    </xf>
    <xf numFmtId="0" fontId="0" fillId="0" borderId="5" xfId="0" applyBorder="1"/>
    <xf numFmtId="0" fontId="52" fillId="2" borderId="4" xfId="0" applyFont="1" applyFill="1" applyBorder="1" applyAlignment="1" applyProtection="1">
      <alignment horizontal="center"/>
      <protection hidden="1"/>
    </xf>
    <xf numFmtId="0" fontId="52" fillId="2" borderId="0" xfId="0" applyFont="1" applyFill="1" applyAlignment="1" applyProtection="1">
      <alignment horizontal="center"/>
      <protection hidden="1"/>
    </xf>
    <xf numFmtId="0" fontId="12" fillId="0" borderId="8" xfId="0" applyFont="1" applyBorder="1" applyAlignment="1">
      <alignment horizontal="center" vertical="top"/>
    </xf>
    <xf numFmtId="0" fontId="12" fillId="0" borderId="21" xfId="0" applyFont="1" applyBorder="1" applyAlignment="1">
      <alignment horizontal="center" vertical="top"/>
    </xf>
    <xf numFmtId="0" fontId="12" fillId="0" borderId="6" xfId="0" applyFont="1" applyBorder="1" applyAlignment="1">
      <alignment horizontal="center" vertical="top"/>
    </xf>
    <xf numFmtId="0" fontId="51" fillId="2" borderId="1" xfId="0" applyFont="1" applyFill="1" applyBorder="1" applyAlignment="1">
      <alignment horizontal="center" wrapText="1"/>
    </xf>
    <xf numFmtId="0" fontId="51" fillId="2" borderId="2" xfId="0" applyFont="1" applyFill="1" applyBorder="1" applyAlignment="1">
      <alignment horizontal="center"/>
    </xf>
    <xf numFmtId="0" fontId="51" fillId="2" borderId="3" xfId="0" applyFont="1" applyFill="1" applyBorder="1" applyAlignment="1">
      <alignment horizontal="center"/>
    </xf>
    <xf numFmtId="0" fontId="51" fillId="2" borderId="4" xfId="0" applyFont="1" applyFill="1" applyBorder="1" applyAlignment="1">
      <alignment horizontal="center"/>
    </xf>
    <xf numFmtId="0" fontId="51" fillId="2" borderId="0" xfId="0" applyFont="1" applyFill="1" applyAlignment="1">
      <alignment horizontal="center"/>
    </xf>
    <xf numFmtId="0" fontId="51" fillId="2" borderId="5" xfId="0" applyFont="1" applyFill="1" applyBorder="1" applyAlignment="1">
      <alignment horizontal="center"/>
    </xf>
    <xf numFmtId="0" fontId="51" fillId="2" borderId="6" xfId="0" applyFont="1" applyFill="1" applyBorder="1" applyAlignment="1">
      <alignment horizontal="center"/>
    </xf>
    <xf numFmtId="0" fontId="51" fillId="2" borderId="7" xfId="0" applyFont="1" applyFill="1" applyBorder="1" applyAlignment="1">
      <alignment horizontal="center"/>
    </xf>
    <xf numFmtId="0" fontId="51" fillId="2" borderId="8" xfId="0" applyFont="1" applyFill="1" applyBorder="1" applyAlignment="1">
      <alignment horizontal="center"/>
    </xf>
    <xf numFmtId="0" fontId="48" fillId="6" borderId="4" xfId="0" applyFont="1" applyFill="1" applyBorder="1"/>
  </cellXfs>
  <cellStyles count="20">
    <cellStyle name="40% - Akzent1 2" xfId="6" xr:uid="{00000000-0005-0000-0000-000000000000}"/>
    <cellStyle name="40% - Akzent3 2" xfId="7" xr:uid="{00000000-0005-0000-0000-000001000000}"/>
    <cellStyle name="Datum" xfId="8" xr:uid="{00000000-0005-0000-0000-000002000000}"/>
    <cellStyle name="Eingabe 2" xfId="4" xr:uid="{00000000-0005-0000-0000-000003000000}"/>
    <cellStyle name="Eingabe 2 2" xfId="9" xr:uid="{00000000-0005-0000-0000-000004000000}"/>
    <cellStyle name="Eingabe 3" xfId="10" xr:uid="{00000000-0005-0000-0000-000005000000}"/>
    <cellStyle name="Formelfeld" xfId="11" xr:uid="{00000000-0005-0000-0000-000006000000}"/>
    <cellStyle name="Formular" xfId="12" xr:uid="{00000000-0005-0000-0000-000007000000}"/>
    <cellStyle name="Komma 2" xfId="17" xr:uid="{00000000-0005-0000-0000-000008000000}"/>
    <cellStyle name="Link" xfId="1" builtinId="8"/>
    <cellStyle name="Prozent" xfId="3" builtinId="5"/>
    <cellStyle name="Prozent 2" xfId="5" xr:uid="{00000000-0005-0000-0000-00000B000000}"/>
    <cellStyle name="Standard" xfId="0" builtinId="0"/>
    <cellStyle name="Standard 2" xfId="13" xr:uid="{00000000-0005-0000-0000-00000D000000}"/>
    <cellStyle name="Standard 4" xfId="18" xr:uid="{00000000-0005-0000-0000-00000E000000}"/>
    <cellStyle name="Standard_Tabelle1" xfId="19" xr:uid="{806DA1E1-EC7C-4EB1-BC5E-7FCE513668AB}"/>
    <cellStyle name="Stunden" xfId="14" xr:uid="{00000000-0005-0000-0000-00000F000000}"/>
    <cellStyle name="Text" xfId="15" xr:uid="{00000000-0005-0000-0000-000010000000}"/>
    <cellStyle name="VZK" xfId="16" xr:uid="{00000000-0005-0000-0000-000011000000}"/>
    <cellStyle name="Währung" xfId="2" builtinId="4"/>
  </cellStyles>
  <dxfs count="30">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patternType="none">
          <bgColor auto="1"/>
        </patternFill>
      </fill>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tint="-4.9989318521683403E-2"/>
      </font>
      <fill>
        <patternFill>
          <bgColor theme="0" tint="-0.14996795556505021"/>
        </patternFill>
      </fill>
    </dxf>
    <dxf>
      <font>
        <color theme="0"/>
      </font>
      <fill>
        <patternFill patternType="none">
          <bgColor auto="1"/>
        </patternFill>
      </fill>
      <border>
        <left/>
        <right/>
        <top/>
        <bottom/>
        <vertical/>
        <horizontal/>
      </border>
    </dxf>
    <dxf>
      <font>
        <color theme="0" tint="-0.14996795556505021"/>
      </font>
    </dxf>
    <dxf>
      <fill>
        <patternFill>
          <bgColor theme="0"/>
        </patternFill>
      </fill>
    </dxf>
    <dxf>
      <font>
        <color theme="0" tint="-0.24994659260841701"/>
      </font>
    </dxf>
    <dxf>
      <font>
        <color theme="0" tint="-0.14996795556505021"/>
      </font>
      <fill>
        <patternFill>
          <bgColor theme="0"/>
        </patternFill>
      </fill>
      <border>
        <left/>
        <right/>
        <top/>
        <bottom/>
        <vertical/>
        <horizontal/>
      </border>
    </dxf>
    <dxf>
      <fill>
        <patternFill patternType="none">
          <bgColor auto="1"/>
        </patternFill>
      </fill>
    </dxf>
    <dxf>
      <font>
        <color rgb="FFFF0000"/>
      </font>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theme="0"/>
      </font>
    </dxf>
    <dxf>
      <fill>
        <patternFill patternType="none">
          <bgColor auto="1"/>
        </patternFill>
      </fill>
    </dxf>
    <dxf>
      <font>
        <color theme="0"/>
      </font>
      <fill>
        <patternFill>
          <fgColor theme="0"/>
        </patternFill>
      </fill>
      <border>
        <vertical/>
        <horizontal/>
      </border>
    </dxf>
    <dxf>
      <font>
        <color theme="0"/>
      </font>
      <fill>
        <patternFill>
          <bgColor theme="0"/>
        </patternFill>
      </fill>
      <border>
        <left/>
        <right/>
        <bottom/>
      </border>
    </dxf>
    <dxf>
      <fill>
        <patternFill>
          <bgColor theme="0" tint="-4.9989318521683403E-2"/>
        </patternFill>
      </fill>
    </dxf>
    <dxf>
      <font>
        <color theme="7" tint="0.79998168889431442"/>
      </font>
      <fill>
        <patternFill>
          <bgColor theme="7" tint="0.79998168889431442"/>
        </patternFill>
      </fill>
    </dxf>
    <dxf>
      <fill>
        <patternFill>
          <bgColor theme="0" tint="-4.9989318521683403E-2"/>
        </patternFill>
      </fill>
    </dxf>
    <dxf>
      <font>
        <color rgb="FFFF0000"/>
      </font>
    </dxf>
    <dxf>
      <fill>
        <patternFill>
          <bgColor theme="0"/>
        </patternFill>
      </fill>
    </dxf>
  </dxfs>
  <tableStyles count="0" defaultTableStyle="TableStyleMedium2" defaultPivotStyle="PivotStyleLight16"/>
  <colors>
    <mruColors>
      <color rgb="FFDEC8EE"/>
      <color rgb="FFFBF7A7"/>
      <color rgb="FF99CCFF"/>
      <color rgb="FFCCECFF"/>
      <color rgb="FFFF33CC"/>
      <color rgb="FFFFFFCC"/>
      <color rgb="FFFFF4CA"/>
      <color rgb="FFFBFD95"/>
      <color rgb="FFFFFF99"/>
      <color rgb="FFE7FB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142874</xdr:colOff>
      <xdr:row>46</xdr:row>
      <xdr:rowOff>9524</xdr:rowOff>
    </xdr:from>
    <xdr:to>
      <xdr:col>4</xdr:col>
      <xdr:colOff>38099</xdr:colOff>
      <xdr:row>47</xdr:row>
      <xdr:rowOff>123824</xdr:rowOff>
    </xdr:to>
    <xdr:sp macro="" textlink="">
      <xdr:nvSpPr>
        <xdr:cNvPr id="18" name="Textfeld 17">
          <a:extLst>
            <a:ext uri="{FF2B5EF4-FFF2-40B4-BE49-F238E27FC236}">
              <a16:creationId xmlns:a16="http://schemas.microsoft.com/office/drawing/2014/main" id="{1A39A869-7335-4709-A17E-53D3DEBCE52D}"/>
            </a:ext>
          </a:extLst>
        </xdr:cNvPr>
        <xdr:cNvSpPr txBox="1"/>
      </xdr:nvSpPr>
      <xdr:spPr>
        <a:xfrm>
          <a:off x="2647949" y="65703449"/>
          <a:ext cx="7334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830580</xdr:colOff>
          <xdr:row>41</xdr:row>
          <xdr:rowOff>38100</xdr:rowOff>
        </xdr:from>
        <xdr:to>
          <xdr:col>9</xdr:col>
          <xdr:colOff>68580</xdr:colOff>
          <xdr:row>44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8" Type="http://schemas.openxmlformats.org/officeDocument/2006/relationships/hyperlink" Target="mailto:Pflege-SN@bkkmitte.de" TargetMode="External"/><Relationship Id="rId3" Type="http://schemas.openxmlformats.org/officeDocument/2006/relationships/hyperlink" Target="mailto:pflegesatzverhandlungen_sachsen@plus.aok.de" TargetMode="External"/><Relationship Id="rId7" Type="http://schemas.openxmlformats.org/officeDocument/2006/relationships/hyperlink" Target="mailto:vertrag.chemnitz@kbs.de" TargetMode="External"/><Relationship Id="rId2" Type="http://schemas.openxmlformats.org/officeDocument/2006/relationships/hyperlink" Target="mailto:vereinbarungen-pflege@ksv-sachsen.de" TargetMode="External"/><Relationship Id="rId1" Type="http://schemas.openxmlformats.org/officeDocument/2006/relationships/printerSettings" Target="../printerSettings/printerSettings5.bin"/><Relationship Id="rId6" Type="http://schemas.openxmlformats.org/officeDocument/2006/relationships/hyperlink" Target="mailto:pflegeverhandlungen-sachsen@ikk-classic.de" TargetMode="External"/><Relationship Id="rId5" Type="http://schemas.openxmlformats.org/officeDocument/2006/relationships/hyperlink" Target="mailto:pflegesatzverhandlungen_sachsen@barmer.de" TargetMode="External"/><Relationship Id="rId4" Type="http://schemas.openxmlformats.org/officeDocument/2006/relationships/hyperlink" Target="mailto:verguetung-pflege.sac@vdek.com" TargetMode="External"/><Relationship Id="rId9" Type="http://schemas.openxmlformats.org/officeDocument/2006/relationships/hyperlink" Target="mailto:pflege@pk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E24"/>
  <sheetViews>
    <sheetView showGridLines="0" zoomScaleNormal="100" workbookViewId="0">
      <pane ySplit="5" topLeftCell="A10" activePane="bottomLeft" state="frozen"/>
      <selection pane="bottomLeft" activeCell="B24" sqref="B24"/>
    </sheetView>
  </sheetViews>
  <sheetFormatPr baseColWidth="10" defaultRowHeight="13.8" x14ac:dyDescent="0.25"/>
  <cols>
    <col min="1" max="1" width="10.59765625" style="346" customWidth="1"/>
    <col min="2" max="2" width="28.09765625" customWidth="1"/>
    <col min="3" max="3" width="30" customWidth="1"/>
    <col min="4" max="4" width="42.69921875" customWidth="1"/>
    <col min="5" max="5" width="31.19921875" style="351" customWidth="1"/>
  </cols>
  <sheetData>
    <row r="1" spans="1:5" x14ac:dyDescent="0.25">
      <c r="A1" s="341"/>
      <c r="B1" s="341"/>
      <c r="C1" s="341"/>
      <c r="D1" s="341"/>
      <c r="E1" s="341"/>
    </row>
    <row r="2" spans="1:5" ht="23.25" customHeight="1" x14ac:dyDescent="0.25">
      <c r="A2" s="1080" t="s">
        <v>350</v>
      </c>
      <c r="B2" s="1081"/>
      <c r="C2" s="1081"/>
      <c r="D2" s="1081"/>
      <c r="E2" s="1081"/>
    </row>
    <row r="3" spans="1:5" x14ac:dyDescent="0.25">
      <c r="A3" s="341"/>
      <c r="B3" s="341"/>
      <c r="C3" s="341"/>
      <c r="D3" s="341"/>
      <c r="E3" s="341"/>
    </row>
    <row r="5" spans="1:5" ht="26.4" x14ac:dyDescent="0.25">
      <c r="A5" s="342" t="s">
        <v>284</v>
      </c>
      <c r="B5" s="342" t="s">
        <v>285</v>
      </c>
      <c r="C5" s="342" t="s">
        <v>286</v>
      </c>
      <c r="D5" s="342" t="s">
        <v>287</v>
      </c>
      <c r="E5" s="342" t="s">
        <v>288</v>
      </c>
    </row>
    <row r="6" spans="1:5" ht="26.4" x14ac:dyDescent="0.25">
      <c r="A6" s="822">
        <v>46297</v>
      </c>
      <c r="B6" s="344" t="s">
        <v>329</v>
      </c>
      <c r="C6" s="344"/>
      <c r="D6" s="344" t="s">
        <v>443</v>
      </c>
      <c r="E6" s="344"/>
    </row>
    <row r="7" spans="1:5" s="343" customFormat="1" ht="79.2" x14ac:dyDescent="0.25">
      <c r="A7" s="824" t="s">
        <v>475</v>
      </c>
      <c r="B7" s="821" t="s">
        <v>474</v>
      </c>
      <c r="C7" s="826" t="s">
        <v>476</v>
      </c>
      <c r="D7" s="825" t="s">
        <v>477</v>
      </c>
      <c r="E7" s="823"/>
    </row>
    <row r="8" spans="1:5" s="343" customFormat="1" ht="26.4" x14ac:dyDescent="0.25">
      <c r="A8" s="827">
        <v>46304</v>
      </c>
      <c r="B8" s="828" t="s">
        <v>478</v>
      </c>
      <c r="C8" s="829" t="s">
        <v>494</v>
      </c>
      <c r="D8" s="830" t="s">
        <v>479</v>
      </c>
      <c r="E8" s="831"/>
    </row>
    <row r="9" spans="1:5" s="343" customFormat="1" ht="26.4" x14ac:dyDescent="0.25">
      <c r="A9" s="832"/>
      <c r="B9" s="287"/>
      <c r="C9" s="833" t="s">
        <v>480</v>
      </c>
      <c r="D9" s="834" t="s">
        <v>481</v>
      </c>
      <c r="E9" s="835"/>
    </row>
    <row r="10" spans="1:5" s="343" customFormat="1" ht="39.6" x14ac:dyDescent="0.25">
      <c r="A10" s="832"/>
      <c r="B10" s="836" t="s">
        <v>486</v>
      </c>
      <c r="C10" s="837" t="s">
        <v>491</v>
      </c>
      <c r="D10" s="838" t="s">
        <v>492</v>
      </c>
      <c r="E10" s="835"/>
    </row>
    <row r="11" spans="1:5" x14ac:dyDescent="0.25">
      <c r="A11" s="832"/>
      <c r="B11" s="836"/>
      <c r="C11" s="837" t="s">
        <v>495</v>
      </c>
      <c r="D11" s="838" t="s">
        <v>482</v>
      </c>
      <c r="E11" s="835"/>
    </row>
    <row r="12" spans="1:5" x14ac:dyDescent="0.25">
      <c r="A12" s="832"/>
      <c r="B12" s="927" t="s">
        <v>474</v>
      </c>
      <c r="C12" s="837" t="s">
        <v>498</v>
      </c>
      <c r="D12" s="838" t="s">
        <v>483</v>
      </c>
      <c r="E12" s="835"/>
    </row>
    <row r="13" spans="1:5" ht="26.4" x14ac:dyDescent="0.25">
      <c r="A13" s="832"/>
      <c r="B13" s="836"/>
      <c r="C13" s="837" t="s">
        <v>484</v>
      </c>
      <c r="D13" s="838" t="s">
        <v>485</v>
      </c>
      <c r="E13" s="835"/>
    </row>
    <row r="14" spans="1:5" ht="39.6" x14ac:dyDescent="0.25">
      <c r="A14" s="832"/>
      <c r="B14" s="836"/>
      <c r="C14" s="837" t="s">
        <v>499</v>
      </c>
      <c r="D14" s="838" t="s">
        <v>500</v>
      </c>
      <c r="E14" s="835"/>
    </row>
    <row r="15" spans="1:5" x14ac:dyDescent="0.25">
      <c r="A15" s="839"/>
      <c r="B15" s="840" t="s">
        <v>496</v>
      </c>
      <c r="C15" s="841"/>
      <c r="D15" s="840" t="s">
        <v>497</v>
      </c>
      <c r="E15" s="842"/>
    </row>
    <row r="16" spans="1:5" ht="26.4" x14ac:dyDescent="0.25">
      <c r="A16" s="931">
        <v>46307</v>
      </c>
      <c r="B16" s="930" t="s">
        <v>474</v>
      </c>
      <c r="C16" s="932" t="s">
        <v>502</v>
      </c>
      <c r="D16" s="933" t="s">
        <v>501</v>
      </c>
      <c r="E16" s="934"/>
    </row>
    <row r="17" spans="1:5" ht="39.6" x14ac:dyDescent="0.25">
      <c r="A17" s="947">
        <v>46311</v>
      </c>
      <c r="B17" s="828" t="s">
        <v>486</v>
      </c>
      <c r="C17" s="935" t="s">
        <v>510</v>
      </c>
      <c r="D17" s="944" t="s">
        <v>517</v>
      </c>
      <c r="E17" s="936"/>
    </row>
    <row r="18" spans="1:5" ht="26.4" x14ac:dyDescent="0.25">
      <c r="A18" s="937"/>
      <c r="B18" s="942" t="s">
        <v>474</v>
      </c>
      <c r="C18" s="929" t="s">
        <v>514</v>
      </c>
      <c r="D18" s="945" t="s">
        <v>511</v>
      </c>
      <c r="E18" s="938"/>
    </row>
    <row r="19" spans="1:5" x14ac:dyDescent="0.25">
      <c r="A19" s="937"/>
      <c r="B19" s="942"/>
      <c r="C19" s="929" t="s">
        <v>512</v>
      </c>
      <c r="D19" s="945" t="s">
        <v>513</v>
      </c>
      <c r="E19" s="938"/>
    </row>
    <row r="20" spans="1:5" ht="26.4" x14ac:dyDescent="0.25">
      <c r="A20" s="939"/>
      <c r="B20" s="943" t="s">
        <v>515</v>
      </c>
      <c r="C20" s="940"/>
      <c r="D20" s="946" t="s">
        <v>516</v>
      </c>
      <c r="E20" s="941"/>
    </row>
    <row r="21" spans="1:5" x14ac:dyDescent="0.25">
      <c r="A21" s="1037">
        <v>46314</v>
      </c>
      <c r="B21" s="956" t="s">
        <v>562</v>
      </c>
      <c r="C21" s="956"/>
      <c r="D21" s="957" t="s">
        <v>563</v>
      </c>
      <c r="E21" s="344"/>
    </row>
    <row r="22" spans="1:5" ht="26.4" x14ac:dyDescent="0.25">
      <c r="A22" s="1038"/>
      <c r="B22" s="956" t="s">
        <v>564</v>
      </c>
      <c r="C22" s="956" t="s">
        <v>710</v>
      </c>
      <c r="D22" s="956"/>
      <c r="E22" s="1014"/>
    </row>
    <row r="23" spans="1:5" ht="26.4" x14ac:dyDescent="0.25">
      <c r="A23" s="1038"/>
      <c r="B23" s="956" t="s">
        <v>711</v>
      </c>
      <c r="C23" s="956" t="s">
        <v>726</v>
      </c>
      <c r="D23" s="956" t="s">
        <v>712</v>
      </c>
      <c r="E23" s="1014"/>
    </row>
    <row r="24" spans="1:5" x14ac:dyDescent="0.25">
      <c r="A24" s="1039"/>
      <c r="B24" s="1036" t="s">
        <v>474</v>
      </c>
      <c r="C24" s="1036" t="s">
        <v>714</v>
      </c>
      <c r="D24" s="1036" t="s">
        <v>713</v>
      </c>
      <c r="E24" s="1052"/>
    </row>
  </sheetData>
  <sheetProtection algorithmName="SHA-512" hashValue="P7wzmW3QS/VnHnjbcBxLw9e4OnysNHg3GR5H1M/SmNDEOylog0EdXuXTkP1RbwKAMYYqMzaSiaTENG308DUZbw==" saltValue="FcdoGI2i8M1RJNim/aESeg==" spinCount="100000" sheet="1" objects="1" scenarios="1"/>
  <mergeCells count="1">
    <mergeCell ref="A2:E2"/>
  </mergeCells>
  <phoneticPr fontId="60" type="noConversion"/>
  <pageMargins left="0.70866141732283472" right="0.70866141732283472" top="0.78740157480314965" bottom="0.78740157480314965" header="0.31496062992125984" footer="0.31496062992125984"/>
  <pageSetup paperSize="9" scale="84" fitToHeight="10" orientation="landscape"/>
  <headerFooter>
    <oddHeader>&amp;C&amp;A</oddHeader>
    <oddFooter>&amp;LVersion 19.10.2026&amp;CVerhandlungsunterlagen SGB XI (vereinfacht B KZP)&amp;RPSK-Beschluss vom 08.10.2026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FA4E-FA6C-4D65-8A62-D8900722D98C}">
  <dimension ref="A1:NM22"/>
  <sheetViews>
    <sheetView workbookViewId="0">
      <selection activeCell="A10" sqref="A10"/>
    </sheetView>
  </sheetViews>
  <sheetFormatPr baseColWidth="10" defaultRowHeight="13.8" x14ac:dyDescent="0.25"/>
  <cols>
    <col min="53" max="53" width="21.59765625" customWidth="1"/>
    <col min="118" max="118" width="13" bestFit="1" customWidth="1"/>
    <col min="122" max="122" width="13.59765625" bestFit="1" customWidth="1"/>
    <col min="123" max="123" width="13.59765625" customWidth="1"/>
    <col min="124" max="126" width="11.59765625" bestFit="1" customWidth="1"/>
  </cols>
  <sheetData>
    <row r="1" spans="1:377" x14ac:dyDescent="0.25">
      <c r="A1" t="s">
        <v>382</v>
      </c>
    </row>
    <row r="4" spans="1:377" x14ac:dyDescent="0.25">
      <c r="A4" t="s">
        <v>383</v>
      </c>
    </row>
    <row r="7" spans="1:377" x14ac:dyDescent="0.25">
      <c r="A7" t="s">
        <v>384</v>
      </c>
    </row>
    <row r="8" spans="1:377" s="988" customFormat="1" ht="72" x14ac:dyDescent="0.25">
      <c r="A8" s="959" t="s">
        <v>565</v>
      </c>
      <c r="B8" s="960" t="s">
        <v>566</v>
      </c>
      <c r="C8" s="960" t="s">
        <v>567</v>
      </c>
      <c r="D8" s="961" t="s">
        <v>568</v>
      </c>
      <c r="E8" s="961" t="s">
        <v>569</v>
      </c>
      <c r="F8" s="962" t="s">
        <v>570</v>
      </c>
      <c r="G8" s="962" t="s">
        <v>571</v>
      </c>
      <c r="H8" s="963" t="s">
        <v>572</v>
      </c>
      <c r="I8" s="963" t="s">
        <v>573</v>
      </c>
      <c r="J8" s="963" t="s">
        <v>574</v>
      </c>
      <c r="K8" s="963" t="s">
        <v>575</v>
      </c>
      <c r="L8" s="963" t="s">
        <v>576</v>
      </c>
      <c r="M8" s="963" t="s">
        <v>577</v>
      </c>
      <c r="N8" s="963" t="s">
        <v>578</v>
      </c>
      <c r="O8" s="963" t="s">
        <v>579</v>
      </c>
      <c r="P8" s="963" t="s">
        <v>580</v>
      </c>
      <c r="Q8" s="963" t="s">
        <v>581</v>
      </c>
      <c r="R8" s="963" t="s">
        <v>582</v>
      </c>
      <c r="S8" s="963" t="s">
        <v>583</v>
      </c>
      <c r="T8" s="964" t="s">
        <v>584</v>
      </c>
      <c r="U8" s="964" t="s">
        <v>585</v>
      </c>
      <c r="V8" s="965" t="s">
        <v>586</v>
      </c>
      <c r="W8" s="966" t="s">
        <v>587</v>
      </c>
      <c r="X8" s="967" t="s">
        <v>588</v>
      </c>
      <c r="Y8" s="967" t="s">
        <v>589</v>
      </c>
      <c r="Z8" s="967" t="s">
        <v>590</v>
      </c>
      <c r="AA8" s="967" t="s">
        <v>591</v>
      </c>
      <c r="AB8" s="967" t="s">
        <v>592</v>
      </c>
      <c r="AC8" s="967" t="s">
        <v>593</v>
      </c>
      <c r="AD8" s="967" t="s">
        <v>594</v>
      </c>
      <c r="AE8" s="967" t="s">
        <v>595</v>
      </c>
      <c r="AF8" s="967" t="s">
        <v>596</v>
      </c>
      <c r="AG8" s="967" t="s">
        <v>597</v>
      </c>
      <c r="AH8" s="968" t="s">
        <v>598</v>
      </c>
      <c r="AI8" s="969" t="s">
        <v>599</v>
      </c>
      <c r="AJ8" s="969" t="s">
        <v>600</v>
      </c>
      <c r="AK8" s="969" t="s">
        <v>601</v>
      </c>
      <c r="AL8" s="969" t="s">
        <v>602</v>
      </c>
      <c r="AM8" s="969" t="s">
        <v>603</v>
      </c>
      <c r="AN8" s="969" t="s">
        <v>604</v>
      </c>
      <c r="AO8" s="969" t="s">
        <v>605</v>
      </c>
      <c r="AP8" s="970" t="s">
        <v>606</v>
      </c>
      <c r="AQ8" s="971" t="s">
        <v>607</v>
      </c>
      <c r="AR8" s="971" t="s">
        <v>608</v>
      </c>
      <c r="AS8" s="971" t="s">
        <v>609</v>
      </c>
      <c r="AT8" s="971" t="s">
        <v>610</v>
      </c>
      <c r="AU8" s="971" t="s">
        <v>611</v>
      </c>
      <c r="AV8" s="971" t="s">
        <v>612</v>
      </c>
      <c r="AW8" s="971" t="s">
        <v>613</v>
      </c>
      <c r="AX8" s="972" t="s">
        <v>614</v>
      </c>
      <c r="AY8" s="973" t="s">
        <v>615</v>
      </c>
      <c r="AZ8" s="973" t="s">
        <v>616</v>
      </c>
      <c r="BA8" s="973" t="s">
        <v>617</v>
      </c>
      <c r="BB8" s="970" t="s">
        <v>618</v>
      </c>
      <c r="BC8" s="971" t="s">
        <v>619</v>
      </c>
      <c r="BD8" s="971" t="s">
        <v>620</v>
      </c>
      <c r="BE8" s="974" t="s">
        <v>621</v>
      </c>
      <c r="BF8" s="975" t="s">
        <v>622</v>
      </c>
      <c r="BG8" s="976" t="s">
        <v>623</v>
      </c>
      <c r="BH8" s="976" t="s">
        <v>624</v>
      </c>
      <c r="BI8" s="976" t="s">
        <v>625</v>
      </c>
      <c r="BJ8" s="977" t="s">
        <v>626</v>
      </c>
      <c r="BK8" s="978" t="s">
        <v>627</v>
      </c>
      <c r="BL8" s="978" t="s">
        <v>628</v>
      </c>
      <c r="BM8" s="978" t="s">
        <v>629</v>
      </c>
      <c r="BN8" s="979" t="s">
        <v>630</v>
      </c>
      <c r="BO8" s="979" t="s">
        <v>631</v>
      </c>
      <c r="BP8" s="979" t="s">
        <v>632</v>
      </c>
      <c r="BQ8" s="980" t="s">
        <v>633</v>
      </c>
      <c r="BR8" s="980" t="s">
        <v>634</v>
      </c>
      <c r="BS8" s="980" t="s">
        <v>635</v>
      </c>
      <c r="BT8" s="981" t="s">
        <v>636</v>
      </c>
      <c r="BU8" s="981" t="s">
        <v>637</v>
      </c>
      <c r="BV8" s="981" t="s">
        <v>638</v>
      </c>
      <c r="BW8" s="981" t="s">
        <v>639</v>
      </c>
      <c r="BX8" s="982" t="s">
        <v>640</v>
      </c>
      <c r="BY8" s="983" t="s">
        <v>641</v>
      </c>
      <c r="BZ8" s="983" t="s">
        <v>642</v>
      </c>
      <c r="CA8" s="983" t="s">
        <v>643</v>
      </c>
      <c r="CB8" s="983" t="s">
        <v>644</v>
      </c>
      <c r="CC8" s="983" t="s">
        <v>645</v>
      </c>
      <c r="CD8" s="983" t="s">
        <v>646</v>
      </c>
      <c r="CE8" s="983" t="s">
        <v>647</v>
      </c>
      <c r="CF8" s="983" t="s">
        <v>648</v>
      </c>
      <c r="CG8" s="983" t="s">
        <v>649</v>
      </c>
      <c r="CH8" s="983" t="s">
        <v>650</v>
      </c>
      <c r="CI8" s="983" t="s">
        <v>651</v>
      </c>
      <c r="CJ8" s="983" t="s">
        <v>652</v>
      </c>
      <c r="CK8" s="983" t="s">
        <v>653</v>
      </c>
      <c r="CL8" s="984" t="s">
        <v>654</v>
      </c>
      <c r="CM8" s="984" t="s">
        <v>655</v>
      </c>
      <c r="CN8" s="984" t="s">
        <v>656</v>
      </c>
      <c r="CO8" s="984" t="s">
        <v>657</v>
      </c>
      <c r="CP8" s="984" t="s">
        <v>658</v>
      </c>
      <c r="CQ8" s="984" t="s">
        <v>659</v>
      </c>
      <c r="CR8" s="984" t="s">
        <v>660</v>
      </c>
      <c r="CS8" s="980" t="s">
        <v>661</v>
      </c>
      <c r="CT8" s="985" t="s">
        <v>662</v>
      </c>
      <c r="CU8" s="985" t="s">
        <v>662</v>
      </c>
      <c r="CV8" s="986" t="s">
        <v>663</v>
      </c>
      <c r="CW8" s="986" t="s">
        <v>664</v>
      </c>
      <c r="CX8" s="986" t="s">
        <v>665</v>
      </c>
      <c r="CY8" s="986" t="s">
        <v>666</v>
      </c>
      <c r="CZ8" s="986" t="s">
        <v>667</v>
      </c>
      <c r="DA8" s="986" t="s">
        <v>668</v>
      </c>
      <c r="DB8" s="986" t="s">
        <v>669</v>
      </c>
      <c r="DC8" s="986" t="s">
        <v>670</v>
      </c>
      <c r="DD8" s="986" t="s">
        <v>671</v>
      </c>
      <c r="DE8" s="986" t="s">
        <v>672</v>
      </c>
      <c r="DF8" s="986" t="s">
        <v>673</v>
      </c>
      <c r="DG8" s="986" t="s">
        <v>674</v>
      </c>
      <c r="DH8" s="986" t="s">
        <v>675</v>
      </c>
      <c r="DI8" s="986" t="s">
        <v>676</v>
      </c>
      <c r="DJ8" s="986" t="s">
        <v>677</v>
      </c>
      <c r="DK8" s="986" t="s">
        <v>678</v>
      </c>
      <c r="DL8" s="986" t="s">
        <v>679</v>
      </c>
      <c r="DM8" s="986" t="s">
        <v>680</v>
      </c>
      <c r="DN8" s="987" t="s">
        <v>681</v>
      </c>
      <c r="DO8" s="987" t="s">
        <v>682</v>
      </c>
      <c r="DP8" s="987" t="s">
        <v>683</v>
      </c>
      <c r="DQ8" s="987" t="s">
        <v>684</v>
      </c>
      <c r="DR8" s="987" t="s">
        <v>730</v>
      </c>
      <c r="DS8" s="987" t="s">
        <v>731</v>
      </c>
      <c r="DT8" s="963" t="s">
        <v>685</v>
      </c>
      <c r="DU8" s="963" t="s">
        <v>686</v>
      </c>
      <c r="DV8" s="963" t="s">
        <v>687</v>
      </c>
      <c r="DW8" s="981" t="s">
        <v>688</v>
      </c>
      <c r="DX8" s="981" t="s">
        <v>689</v>
      </c>
      <c r="DY8" s="981" t="s">
        <v>690</v>
      </c>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row>
    <row r="9" spans="1:377" s="1007" customFormat="1" x14ac:dyDescent="0.25">
      <c r="A9" s="989">
        <f ca="1">TODAY()</f>
        <v>46321</v>
      </c>
      <c r="B9" s="958">
        <f>'B_KZP_Allgemeine Angaben'!L47</f>
        <v>0</v>
      </c>
      <c r="C9" s="1019">
        <f>'B_KZP_Allgemeine Angaben'!L47</f>
        <v>0</v>
      </c>
      <c r="D9" s="990">
        <f>'B_KZP_Allgemeine Angaben'!L6</f>
        <v>0</v>
      </c>
      <c r="E9" s="331" t="s">
        <v>691</v>
      </c>
      <c r="F9" s="991">
        <f>B_KZP_Kalkulation!D7/100</f>
        <v>0</v>
      </c>
      <c r="G9" s="991">
        <f>B_KZP_Kalkulation!D7/100</f>
        <v>0</v>
      </c>
      <c r="H9" s="992">
        <f>B_KZP_Kalkulation!L22</f>
        <v>0</v>
      </c>
      <c r="I9" s="993"/>
      <c r="J9" s="993"/>
      <c r="K9" s="993"/>
      <c r="L9" s="993"/>
      <c r="M9" s="993"/>
      <c r="N9" s="992">
        <f>B_KZP_Kalkulation!L25</f>
        <v>0</v>
      </c>
      <c r="O9" s="993"/>
      <c r="P9" s="993"/>
      <c r="Q9" s="993"/>
      <c r="R9" s="993"/>
      <c r="S9" s="992">
        <f>B_KZP_Kalkulation!L30</f>
        <v>0</v>
      </c>
      <c r="T9" s="994"/>
      <c r="U9" s="994"/>
      <c r="V9" s="994"/>
      <c r="W9" s="994"/>
      <c r="X9" s="995" t="str">
        <f>B_KZP_Kalkulation!M34</f>
        <v/>
      </c>
      <c r="Y9" s="995" t="str">
        <f>B_KZP_Kalkulation!M35</f>
        <v/>
      </c>
      <c r="Z9" s="995" t="str">
        <f>B_KZP_Kalkulation!M36</f>
        <v/>
      </c>
      <c r="AA9" s="1017" t="str">
        <f>B_KZP_Kalkulation!M37</f>
        <v/>
      </c>
      <c r="AB9" s="1017" t="str">
        <f>B_KZP_Kalkulation!M38</f>
        <v/>
      </c>
      <c r="AC9" s="995" t="str">
        <f>B_KZP_Kalkulation!M39</f>
        <v/>
      </c>
      <c r="AD9" s="995" t="str">
        <f>B_KZP_Kalkulation!M40</f>
        <v/>
      </c>
      <c r="AE9" s="995" t="str">
        <f>B_KZP_Kalkulation!M41</f>
        <v/>
      </c>
      <c r="AF9" s="995" t="str">
        <f>B_KZP_Kalkulation!M42</f>
        <v/>
      </c>
      <c r="AG9" s="995" t="str">
        <f>B_KZP_Kalkulation!M43</f>
        <v/>
      </c>
      <c r="AH9" s="995" t="str">
        <f>B_KZP_Kalkulation!M47</f>
        <v/>
      </c>
      <c r="AI9" s="995" t="str">
        <f>B_KZP_Kalkulation!M48</f>
        <v/>
      </c>
      <c r="AJ9" s="994"/>
      <c r="AK9" s="995" t="str">
        <f>B_KZP_Kalkulation!M49</f>
        <v/>
      </c>
      <c r="AL9" s="1017" t="str">
        <f>B_KZP_Kalkulation!M51</f>
        <v/>
      </c>
      <c r="AM9" s="995" t="str">
        <f>B_KZP_Kalkulation!M50</f>
        <v/>
      </c>
      <c r="AN9" s="995" t="str">
        <f>B_KZP_Kalkulation!M52</f>
        <v/>
      </c>
      <c r="AO9" s="995" t="str">
        <f>B_KZP_Kalkulation!M53</f>
        <v/>
      </c>
      <c r="AP9" s="996" t="str">
        <f>B_KZP_Ergebnis!F60</f>
        <v/>
      </c>
      <c r="AQ9" s="996" t="str">
        <f>B_KZP_Ergebnis!F60</f>
        <v/>
      </c>
      <c r="AR9" s="996" t="str">
        <f>B_KZP_Ergebnis!F60</f>
        <v/>
      </c>
      <c r="AS9" s="996" t="str">
        <f>B_KZP_Ergebnis!F60</f>
        <v/>
      </c>
      <c r="AT9" s="996" t="str">
        <f>B_KZP_Ergebnis!F60</f>
        <v/>
      </c>
      <c r="AU9" s="997"/>
      <c r="AV9" s="996" t="str">
        <f>B_KZP_Ergebnis!F66</f>
        <v/>
      </c>
      <c r="AW9" s="996" t="str">
        <f>B_KZP_Ergebnis!F68</f>
        <v/>
      </c>
      <c r="AX9" s="997"/>
      <c r="AY9" s="989" t="str">
        <f>B_KZP_Ergebnis!F11</f>
        <v/>
      </c>
      <c r="AZ9" s="989">
        <f>B_KZP_Ergebnis!I11</f>
        <v>0</v>
      </c>
      <c r="BA9" s="958">
        <f>IF(B_KZP_Ergebnis!B73="AOK PLUS","pauschal SAC B AOK",IF(B_KZP_Ergebnis!B73="KSV","pauschal SAC B KSV",IF(B_KZP_Ergebnis!B73="vdek","pauschal SAC B vdek",0)))</f>
        <v>0</v>
      </c>
      <c r="BB9" s="995" t="str">
        <f>B_KZP_Ergebnis!F60</f>
        <v/>
      </c>
      <c r="BC9" s="995" t="str">
        <f>B_KZP_Ergebnis!F66</f>
        <v/>
      </c>
      <c r="BD9" s="995" t="str">
        <f>B_KZP_Ergebnis!F68</f>
        <v/>
      </c>
      <c r="BE9" s="998"/>
      <c r="BF9" s="990">
        <f>B_KZP_Ergebnis!F16</f>
        <v>0</v>
      </c>
      <c r="BG9" s="990">
        <f>B_KZP_Ergebnis!F17</f>
        <v>0</v>
      </c>
      <c r="BH9" s="990">
        <f>B_KZP_Ergebnis!F18</f>
        <v>0</v>
      </c>
      <c r="BI9" s="990">
        <f>B_KZP_Ergebnis!F19</f>
        <v>0</v>
      </c>
      <c r="BJ9" s="990">
        <f>B_KZP_Ergebnis!F20</f>
        <v>0</v>
      </c>
      <c r="BK9" s="999"/>
      <c r="BL9" s="999"/>
      <c r="BM9" s="999"/>
      <c r="BN9" s="999"/>
      <c r="BO9" s="999"/>
      <c r="BP9" s="999"/>
      <c r="BQ9" s="999"/>
      <c r="BR9" s="999"/>
      <c r="BS9" s="999"/>
      <c r="BT9" s="1030">
        <f>B_KZP_Ergebnis!I34</f>
        <v>0</v>
      </c>
      <c r="BU9" s="994"/>
      <c r="BV9" s="994"/>
      <c r="BW9" s="994"/>
      <c r="BX9" s="1000">
        <f>B_KZP_Ergebnis!F39</f>
        <v>0</v>
      </c>
      <c r="BY9" s="958">
        <f>'B_KZP_Allgemeine Angaben'!H55</f>
        <v>0</v>
      </c>
      <c r="BZ9" s="1001">
        <f>'B_KZP_Allgemeine Angaben'!H56</f>
        <v>0</v>
      </c>
      <c r="CA9" s="958">
        <f>'B_KZP_Allgemeine Angaben'!H57</f>
        <v>0</v>
      </c>
      <c r="CB9" s="997"/>
      <c r="CC9" s="997"/>
      <c r="CD9" s="997"/>
      <c r="CE9" s="997"/>
      <c r="CF9" s="999"/>
      <c r="CG9" s="999"/>
      <c r="CH9" s="999"/>
      <c r="CI9" s="997"/>
      <c r="CJ9" s="997"/>
      <c r="CK9" s="997"/>
      <c r="CL9" s="1002"/>
      <c r="CM9" s="1003"/>
      <c r="CN9" s="1004"/>
      <c r="CO9" s="1003"/>
      <c r="CP9" s="1005"/>
      <c r="CQ9" s="1003"/>
      <c r="CR9" s="1006"/>
      <c r="CS9" s="1005"/>
      <c r="CT9" s="958"/>
      <c r="CU9" s="958"/>
      <c r="CV9" s="998"/>
      <c r="CW9" s="998"/>
      <c r="CX9" s="998"/>
      <c r="CY9" s="998"/>
      <c r="CZ9" s="998"/>
      <c r="DA9" s="998"/>
      <c r="DB9" s="998"/>
      <c r="DC9" s="998"/>
      <c r="DD9" s="998"/>
      <c r="DE9" s="998"/>
      <c r="DF9" s="998"/>
      <c r="DG9" s="998"/>
      <c r="DH9" s="998"/>
      <c r="DI9" s="998"/>
      <c r="DJ9" s="998"/>
      <c r="DK9" s="998"/>
      <c r="DL9" s="998"/>
      <c r="DM9" s="998"/>
      <c r="DN9" s="1032" t="e">
        <f>B_KZP_Gesamtkalkulation!D13/SUMPRODUCT(B_KZP_Kalkulation!D23:D30,B_KZP_Kalkulation!F23:F30)-1</f>
        <v>#DIV/0!</v>
      </c>
      <c r="DO9" s="1032" t="e">
        <f>(B_KZP_Gesamtkalkulation!D13-B_KZP_Gesamtkalkulation!D19)/SUMPRODUCT(B_KZP_Kalkulation!D23:D29,B_KZP_Kalkulation!F23:F29)-1</f>
        <v>#DIV/0!</v>
      </c>
      <c r="DP9" s="1033" t="e">
        <f>(B_KZP_Kalkulation!L44/B_KZP_Kalkulation!F44-1)</f>
        <v>#DIV/0!</v>
      </c>
      <c r="DQ9" s="1033" t="e">
        <f>B_KZP_Kalkulation!L54/B_KZP_Kalkulation!F54-1</f>
        <v>#DIV/0!</v>
      </c>
      <c r="DR9" s="1034">
        <f>B_KZP_Gesamtkalkulation!D13+B_KZP_Gesamtkalkulation!D21+B_KZP_Gesamtkalkulation!D33</f>
        <v>0</v>
      </c>
      <c r="DS9" s="1034">
        <f>DR9-B_KZP_Gesamtkalkulation!D16</f>
        <v>0</v>
      </c>
      <c r="DT9" s="995">
        <f>B_KZP_Kalkulation!L23</f>
        <v>0</v>
      </c>
      <c r="DU9" s="995">
        <f>B_KZP_Kalkulation!L26</f>
        <v>0</v>
      </c>
      <c r="DV9" s="995">
        <f>B_KZP_Kalkulation!L27</f>
        <v>0</v>
      </c>
      <c r="DW9" s="1035" t="str">
        <f>B_KZP_Ergebnis!I28</f>
        <v/>
      </c>
      <c r="DX9" s="1035" t="e">
        <f>B_KZP_Ergebnis!I30</f>
        <v>#DIV/0!</v>
      </c>
      <c r="DY9" s="1035">
        <f>B_KZP_Ergebnis!I36</f>
        <v>0</v>
      </c>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row>
    <row r="10" spans="1:377" ht="66" x14ac:dyDescent="0.25">
      <c r="I10" s="958" t="s">
        <v>692</v>
      </c>
      <c r="J10" s="958" t="s">
        <v>692</v>
      </c>
      <c r="K10" s="958" t="s">
        <v>692</v>
      </c>
      <c r="L10" s="958" t="s">
        <v>692</v>
      </c>
      <c r="M10" s="958" t="s">
        <v>692</v>
      </c>
      <c r="N10" s="958"/>
      <c r="O10" s="958" t="s">
        <v>692</v>
      </c>
      <c r="P10" s="958" t="s">
        <v>692</v>
      </c>
      <c r="Q10" s="958" t="s">
        <v>692</v>
      </c>
      <c r="R10" s="958" t="s">
        <v>692</v>
      </c>
      <c r="T10" s="1008" t="s">
        <v>725</v>
      </c>
      <c r="U10" s="1008" t="s">
        <v>692</v>
      </c>
      <c r="V10" s="1008" t="s">
        <v>692</v>
      </c>
      <c r="W10" s="1008" t="s">
        <v>692</v>
      </c>
      <c r="AA10" s="1018" t="s">
        <v>693</v>
      </c>
      <c r="AB10" s="1018" t="s">
        <v>693</v>
      </c>
      <c r="AJ10" s="958" t="s">
        <v>694</v>
      </c>
      <c r="AL10" s="1018" t="s">
        <v>693</v>
      </c>
      <c r="AT10" s="958"/>
      <c r="AU10" s="958" t="s">
        <v>692</v>
      </c>
      <c r="AV10" s="958"/>
      <c r="AW10" s="958"/>
      <c r="AX10" s="958" t="s">
        <v>692</v>
      </c>
      <c r="BE10" s="1028" t="s">
        <v>692</v>
      </c>
      <c r="BK10" s="958" t="s">
        <v>692</v>
      </c>
      <c r="BL10" s="958" t="s">
        <v>692</v>
      </c>
      <c r="BM10" s="958" t="s">
        <v>692</v>
      </c>
      <c r="BN10" s="958" t="s">
        <v>692</v>
      </c>
      <c r="BO10" s="958" t="s">
        <v>692</v>
      </c>
      <c r="BP10" s="958" t="s">
        <v>692</v>
      </c>
      <c r="BQ10" s="958" t="s">
        <v>692</v>
      </c>
      <c r="BR10" s="958" t="s">
        <v>692</v>
      </c>
      <c r="BS10" s="958" t="s">
        <v>692</v>
      </c>
      <c r="BT10" s="1009" t="s">
        <v>695</v>
      </c>
      <c r="BU10" s="958" t="s">
        <v>692</v>
      </c>
      <c r="BV10" s="958" t="s">
        <v>692</v>
      </c>
      <c r="BW10" s="958" t="s">
        <v>692</v>
      </c>
      <c r="BZ10" s="958"/>
      <c r="CB10" s="1016" t="s">
        <v>715</v>
      </c>
      <c r="CC10" s="1016" t="s">
        <v>717</v>
      </c>
      <c r="CD10" s="1016" t="s">
        <v>716</v>
      </c>
      <c r="CE10" s="1016" t="s">
        <v>718</v>
      </c>
      <c r="CF10" s="1016" t="s">
        <v>719</v>
      </c>
      <c r="CG10" s="1016" t="s">
        <v>720</v>
      </c>
      <c r="CH10" s="1016" t="s">
        <v>721</v>
      </c>
      <c r="CI10" s="1016" t="s">
        <v>722</v>
      </c>
      <c r="CJ10" s="1016" t="s">
        <v>723</v>
      </c>
      <c r="CK10" s="1016" t="s">
        <v>724</v>
      </c>
      <c r="CL10" s="958" t="s">
        <v>696</v>
      </c>
      <c r="CM10" s="958" t="s">
        <v>696</v>
      </c>
      <c r="CN10" s="958" t="s">
        <v>696</v>
      </c>
      <c r="CO10" s="958" t="s">
        <v>696</v>
      </c>
      <c r="CP10" s="958" t="s">
        <v>696</v>
      </c>
      <c r="CQ10" s="958" t="s">
        <v>696</v>
      </c>
      <c r="CR10" s="958" t="s">
        <v>696</v>
      </c>
      <c r="CS10" s="958" t="s">
        <v>696</v>
      </c>
      <c r="CV10" s="1031" t="s">
        <v>697</v>
      </c>
      <c r="CW10" s="201"/>
      <c r="CX10" s="1031"/>
      <c r="CY10" s="958" t="s">
        <v>698</v>
      </c>
      <c r="DC10" s="1010"/>
      <c r="DH10" s="1010"/>
      <c r="DJ10" s="1010"/>
    </row>
    <row r="11" spans="1:377" ht="39.6" x14ac:dyDescent="0.25">
      <c r="B11" s="1" t="s">
        <v>699</v>
      </c>
      <c r="C11" t="s">
        <v>700</v>
      </c>
      <c r="AA11" s="226"/>
      <c r="BK11" s="1029" t="s">
        <v>701</v>
      </c>
      <c r="BN11" s="1082" t="s">
        <v>727</v>
      </c>
      <c r="BO11" s="1082"/>
      <c r="BP11" s="1082"/>
      <c r="BT11" s="1029" t="s">
        <v>728</v>
      </c>
      <c r="BU11" s="1083" t="s">
        <v>702</v>
      </c>
      <c r="BV11" s="1083"/>
      <c r="BW11" s="1083"/>
    </row>
    <row r="12" spans="1:377" x14ac:dyDescent="0.25">
      <c r="B12" s="1011" t="s">
        <v>703</v>
      </c>
      <c r="C12" s="1012" t="s">
        <v>704</v>
      </c>
      <c r="D12" s="1012"/>
      <c r="E12" s="1012"/>
      <c r="F12" s="1012"/>
      <c r="G12" s="1012"/>
      <c r="H12" s="1012"/>
      <c r="I12" s="1012"/>
      <c r="J12" s="1012"/>
    </row>
    <row r="13" spans="1:377" x14ac:dyDescent="0.25">
      <c r="B13" s="1" t="s">
        <v>705</v>
      </c>
      <c r="C13" t="s">
        <v>706</v>
      </c>
    </row>
    <row r="14" spans="1:377" x14ac:dyDescent="0.25">
      <c r="B14" s="1" t="s">
        <v>707</v>
      </c>
      <c r="C14" t="s">
        <v>708</v>
      </c>
    </row>
    <row r="15" spans="1:377" x14ac:dyDescent="0.25">
      <c r="B15" s="1" t="s">
        <v>709</v>
      </c>
    </row>
    <row r="17" spans="2:2" x14ac:dyDescent="0.25">
      <c r="B17" s="1013"/>
    </row>
    <row r="18" spans="2:2" x14ac:dyDescent="0.25">
      <c r="B18" s="48"/>
    </row>
    <row r="19" spans="2:2" x14ac:dyDescent="0.25">
      <c r="B19" s="48"/>
    </row>
    <row r="20" spans="2:2" x14ac:dyDescent="0.25">
      <c r="B20" s="48"/>
    </row>
    <row r="21" spans="2:2" x14ac:dyDescent="0.25">
      <c r="B21" s="48"/>
    </row>
    <row r="22" spans="2:2" x14ac:dyDescent="0.25">
      <c r="B22" s="48"/>
    </row>
  </sheetData>
  <sheetProtection algorithmName="SHA-512" hashValue="tJosBNDOPiKYA49mHBo0F9o3SBdHIQgV43IMk3CLbEhzLbpIQFq6igRU3NK1JiJT+Vb7PvVdgMPzZTmz5aLkXA==" saltValue="KPNcP/Z5nVN3uTn+s7jWYw==" spinCount="100000" sheet="1" objects="1" scenarios="1" selectLockedCells="1"/>
  <mergeCells count="2">
    <mergeCell ref="BN11:BP11"/>
    <mergeCell ref="BU11:BW11"/>
  </mergeCells>
  <pageMargins left="0.70866141732283472" right="0.70866141732283472" top="0.78740157480314965" bottom="0.78740157480314965" header="0.31496062992125984" footer="0.31496062992125984"/>
  <pageSetup paperSize="9" orientation="portrait"/>
  <headerFooter>
    <oddHeader>&amp;C&amp;A</oddHead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9"/>
  <dimension ref="A1:O81"/>
  <sheetViews>
    <sheetView topLeftCell="A58" workbookViewId="0">
      <selection activeCell="B67" sqref="B67"/>
    </sheetView>
  </sheetViews>
  <sheetFormatPr baseColWidth="10" defaultColWidth="11.19921875" defaultRowHeight="13.2" x14ac:dyDescent="0.25"/>
  <cols>
    <col min="1" max="1" width="16.8984375" style="443" customWidth="1"/>
    <col min="2" max="2" width="13.59765625" style="443" customWidth="1"/>
    <col min="3" max="3" width="14" style="443" customWidth="1"/>
    <col min="4" max="4" width="11.19921875" style="443"/>
    <col min="5" max="5" width="19.09765625" style="443" customWidth="1"/>
    <col min="6" max="6" width="12.19921875" style="443" customWidth="1"/>
    <col min="7" max="10" width="11.19921875" style="443"/>
    <col min="11" max="11" width="12.69921875" style="443" customWidth="1"/>
    <col min="12" max="12" width="11.69921875" style="443" customWidth="1"/>
    <col min="13" max="14" width="11.19921875" style="443"/>
    <col min="15" max="16" width="17.3984375" style="443" customWidth="1"/>
    <col min="17" max="17" width="23.69921875" style="443" customWidth="1"/>
    <col min="18" max="16384" width="11.19921875" style="443"/>
  </cols>
  <sheetData>
    <row r="1" spans="1:10" s="119" customFormat="1" x14ac:dyDescent="0.25">
      <c r="A1" s="98" t="s">
        <v>90</v>
      </c>
      <c r="B1" s="156" t="s">
        <v>91</v>
      </c>
      <c r="C1" s="156" t="s">
        <v>62</v>
      </c>
      <c r="D1" s="156" t="s">
        <v>92</v>
      </c>
      <c r="E1" s="461" t="s">
        <v>93</v>
      </c>
      <c r="F1" s="156" t="s">
        <v>94</v>
      </c>
      <c r="G1" s="156" t="s">
        <v>327</v>
      </c>
      <c r="H1" s="462" t="s">
        <v>468</v>
      </c>
    </row>
    <row r="2" spans="1:10" x14ac:dyDescent="0.25">
      <c r="A2" s="463"/>
      <c r="B2" s="807" t="s">
        <v>95</v>
      </c>
      <c r="C2" s="806">
        <v>30.42</v>
      </c>
      <c r="D2" s="806">
        <v>365</v>
      </c>
      <c r="E2" s="808">
        <v>1</v>
      </c>
      <c r="F2" s="806" t="s">
        <v>96</v>
      </c>
      <c r="G2" s="806" t="s">
        <v>221</v>
      </c>
      <c r="H2" s="803" t="s">
        <v>19</v>
      </c>
      <c r="J2" s="625"/>
    </row>
    <row r="3" spans="1:10" x14ac:dyDescent="0.25">
      <c r="A3" s="502"/>
      <c r="B3" s="806"/>
      <c r="C3" s="806"/>
      <c r="D3" s="806"/>
      <c r="E3" s="808">
        <v>0.78</v>
      </c>
      <c r="F3" s="806" t="s">
        <v>97</v>
      </c>
      <c r="G3" s="806" t="s">
        <v>219</v>
      </c>
      <c r="H3" s="803" t="s">
        <v>469</v>
      </c>
    </row>
    <row r="4" spans="1:10" x14ac:dyDescent="0.25">
      <c r="A4" s="463"/>
      <c r="C4" s="806"/>
      <c r="D4" s="806"/>
      <c r="E4" s="808">
        <v>0.73</v>
      </c>
      <c r="F4" s="806"/>
      <c r="G4" s="806" t="s">
        <v>220</v>
      </c>
      <c r="H4" s="803" t="s">
        <v>20</v>
      </c>
    </row>
    <row r="5" spans="1:10" x14ac:dyDescent="0.25">
      <c r="A5" s="463"/>
      <c r="C5" s="806"/>
      <c r="D5" s="806"/>
      <c r="E5" s="808">
        <v>0.7</v>
      </c>
      <c r="G5" s="806" t="s">
        <v>326</v>
      </c>
      <c r="H5" s="804"/>
    </row>
    <row r="6" spans="1:10" x14ac:dyDescent="0.25">
      <c r="A6" s="448"/>
      <c r="E6" s="808"/>
      <c r="H6" s="804"/>
    </row>
    <row r="7" spans="1:10" x14ac:dyDescent="0.25">
      <c r="A7" s="463"/>
      <c r="H7" s="804"/>
    </row>
    <row r="8" spans="1:10" ht="13.8" x14ac:dyDescent="0.25">
      <c r="A8" s="503"/>
      <c r="B8" s="451"/>
      <c r="C8" s="451"/>
      <c r="D8" s="623" t="s">
        <v>395</v>
      </c>
      <c r="E8" s="624">
        <f>IF('B_KZP_Allgemeine Angaben'!H45="",0,DATEDIF('B_KZP_Allgemeine Angaben'!H45,'B_KZP_Allgemeine Angaben'!H51,"m"))</f>
        <v>0</v>
      </c>
      <c r="F8" s="451"/>
      <c r="G8" s="451"/>
      <c r="H8" s="805"/>
    </row>
    <row r="10" spans="1:10" ht="13.8" x14ac:dyDescent="0.25">
      <c r="A10" s="58" t="s">
        <v>398</v>
      </c>
      <c r="B10"/>
      <c r="C10" s="628" t="s">
        <v>399</v>
      </c>
    </row>
    <row r="11" spans="1:10" ht="13.8" x14ac:dyDescent="0.25">
      <c r="A11" t="s">
        <v>9</v>
      </c>
      <c r="B11">
        <v>20</v>
      </c>
      <c r="C11" s="632">
        <f>ROUND('B_KZP_Allgemeine Angaben'!$L$47/B11,4)</f>
        <v>0</v>
      </c>
    </row>
    <row r="12" spans="1:10" ht="13.8" x14ac:dyDescent="0.25">
      <c r="A12" t="s">
        <v>400</v>
      </c>
      <c r="B12">
        <v>1.7</v>
      </c>
      <c r="C12" s="632">
        <f>ROUND('B_KZP_Allgemeine Angaben'!$L$47/B12,4)</f>
        <v>0</v>
      </c>
    </row>
    <row r="13" spans="1:10" ht="13.8" x14ac:dyDescent="0.25">
      <c r="A13" t="s">
        <v>401</v>
      </c>
      <c r="B13">
        <v>15</v>
      </c>
      <c r="C13" s="632">
        <f>ROUND('B_KZP_Allgemeine Angaben'!$L$47/B13,4)</f>
        <v>0</v>
      </c>
    </row>
    <row r="14" spans="1:10" ht="13.8" x14ac:dyDescent="0.25">
      <c r="A14" t="s">
        <v>402</v>
      </c>
      <c r="B14">
        <v>4.5</v>
      </c>
      <c r="C14" s="632">
        <f>ROUND('B_KZP_Allgemeine Angaben'!$L$47/B14,4)</f>
        <v>0</v>
      </c>
    </row>
    <row r="15" spans="1:10" ht="13.8" x14ac:dyDescent="0.25">
      <c r="A15" t="s">
        <v>403</v>
      </c>
      <c r="B15">
        <v>20</v>
      </c>
      <c r="C15" s="632">
        <f>ROUND('B_KZP_Allgemeine Angaben'!$L$47/B15,4)</f>
        <v>0</v>
      </c>
    </row>
    <row r="19" spans="1:15" x14ac:dyDescent="0.25">
      <c r="A19" s="907" t="s">
        <v>190</v>
      </c>
      <c r="B19" s="908"/>
      <c r="C19" s="908"/>
      <c r="D19" s="908"/>
      <c r="E19" s="908"/>
      <c r="F19" s="908"/>
      <c r="G19" s="870"/>
      <c r="H19" s="870"/>
      <c r="I19" s="446"/>
      <c r="J19" s="446"/>
      <c r="K19" s="446"/>
      <c r="L19" s="446"/>
      <c r="M19" s="446"/>
      <c r="N19" s="446"/>
      <c r="O19" s="447"/>
    </row>
    <row r="20" spans="1:15" ht="26.4" x14ac:dyDescent="0.25">
      <c r="A20" s="909" t="s">
        <v>178</v>
      </c>
      <c r="B20" s="1084" t="s">
        <v>295</v>
      </c>
      <c r="C20" s="1085"/>
      <c r="D20" s="910" t="s">
        <v>178</v>
      </c>
      <c r="E20" s="1086" t="s">
        <v>294</v>
      </c>
      <c r="F20" s="1087"/>
      <c r="G20" s="843" t="s">
        <v>279</v>
      </c>
      <c r="H20" s="844"/>
      <c r="O20" s="449"/>
    </row>
    <row r="21" spans="1:15" ht="14.25" customHeight="1" x14ac:dyDescent="0.25">
      <c r="A21" s="909"/>
      <c r="B21" s="911" t="s">
        <v>455</v>
      </c>
      <c r="C21" s="911"/>
      <c r="D21" s="910"/>
      <c r="E21" s="911" t="s">
        <v>455</v>
      </c>
      <c r="F21" s="911"/>
      <c r="G21" s="843" t="s">
        <v>281</v>
      </c>
      <c r="H21" s="844"/>
      <c r="O21" s="449"/>
    </row>
    <row r="22" spans="1:15" x14ac:dyDescent="0.25">
      <c r="A22" s="912" t="s">
        <v>355</v>
      </c>
      <c r="B22" s="913">
        <v>8.5000000000000006E-2</v>
      </c>
      <c r="C22" s="913"/>
      <c r="D22" s="914" t="s">
        <v>255</v>
      </c>
      <c r="E22" s="915">
        <v>5.1499999999999997E-2</v>
      </c>
      <c r="F22" s="916"/>
      <c r="G22" s="843" t="s">
        <v>280</v>
      </c>
      <c r="H22" s="844"/>
      <c r="O22" s="449"/>
    </row>
    <row r="23" spans="1:15" ht="26.4" x14ac:dyDescent="0.25">
      <c r="A23" s="917" t="s">
        <v>191</v>
      </c>
      <c r="B23" s="913">
        <v>4.1500000000000002E-2</v>
      </c>
      <c r="C23" s="913"/>
      <c r="D23" s="914" t="s">
        <v>256</v>
      </c>
      <c r="E23" s="915">
        <v>5.1499999999999997E-2</v>
      </c>
      <c r="F23" s="916"/>
      <c r="G23" s="844" t="s">
        <v>456</v>
      </c>
      <c r="H23" s="844"/>
      <c r="O23" s="449"/>
    </row>
    <row r="24" spans="1:15" x14ac:dyDescent="0.25">
      <c r="A24" s="914" t="s">
        <v>262</v>
      </c>
      <c r="B24" s="915">
        <v>0.02</v>
      </c>
      <c r="C24" s="916"/>
      <c r="D24" s="914" t="s">
        <v>257</v>
      </c>
      <c r="E24" s="915">
        <v>4.1000000000000002E-2</v>
      </c>
      <c r="F24" s="916"/>
      <c r="G24" s="844"/>
      <c r="H24" s="844"/>
      <c r="O24" s="449"/>
    </row>
    <row r="25" spans="1:15" x14ac:dyDescent="0.25">
      <c r="O25" s="449"/>
    </row>
    <row r="26" spans="1:15" ht="13.8" thickBot="1" x14ac:dyDescent="0.3">
      <c r="A26" s="504"/>
      <c r="O26" s="449"/>
    </row>
    <row r="27" spans="1:15" ht="31.5" customHeight="1" thickBot="1" x14ac:dyDescent="0.3">
      <c r="A27" s="882" t="s">
        <v>202</v>
      </c>
      <c r="B27" s="1095">
        <v>2026</v>
      </c>
      <c r="C27" s="1096"/>
      <c r="D27" s="1097"/>
      <c r="F27" s="1098" t="s">
        <v>261</v>
      </c>
      <c r="G27" s="1099"/>
      <c r="H27" s="1099"/>
      <c r="I27" s="1099"/>
      <c r="J27" s="1099"/>
      <c r="K27" s="1099"/>
      <c r="L27" s="1100"/>
      <c r="O27" s="449"/>
    </row>
    <row r="28" spans="1:15" ht="13.8" thickBot="1" x14ac:dyDescent="0.3">
      <c r="A28" s="883" t="s">
        <v>203</v>
      </c>
      <c r="B28" s="884" t="s">
        <v>204</v>
      </c>
      <c r="C28" s="885" t="s">
        <v>205</v>
      </c>
      <c r="D28" s="886" t="s">
        <v>206</v>
      </c>
      <c r="L28" s="537" t="s">
        <v>357</v>
      </c>
      <c r="O28" s="449"/>
    </row>
    <row r="29" spans="1:15" ht="26.4" x14ac:dyDescent="0.25">
      <c r="A29" s="887" t="s">
        <v>207</v>
      </c>
      <c r="B29" s="888">
        <f>14.6%+3.1%</f>
        <v>0.17699999999999999</v>
      </c>
      <c r="C29" s="889">
        <f>B29/2</f>
        <v>8.8499999999999995E-2</v>
      </c>
      <c r="D29" s="890">
        <f>C29</f>
        <v>8.8499999999999995E-2</v>
      </c>
      <c r="I29" s="926" t="s">
        <v>488</v>
      </c>
      <c r="J29" s="919" t="s">
        <v>321</v>
      </c>
      <c r="K29" s="918" t="s">
        <v>489</v>
      </c>
      <c r="L29" s="539" t="str">
        <f>IF(OR('B_KZP_Allgemeine Angaben'!$H$55="ja",'B_KZP_Allgemeine Angaben'!H56&lt;&gt;"rüE"),KAT!K29,KAT!J29)</f>
        <v>Tarifbindung/Tarifanlehnung</v>
      </c>
      <c r="O29" s="449"/>
    </row>
    <row r="30" spans="1:15" x14ac:dyDescent="0.25">
      <c r="A30" s="891" t="s">
        <v>208</v>
      </c>
      <c r="B30" s="892">
        <f>C30*2</f>
        <v>0.186</v>
      </c>
      <c r="C30" s="889">
        <v>9.2999999999999999E-2</v>
      </c>
      <c r="D30" s="890">
        <f t="shared" ref="D30:D31" si="0">C30</f>
        <v>9.2999999999999999E-2</v>
      </c>
      <c r="F30" s="523" t="s">
        <v>343</v>
      </c>
      <c r="G30" s="524"/>
      <c r="H30" s="454" t="s">
        <v>260</v>
      </c>
      <c r="I30" s="453"/>
      <c r="J30" s="920">
        <v>0.03</v>
      </c>
      <c r="K30" s="920">
        <v>0.05</v>
      </c>
      <c r="L30" s="535">
        <f>INDEX(I30:K30,MATCH($L$29,I$29:$K$29,0))</f>
        <v>0.05</v>
      </c>
      <c r="O30" s="449"/>
    </row>
    <row r="31" spans="1:15" x14ac:dyDescent="0.25">
      <c r="A31" s="891" t="s">
        <v>209</v>
      </c>
      <c r="B31" s="892">
        <f>C31*2</f>
        <v>2.5999999999999999E-2</v>
      </c>
      <c r="C31" s="889">
        <v>1.2999999999999999E-2</v>
      </c>
      <c r="D31" s="890">
        <f t="shared" si="0"/>
        <v>1.2999999999999999E-2</v>
      </c>
      <c r="F31" s="924" t="s">
        <v>490</v>
      </c>
      <c r="G31" s="538"/>
      <c r="H31" s="454" t="s">
        <v>260</v>
      </c>
      <c r="I31" s="453"/>
      <c r="J31" s="920">
        <v>3.4200000000000001E-2</v>
      </c>
      <c r="K31" s="920">
        <v>0.05</v>
      </c>
      <c r="L31" s="535">
        <f>INDEX(I31:K31,MATCH($L$29,I$29:$K$29,0))</f>
        <v>0.05</v>
      </c>
      <c r="O31" s="449"/>
    </row>
    <row r="32" spans="1:15" ht="21" customHeight="1" thickBot="1" x14ac:dyDescent="0.3">
      <c r="A32" s="891" t="s">
        <v>210</v>
      </c>
      <c r="B32" s="893">
        <f>3.4%+0.2%</f>
        <v>3.6000000000000004E-2</v>
      </c>
      <c r="C32" s="889">
        <f>1.2%+0.1%</f>
        <v>1.3000000000000001E-2</v>
      </c>
      <c r="D32" s="894">
        <f>2.2%+0.1%</f>
        <v>2.3000000000000003E-2</v>
      </c>
      <c r="F32" s="925" t="s">
        <v>493</v>
      </c>
      <c r="G32" s="457"/>
      <c r="H32" s="454" t="s">
        <v>260</v>
      </c>
      <c r="I32" s="458"/>
      <c r="J32" s="921">
        <v>0.03</v>
      </c>
      <c r="K32" s="921">
        <v>0.05</v>
      </c>
      <c r="L32" s="535">
        <f>INDEX(I32:K32,MATCH($L$29,I$29:$K$29,0))</f>
        <v>0.05</v>
      </c>
      <c r="O32" s="449"/>
    </row>
    <row r="33" spans="1:15" ht="22.5" customHeight="1" thickBot="1" x14ac:dyDescent="0.3">
      <c r="A33" s="895" t="s">
        <v>211</v>
      </c>
      <c r="B33" s="896"/>
      <c r="C33" s="897">
        <f>(C32+C31+C30+C29)</f>
        <v>0.20749999999999999</v>
      </c>
      <c r="D33" s="898"/>
      <c r="F33" s="456"/>
      <c r="G33" s="457"/>
      <c r="H33" s="454"/>
      <c r="I33" s="458"/>
      <c r="J33" s="921"/>
      <c r="K33" s="921"/>
      <c r="L33" s="535"/>
      <c r="O33" s="449"/>
    </row>
    <row r="34" spans="1:15" ht="13.8" thickBot="1" x14ac:dyDescent="0.3">
      <c r="A34" s="852" t="s">
        <v>212</v>
      </c>
      <c r="B34" s="899" t="s">
        <v>213</v>
      </c>
      <c r="C34" s="900">
        <v>4.4000000000000003E-3</v>
      </c>
      <c r="D34" s="901"/>
      <c r="F34" s="521"/>
      <c r="G34" s="522"/>
      <c r="H34" s="454"/>
      <c r="I34" s="536"/>
      <c r="J34" s="922"/>
      <c r="K34" s="922"/>
      <c r="L34" s="535"/>
      <c r="O34" s="449"/>
    </row>
    <row r="35" spans="1:15" ht="13.8" thickBot="1" x14ac:dyDescent="0.3">
      <c r="A35" s="852" t="s">
        <v>215</v>
      </c>
      <c r="B35" s="899" t="s">
        <v>216</v>
      </c>
      <c r="C35" s="900">
        <v>2.1499999999999998E-2</v>
      </c>
      <c r="D35" s="902"/>
      <c r="F35" s="456" t="s">
        <v>152</v>
      </c>
      <c r="G35" s="522"/>
      <c r="H35" s="455" t="s">
        <v>260</v>
      </c>
      <c r="I35" s="536"/>
      <c r="J35" s="922">
        <v>0.04</v>
      </c>
      <c r="K35" s="922">
        <v>0.04</v>
      </c>
      <c r="L35" s="535">
        <f>INDEX(I35:K35,MATCH($L$29,I$29:$K$29,0))</f>
        <v>0.04</v>
      </c>
      <c r="O35" s="449"/>
    </row>
    <row r="36" spans="1:15" ht="13.8" thickBot="1" x14ac:dyDescent="0.3">
      <c r="A36" s="903" t="s">
        <v>217</v>
      </c>
      <c r="B36" s="884"/>
      <c r="C36" s="904">
        <v>1.5E-3</v>
      </c>
      <c r="D36" s="902"/>
      <c r="I36" s="226"/>
      <c r="J36" s="923"/>
      <c r="K36" s="226"/>
      <c r="N36" s="337"/>
      <c r="O36" s="449"/>
    </row>
    <row r="37" spans="1:15" ht="13.8" thickBot="1" x14ac:dyDescent="0.3">
      <c r="A37" s="1091" t="s">
        <v>214</v>
      </c>
      <c r="B37" s="1092"/>
      <c r="C37" s="905">
        <f>(C33+C34+C36)</f>
        <v>0.21339999999999998</v>
      </c>
      <c r="D37" s="902"/>
      <c r="F37" s="456" t="s">
        <v>239</v>
      </c>
      <c r="G37" s="457"/>
      <c r="H37" s="454" t="s">
        <v>241</v>
      </c>
      <c r="I37" s="809"/>
      <c r="J37" s="921">
        <v>0.03</v>
      </c>
      <c r="K37" s="921">
        <f>J37</f>
        <v>0.03</v>
      </c>
      <c r="L37" s="535">
        <f>INDEX(I37:K37,MATCH($L$29,I$29:$K$29,0))</f>
        <v>0.03</v>
      </c>
      <c r="N37" s="337"/>
      <c r="O37" s="449"/>
    </row>
    <row r="38" spans="1:15" ht="13.8" thickBot="1" x14ac:dyDescent="0.3">
      <c r="A38" s="1091" t="s">
        <v>218</v>
      </c>
      <c r="B38" s="1092"/>
      <c r="C38" s="905">
        <f>C37+C35</f>
        <v>0.23489999999999997</v>
      </c>
      <c r="D38" s="906"/>
      <c r="E38" s="451"/>
      <c r="F38" s="456" t="s">
        <v>240</v>
      </c>
      <c r="G38" s="457"/>
      <c r="H38" s="454" t="s">
        <v>241</v>
      </c>
      <c r="I38" s="458"/>
      <c r="J38" s="921">
        <v>0.05</v>
      </c>
      <c r="K38" s="921">
        <v>0.05</v>
      </c>
      <c r="L38" s="535">
        <f>INDEX(I38:K38,MATCH($L$29,I$29:$K$29,0))</f>
        <v>0.05</v>
      </c>
      <c r="M38" s="451"/>
      <c r="N38" s="451"/>
      <c r="O38" s="452"/>
    </row>
    <row r="40" spans="1:15" x14ac:dyDescent="0.25">
      <c r="A40" s="869" t="s">
        <v>334</v>
      </c>
      <c r="B40" s="870"/>
      <c r="C40" s="870"/>
      <c r="D40" s="870"/>
      <c r="E40" s="870"/>
      <c r="F40" s="871"/>
    </row>
    <row r="41" spans="1:15" x14ac:dyDescent="0.25">
      <c r="A41" s="872"/>
      <c r="B41" s="844"/>
      <c r="C41" s="844"/>
      <c r="D41" s="844"/>
      <c r="E41" s="873" t="s">
        <v>470</v>
      </c>
      <c r="F41" s="874"/>
    </row>
    <row r="42" spans="1:15" x14ac:dyDescent="0.25">
      <c r="A42" s="875" t="s">
        <v>321</v>
      </c>
      <c r="B42" s="876"/>
      <c r="C42" s="876"/>
      <c r="D42" s="877"/>
      <c r="E42" s="878">
        <v>24.02</v>
      </c>
      <c r="F42" s="874"/>
    </row>
    <row r="43" spans="1:15" x14ac:dyDescent="0.25">
      <c r="A43" s="875" t="s">
        <v>325</v>
      </c>
      <c r="B43" s="876"/>
      <c r="C43" s="876"/>
      <c r="D43" s="877"/>
      <c r="E43" s="878">
        <v>27.18</v>
      </c>
      <c r="F43" s="874"/>
    </row>
    <row r="44" spans="1:15" x14ac:dyDescent="0.25">
      <c r="A44" s="875" t="s">
        <v>323</v>
      </c>
      <c r="B44" s="876"/>
      <c r="C44" s="876"/>
      <c r="D44" s="877"/>
      <c r="E44" s="878">
        <v>22.52</v>
      </c>
      <c r="F44" s="874"/>
    </row>
    <row r="45" spans="1:15" x14ac:dyDescent="0.25">
      <c r="A45" s="875" t="s">
        <v>324</v>
      </c>
      <c r="B45" s="876"/>
      <c r="C45" s="876"/>
      <c r="D45" s="877"/>
      <c r="E45" s="878">
        <v>20.88</v>
      </c>
      <c r="F45" s="874"/>
    </row>
    <row r="46" spans="1:15" x14ac:dyDescent="0.25">
      <c r="A46" s="879"/>
      <c r="B46" s="880"/>
      <c r="C46" s="880"/>
      <c r="D46" s="880"/>
      <c r="E46" s="873" t="s">
        <v>356</v>
      </c>
      <c r="F46" s="874"/>
    </row>
    <row r="47" spans="1:15" x14ac:dyDescent="0.25">
      <c r="A47" s="875" t="s">
        <v>335</v>
      </c>
      <c r="B47" s="876"/>
      <c r="C47" s="876"/>
      <c r="D47" s="877"/>
      <c r="E47" s="878">
        <v>14.6</v>
      </c>
      <c r="F47" s="874"/>
    </row>
    <row r="48" spans="1:15" x14ac:dyDescent="0.25">
      <c r="A48" s="879"/>
      <c r="B48" s="880"/>
      <c r="C48" s="880"/>
      <c r="D48" s="880"/>
      <c r="E48" s="880"/>
      <c r="F48" s="881"/>
    </row>
    <row r="49" spans="1:8" ht="13.8" thickBot="1" x14ac:dyDescent="0.3"/>
    <row r="50" spans="1:8" ht="41.25" customHeight="1" x14ac:dyDescent="0.25">
      <c r="A50" s="1088" t="s">
        <v>487</v>
      </c>
      <c r="B50" s="1089"/>
      <c r="C50" s="1090"/>
      <c r="D50" s="843"/>
      <c r="E50" s="844"/>
      <c r="F50" s="845"/>
      <c r="G50" s="844"/>
      <c r="H50" s="844"/>
    </row>
    <row r="51" spans="1:8" x14ac:dyDescent="0.25">
      <c r="A51" s="846" t="s">
        <v>245</v>
      </c>
      <c r="B51" s="847">
        <f>E47</f>
        <v>14.6</v>
      </c>
      <c r="C51" s="848"/>
      <c r="D51" s="844"/>
      <c r="E51" s="844"/>
      <c r="F51" s="845"/>
      <c r="G51" s="844"/>
      <c r="H51" s="844"/>
    </row>
    <row r="52" spans="1:8" x14ac:dyDescent="0.25">
      <c r="A52" s="846" t="s">
        <v>246</v>
      </c>
      <c r="B52" s="849">
        <f>8*5*13/3*12</f>
        <v>2080</v>
      </c>
      <c r="C52" s="848" t="s">
        <v>247</v>
      </c>
      <c r="D52" s="844"/>
      <c r="E52" s="844"/>
      <c r="F52" s="845"/>
      <c r="G52" s="844"/>
      <c r="H52" s="844"/>
    </row>
    <row r="53" spans="1:8" x14ac:dyDescent="0.25">
      <c r="A53" s="846" t="s">
        <v>248</v>
      </c>
      <c r="B53" s="850">
        <f>B52*B51</f>
        <v>30368</v>
      </c>
      <c r="C53" s="848"/>
      <c r="D53" s="844"/>
      <c r="E53" s="844"/>
      <c r="F53" s="845"/>
      <c r="G53" s="844"/>
      <c r="H53" s="844"/>
    </row>
    <row r="54" spans="1:8" x14ac:dyDescent="0.25">
      <c r="A54" s="846" t="s">
        <v>249</v>
      </c>
      <c r="B54" s="850">
        <f>B53*C54</f>
        <v>6480.5311999999994</v>
      </c>
      <c r="C54" s="851">
        <f>MAX('B_KZP_Berechnung rüE'!$H$13,C37)</f>
        <v>0.21339999999999998</v>
      </c>
      <c r="D54" s="844"/>
      <c r="E54" s="850"/>
      <c r="F54" s="845"/>
      <c r="G54" s="844"/>
      <c r="H54" s="844"/>
    </row>
    <row r="55" spans="1:8" x14ac:dyDescent="0.25">
      <c r="A55" s="852" t="s">
        <v>250</v>
      </c>
      <c r="B55" s="853">
        <f>B53+B54</f>
        <v>36848.531199999998</v>
      </c>
      <c r="C55" s="854" t="s">
        <v>251</v>
      </c>
      <c r="D55" s="844"/>
      <c r="E55" s="844"/>
      <c r="F55" s="845"/>
      <c r="G55" s="844"/>
      <c r="H55" s="844"/>
    </row>
    <row r="56" spans="1:8" x14ac:dyDescent="0.25">
      <c r="A56" s="846" t="s">
        <v>252</v>
      </c>
      <c r="B56" s="850">
        <f>B53*C56</f>
        <v>1563.952</v>
      </c>
      <c r="C56" s="855">
        <f>KAT!E22</f>
        <v>5.1499999999999997E-2</v>
      </c>
      <c r="D56" s="844"/>
      <c r="E56" s="844"/>
      <c r="F56" s="845"/>
      <c r="G56" s="844"/>
      <c r="H56" s="844"/>
    </row>
    <row r="57" spans="1:8" ht="39.6" x14ac:dyDescent="0.25">
      <c r="A57" s="856" t="s">
        <v>250</v>
      </c>
      <c r="B57" s="857">
        <f>B53+B54+B56</f>
        <v>38412.483199999995</v>
      </c>
      <c r="C57" s="858" t="s">
        <v>253</v>
      </c>
      <c r="D57" s="844"/>
      <c r="E57" s="844"/>
      <c r="F57" s="845"/>
      <c r="G57" s="844"/>
      <c r="H57" s="844"/>
    </row>
    <row r="58" spans="1:8" x14ac:dyDescent="0.25">
      <c r="A58" s="846" t="s">
        <v>254</v>
      </c>
      <c r="B58" s="850">
        <f>B57/12</f>
        <v>3201.0402666666664</v>
      </c>
      <c r="C58" s="859"/>
      <c r="D58" s="844"/>
      <c r="E58" s="844"/>
      <c r="F58" s="845"/>
      <c r="G58" s="844"/>
      <c r="H58" s="844"/>
    </row>
    <row r="59" spans="1:8" ht="13.8" thickBot="1" x14ac:dyDescent="0.3">
      <c r="A59" s="860" t="s">
        <v>250</v>
      </c>
      <c r="B59" s="861">
        <f>B57+B58</f>
        <v>41613.523466666658</v>
      </c>
      <c r="C59" s="862"/>
      <c r="D59" s="844"/>
      <c r="E59" s="844"/>
      <c r="F59" s="845"/>
      <c r="G59" s="844"/>
      <c r="H59" s="844"/>
    </row>
    <row r="60" spans="1:8" ht="27" thickBot="1" x14ac:dyDescent="0.3">
      <c r="A60" s="863" t="s">
        <v>258</v>
      </c>
      <c r="B60" s="864">
        <f>B59*102%*102%</f>
        <v>43294.709814719994</v>
      </c>
      <c r="C60" s="865">
        <f>ROUND(B60,-2)</f>
        <v>43300</v>
      </c>
      <c r="D60" s="866" t="s">
        <v>259</v>
      </c>
      <c r="E60" s="867">
        <f>C60+0.009</f>
        <v>43300.008999999998</v>
      </c>
      <c r="F60" s="868" t="s">
        <v>447</v>
      </c>
      <c r="G60" s="844"/>
      <c r="H60" s="844"/>
    </row>
    <row r="61" spans="1:8" x14ac:dyDescent="0.25">
      <c r="F61" s="460"/>
    </row>
    <row r="63" spans="1:8" ht="13.8" x14ac:dyDescent="0.25">
      <c r="A63" s="120" t="s">
        <v>457</v>
      </c>
      <c r="B63" s="446"/>
      <c r="C63" s="446"/>
      <c r="D63" s="446"/>
      <c r="E63" s="446"/>
      <c r="F63" s="446"/>
      <c r="G63" s="447"/>
    </row>
    <row r="64" spans="1:8" x14ac:dyDescent="0.25">
      <c r="A64" s="448"/>
      <c r="G64" s="449"/>
    </row>
    <row r="65" spans="1:9" x14ac:dyDescent="0.25">
      <c r="A65" s="448"/>
      <c r="B65" s="1093" t="s">
        <v>452</v>
      </c>
      <c r="C65" s="1093"/>
      <c r="E65" s="1094" t="s">
        <v>453</v>
      </c>
      <c r="F65" s="1094"/>
      <c r="G65" s="449"/>
    </row>
    <row r="66" spans="1:9" ht="26.4" x14ac:dyDescent="0.25">
      <c r="A66" s="448"/>
      <c r="B66" s="763" t="s">
        <v>448</v>
      </c>
      <c r="C66" s="764" t="s">
        <v>454</v>
      </c>
      <c r="E66" s="764" t="s">
        <v>448</v>
      </c>
      <c r="F66" s="764" t="s">
        <v>454</v>
      </c>
      <c r="G66" s="449"/>
    </row>
    <row r="67" spans="1:9" x14ac:dyDescent="0.25">
      <c r="A67" s="766" t="s">
        <v>435</v>
      </c>
      <c r="B67" s="767">
        <f>B_KZP_Kalkulation!C23</f>
        <v>0</v>
      </c>
      <c r="C67" s="765">
        <f>B_KZP_Kalkulation!F23</f>
        <v>0</v>
      </c>
      <c r="E67" s="767">
        <f>IFERROR(1/(IFERROR(1/B67,0)+IFERROR(1/B68,0)),0)</f>
        <v>0</v>
      </c>
      <c r="F67" s="765">
        <f>IFERROR((IFERROR(C67/B67,0)+IFERROR(C68/B68,0))*E67,0)</f>
        <v>0</v>
      </c>
      <c r="G67" s="449"/>
    </row>
    <row r="68" spans="1:9" x14ac:dyDescent="0.25">
      <c r="A68" s="766" t="s">
        <v>450</v>
      </c>
      <c r="B68" s="767">
        <f>B_KZP_Kalkulation!C24</f>
        <v>0</v>
      </c>
      <c r="C68" s="765">
        <f>B_KZP_Kalkulation!F24</f>
        <v>0</v>
      </c>
      <c r="G68" s="449"/>
    </row>
    <row r="69" spans="1:9" x14ac:dyDescent="0.25">
      <c r="A69" s="448"/>
      <c r="G69" s="449"/>
    </row>
    <row r="70" spans="1:9" ht="13.8" x14ac:dyDescent="0.25">
      <c r="A70" s="789" t="s">
        <v>451</v>
      </c>
      <c r="G70" s="449"/>
    </row>
    <row r="71" spans="1:9" x14ac:dyDescent="0.25">
      <c r="A71" s="448"/>
      <c r="G71" s="449"/>
    </row>
    <row r="72" spans="1:9" x14ac:dyDescent="0.25">
      <c r="A72" s="448"/>
      <c r="B72" s="1093" t="s">
        <v>452</v>
      </c>
      <c r="C72" s="1093"/>
      <c r="E72" s="1094" t="s">
        <v>453</v>
      </c>
      <c r="F72" s="1094"/>
      <c r="G72" s="449"/>
    </row>
    <row r="73" spans="1:9" ht="26.4" x14ac:dyDescent="0.25">
      <c r="A73" s="448"/>
      <c r="B73" s="763" t="s">
        <v>448</v>
      </c>
      <c r="C73" s="764" t="s">
        <v>454</v>
      </c>
      <c r="E73" s="764" t="s">
        <v>448</v>
      </c>
      <c r="F73" s="764" t="s">
        <v>454</v>
      </c>
      <c r="G73" s="449"/>
    </row>
    <row r="74" spans="1:9" x14ac:dyDescent="0.25">
      <c r="A74" s="766" t="s">
        <v>51</v>
      </c>
      <c r="B74" s="767">
        <f>B_KZP_Kalkulation!C27</f>
        <v>0</v>
      </c>
      <c r="C74" s="765">
        <f>B_KZP_Kalkulation!F27</f>
        <v>0</v>
      </c>
      <c r="E74" s="767">
        <f>IFERROR(1/(IFERROR(1/B74,0)+IFERROR(1/B75,0)+IFERROR(1/B76,0)),0)</f>
        <v>0</v>
      </c>
      <c r="F74" s="765">
        <f>IFERROR((IFERROR(C74/B74,0)+IFERROR(C75/B75,0)+IFERROR(C76/B76,0))*E74,0)</f>
        <v>0</v>
      </c>
      <c r="G74" s="449"/>
      <c r="I74" s="459"/>
    </row>
    <row r="75" spans="1:9" x14ac:dyDescent="0.25">
      <c r="A75" s="766" t="s">
        <v>28</v>
      </c>
      <c r="B75" s="767">
        <f>B_KZP_Kalkulation!C28</f>
        <v>0</v>
      </c>
      <c r="C75" s="765">
        <f>B_KZP_Kalkulation!F28</f>
        <v>0</v>
      </c>
      <c r="G75" s="449"/>
    </row>
    <row r="76" spans="1:9" x14ac:dyDescent="0.25">
      <c r="A76" s="766" t="s">
        <v>29</v>
      </c>
      <c r="B76" s="767">
        <f>B_KZP_Kalkulation!C29</f>
        <v>0</v>
      </c>
      <c r="C76" s="765">
        <f>B_KZP_Kalkulation!F29</f>
        <v>0</v>
      </c>
      <c r="G76" s="449"/>
    </row>
    <row r="77" spans="1:9" x14ac:dyDescent="0.25">
      <c r="A77" s="790"/>
      <c r="B77" s="791"/>
      <c r="C77" s="792"/>
      <c r="D77" s="451"/>
      <c r="E77" s="451"/>
      <c r="F77" s="451"/>
      <c r="G77" s="452"/>
    </row>
    <row r="79" spans="1:9" x14ac:dyDescent="0.25">
      <c r="A79" s="98" t="s">
        <v>315</v>
      </c>
      <c r="B79" s="446"/>
      <c r="C79" s="446"/>
      <c r="D79" s="446"/>
      <c r="E79" s="446"/>
      <c r="F79" s="447"/>
    </row>
    <row r="80" spans="1:9" x14ac:dyDescent="0.25">
      <c r="A80" s="505" t="s">
        <v>97</v>
      </c>
      <c r="B80" s="443" t="s">
        <v>316</v>
      </c>
      <c r="F80" s="449"/>
    </row>
    <row r="81" spans="1:6" x14ac:dyDescent="0.25">
      <c r="A81" s="450"/>
      <c r="B81" s="451"/>
      <c r="C81" s="451"/>
      <c r="D81" s="451"/>
      <c r="E81" s="451"/>
      <c r="F81" s="452"/>
    </row>
  </sheetData>
  <sheetProtection algorithmName="SHA-512" hashValue="UfzmN4zPK30K6j3+03GVlPmvMBdGmntislMibiq87sctmgY2v/AFulTop/f4nSUnMqm//udyHPM50YNKgSCt5g==" saltValue="OotPOfAWwvp9k4hqG6kbVQ==" spinCount="100000" sheet="1" objects="1" scenarios="1" selectLockedCells="1"/>
  <customSheetViews>
    <customSheetView guid="{9119B1A0-FD79-4FE4-B78E-10E0AEB8080B}" state="hidden" topLeftCell="A86">
      <selection activeCell="N94" sqref="N94"/>
      <pageMargins left="0.7" right="0.7" top="0.78740157499999996" bottom="0.78740157499999996" header="0.3" footer="0.3"/>
      <pageSetup paperSize="9" orientation="portrait"/>
    </customSheetView>
  </customSheetViews>
  <mergeCells count="11">
    <mergeCell ref="B72:C72"/>
    <mergeCell ref="E72:F72"/>
    <mergeCell ref="B65:C65"/>
    <mergeCell ref="E65:F65"/>
    <mergeCell ref="B27:D27"/>
    <mergeCell ref="F27:L27"/>
    <mergeCell ref="B20:C20"/>
    <mergeCell ref="E20:F20"/>
    <mergeCell ref="A50:C50"/>
    <mergeCell ref="A37:B37"/>
    <mergeCell ref="A38:B38"/>
  </mergeCells>
  <phoneticPr fontId="60" type="noConversion"/>
  <dataValidations count="1">
    <dataValidation type="list" allowBlank="1" showInputMessage="1" showErrorMessage="1" sqref="A80" xr:uid="{00000000-0002-0000-01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Header>&amp;C&amp;A</oddHeader>
    <oddFooter xml:space="preserve">&amp;C
&amp;1#&amp;"Calibri,Standard"&amp;10&amp;K000000 </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P52"/>
  <sheetViews>
    <sheetView showGridLines="0" tabSelected="1" showWhiteSpace="0" zoomScaleNormal="100" workbookViewId="0">
      <selection sqref="A1:G2"/>
    </sheetView>
  </sheetViews>
  <sheetFormatPr baseColWidth="10" defaultRowHeight="13.8" x14ac:dyDescent="0.25"/>
  <cols>
    <col min="1" max="1" width="3.8984375" customWidth="1"/>
    <col min="2" max="2" width="18" customWidth="1"/>
    <col min="3" max="3" width="7.09765625" customWidth="1"/>
    <col min="4" max="4" width="0.69921875" customWidth="1"/>
    <col min="5" max="5" width="15.8984375" customWidth="1"/>
    <col min="6" max="6" width="19.69921875" customWidth="1"/>
    <col min="7" max="7" width="13.5" customWidth="1"/>
    <col min="8" max="16" width="11" style="127"/>
  </cols>
  <sheetData>
    <row r="1" spans="1:8" ht="14.25" customHeight="1" x14ac:dyDescent="0.25">
      <c r="A1" s="1071" t="s">
        <v>518</v>
      </c>
      <c r="B1" s="1072"/>
      <c r="C1" s="1072"/>
      <c r="D1" s="1072"/>
      <c r="E1" s="1072"/>
      <c r="F1" s="1072"/>
      <c r="G1" s="1073"/>
    </row>
    <row r="2" spans="1:8" ht="35.25" customHeight="1" x14ac:dyDescent="0.25">
      <c r="A2" s="1074"/>
      <c r="B2" s="1075"/>
      <c r="C2" s="1075"/>
      <c r="D2" s="1075"/>
      <c r="E2" s="1075"/>
      <c r="F2" s="1075"/>
      <c r="G2" s="1076"/>
    </row>
    <row r="3" spans="1:8" ht="6" customHeight="1" x14ac:dyDescent="0.25">
      <c r="A3" s="193"/>
      <c r="B3" s="193"/>
      <c r="C3" s="193"/>
      <c r="D3" s="193"/>
      <c r="E3" s="193"/>
      <c r="F3" s="193"/>
      <c r="G3" s="193"/>
    </row>
    <row r="4" spans="1:8" ht="45" customHeight="1" x14ac:dyDescent="0.25">
      <c r="A4" s="1077" t="s">
        <v>561</v>
      </c>
      <c r="B4" s="1060"/>
      <c r="C4" s="1060"/>
      <c r="D4" s="1060"/>
      <c r="E4" s="1060"/>
      <c r="F4" s="1060"/>
      <c r="G4" s="1060"/>
      <c r="H4" s="952"/>
    </row>
    <row r="5" spans="1:8" ht="14.25" customHeight="1" x14ac:dyDescent="0.25">
      <c r="A5" s="170"/>
      <c r="B5" s="170"/>
      <c r="C5" s="170"/>
      <c r="D5" s="170"/>
      <c r="E5" s="170"/>
      <c r="F5" s="170"/>
      <c r="G5" s="170"/>
      <c r="H5" s="952"/>
    </row>
    <row r="6" spans="1:8" x14ac:dyDescent="0.25">
      <c r="A6" s="1053" t="s">
        <v>519</v>
      </c>
      <c r="B6" s="1054"/>
      <c r="C6" s="1054"/>
      <c r="D6" s="1054"/>
      <c r="E6" s="1054"/>
      <c r="F6" s="1054"/>
      <c r="G6" s="1054"/>
    </row>
    <row r="7" spans="1:8" x14ac:dyDescent="0.25">
      <c r="A7" s="1057" t="s">
        <v>553</v>
      </c>
      <c r="B7" s="1057"/>
      <c r="C7" s="1057"/>
      <c r="D7" s="1057"/>
      <c r="E7" s="1057"/>
      <c r="F7" s="1057"/>
      <c r="G7" s="1057"/>
    </row>
    <row r="8" spans="1:8" x14ac:dyDescent="0.25">
      <c r="A8" s="1057" t="s">
        <v>520</v>
      </c>
      <c r="B8" s="1057"/>
      <c r="C8" s="1057"/>
      <c r="D8" s="1057"/>
      <c r="E8" s="1057"/>
      <c r="F8" s="1057"/>
      <c r="G8" s="1057"/>
    </row>
    <row r="9" spans="1:8" x14ac:dyDescent="0.25">
      <c r="A9" s="1057" t="s">
        <v>554</v>
      </c>
      <c r="B9" s="1057"/>
      <c r="C9" s="1057"/>
      <c r="D9" s="1057"/>
      <c r="E9" s="1057"/>
      <c r="F9" s="1057"/>
      <c r="G9" s="1057"/>
    </row>
    <row r="10" spans="1:8" x14ac:dyDescent="0.25">
      <c r="A10" s="1057" t="s">
        <v>555</v>
      </c>
      <c r="B10" s="1057"/>
      <c r="C10" s="1057"/>
      <c r="D10" s="1057"/>
      <c r="E10" s="1057"/>
      <c r="F10" s="1057"/>
      <c r="G10" s="1057"/>
    </row>
    <row r="11" spans="1:8" x14ac:dyDescent="0.25">
      <c r="A11" s="1057" t="s">
        <v>556</v>
      </c>
      <c r="B11" s="1057"/>
      <c r="C11" s="1057"/>
      <c r="D11" s="1057"/>
      <c r="E11" s="1057"/>
      <c r="F11" s="1057"/>
      <c r="G11" s="1057"/>
    </row>
    <row r="12" spans="1:8" x14ac:dyDescent="0.25">
      <c r="A12" s="1057" t="s">
        <v>557</v>
      </c>
      <c r="B12" s="1057"/>
      <c r="C12" s="1057"/>
      <c r="D12" s="1057"/>
      <c r="E12" s="1057"/>
      <c r="F12" s="1057"/>
      <c r="G12" s="1057"/>
    </row>
    <row r="13" spans="1:8" x14ac:dyDescent="0.25">
      <c r="A13" s="1057" t="s">
        <v>558</v>
      </c>
      <c r="B13" s="1057"/>
      <c r="C13" s="1057"/>
      <c r="D13" s="1057"/>
      <c r="E13" s="1057"/>
      <c r="F13" s="1057"/>
      <c r="G13" s="1057"/>
    </row>
    <row r="14" spans="1:8" ht="6.75" customHeight="1" x14ac:dyDescent="0.25"/>
    <row r="15" spans="1:8" ht="409.5" customHeight="1" x14ac:dyDescent="0.25">
      <c r="A15" s="1060" t="s">
        <v>552</v>
      </c>
      <c r="B15" s="1061"/>
      <c r="C15" s="1061"/>
      <c r="D15" s="1061"/>
      <c r="E15" s="1061"/>
      <c r="F15" s="1061"/>
      <c r="G15" s="1061"/>
      <c r="H15" s="1056" t="s">
        <v>559</v>
      </c>
    </row>
    <row r="16" spans="1:8" ht="191.25" customHeight="1" x14ac:dyDescent="0.25">
      <c r="A16" s="1078" t="s">
        <v>560</v>
      </c>
      <c r="B16" s="1079"/>
      <c r="C16" s="1079"/>
      <c r="D16" s="1079"/>
      <c r="E16" s="1079"/>
      <c r="F16" s="1079"/>
      <c r="G16" s="1079"/>
      <c r="H16" s="1056"/>
    </row>
    <row r="18" spans="1:8" ht="48.75" customHeight="1" x14ac:dyDescent="0.25">
      <c r="A18" s="1070" t="s">
        <v>521</v>
      </c>
      <c r="B18" s="1054"/>
      <c r="C18" s="1054"/>
      <c r="D18" s="1054"/>
      <c r="E18" s="1054"/>
      <c r="F18" s="1054"/>
      <c r="G18" s="1054"/>
      <c r="H18" s="953" t="s">
        <v>559</v>
      </c>
    </row>
    <row r="20" spans="1:8" ht="252" customHeight="1" x14ac:dyDescent="0.25">
      <c r="A20" s="1078" t="s">
        <v>522</v>
      </c>
      <c r="B20" s="1079"/>
      <c r="C20" s="1079"/>
      <c r="D20" s="1079"/>
      <c r="E20" s="1079"/>
      <c r="F20" s="1079"/>
      <c r="G20" s="1079"/>
      <c r="H20" s="954" t="s">
        <v>559</v>
      </c>
    </row>
    <row r="22" spans="1:8" ht="392.25" customHeight="1" x14ac:dyDescent="0.25">
      <c r="A22" s="1060" t="s">
        <v>523</v>
      </c>
      <c r="B22" s="1061"/>
      <c r="C22" s="1061"/>
      <c r="D22" s="1061"/>
      <c r="E22" s="1061"/>
      <c r="F22" s="1061"/>
      <c r="G22" s="1061"/>
      <c r="H22" s="1055" t="s">
        <v>559</v>
      </c>
    </row>
    <row r="23" spans="1:8" ht="63" customHeight="1" x14ac:dyDescent="0.25">
      <c r="A23" s="1060" t="s">
        <v>524</v>
      </c>
      <c r="B23" s="1061"/>
      <c r="C23" s="1061"/>
      <c r="D23" s="1061"/>
      <c r="E23" s="1061"/>
      <c r="F23" s="1061"/>
      <c r="G23" s="1061"/>
      <c r="H23" s="1055"/>
    </row>
    <row r="24" spans="1:8" ht="351.75" customHeight="1" x14ac:dyDescent="0.25">
      <c r="A24" s="1060" t="s">
        <v>525</v>
      </c>
      <c r="B24" s="1061"/>
      <c r="C24" s="1061"/>
      <c r="D24" s="1061"/>
      <c r="E24" s="1061"/>
      <c r="F24" s="1061"/>
      <c r="G24" s="1061"/>
      <c r="H24" s="1055"/>
    </row>
    <row r="25" spans="1:8" ht="250.5" customHeight="1" x14ac:dyDescent="0.25">
      <c r="A25" s="1060" t="s">
        <v>526</v>
      </c>
      <c r="B25" s="1061"/>
      <c r="C25" s="1061"/>
      <c r="D25" s="1061"/>
      <c r="E25" s="1061"/>
      <c r="F25" s="1061"/>
      <c r="G25" s="1061"/>
      <c r="H25" s="1055"/>
    </row>
    <row r="26" spans="1:8" ht="54" customHeight="1" x14ac:dyDescent="0.25">
      <c r="B26" s="1064"/>
      <c r="C26" s="1065"/>
      <c r="D26" s="1066"/>
      <c r="E26" s="948" t="s">
        <v>527</v>
      </c>
      <c r="F26" s="948" t="s">
        <v>528</v>
      </c>
      <c r="H26" s="1055"/>
    </row>
    <row r="27" spans="1:8" x14ac:dyDescent="0.25">
      <c r="B27" s="1067" t="s">
        <v>322</v>
      </c>
      <c r="C27" s="1068"/>
      <c r="D27" s="1069"/>
      <c r="E27" s="949" t="s">
        <v>529</v>
      </c>
      <c r="F27" s="949" t="s">
        <v>530</v>
      </c>
      <c r="H27" s="1055"/>
    </row>
    <row r="28" spans="1:8" ht="39.9" customHeight="1" x14ac:dyDescent="0.25">
      <c r="B28" s="1067" t="s">
        <v>531</v>
      </c>
      <c r="C28" s="1068"/>
      <c r="D28" s="1069"/>
      <c r="E28" s="949" t="s">
        <v>529</v>
      </c>
      <c r="F28" s="949" t="s">
        <v>530</v>
      </c>
      <c r="H28" s="1055"/>
    </row>
    <row r="29" spans="1:8" x14ac:dyDescent="0.25">
      <c r="B29" s="1067" t="s">
        <v>425</v>
      </c>
      <c r="C29" s="1068"/>
      <c r="D29" s="1069"/>
      <c r="E29" s="949" t="s">
        <v>529</v>
      </c>
      <c r="F29" s="949" t="s">
        <v>532</v>
      </c>
      <c r="H29" s="1055"/>
    </row>
    <row r="30" spans="1:8" ht="34.5" customHeight="1" x14ac:dyDescent="0.25">
      <c r="B30" s="950" t="s">
        <v>411</v>
      </c>
      <c r="C30" s="95"/>
      <c r="D30" s="100"/>
      <c r="E30" s="949" t="s">
        <v>529</v>
      </c>
      <c r="F30" s="949" t="s">
        <v>530</v>
      </c>
      <c r="H30" s="1055"/>
    </row>
    <row r="31" spans="1:8" ht="26.25" customHeight="1" x14ac:dyDescent="0.25">
      <c r="B31" s="950" t="s">
        <v>533</v>
      </c>
      <c r="C31" s="95"/>
      <c r="D31" s="100"/>
      <c r="E31" s="949" t="s">
        <v>534</v>
      </c>
      <c r="F31" s="949" t="s">
        <v>534</v>
      </c>
      <c r="H31" s="1055"/>
    </row>
    <row r="32" spans="1:8" x14ac:dyDescent="0.25">
      <c r="H32" s="1055"/>
    </row>
    <row r="33" spans="1:8" ht="100.5" customHeight="1" x14ac:dyDescent="0.25">
      <c r="A33" s="1070" t="s">
        <v>535</v>
      </c>
      <c r="B33" s="1054"/>
      <c r="C33" s="1054"/>
      <c r="D33" s="1054"/>
      <c r="E33" s="1054"/>
      <c r="F33" s="1054"/>
      <c r="G33" s="1054"/>
      <c r="H33" s="1055"/>
    </row>
    <row r="34" spans="1:8" x14ac:dyDescent="0.25">
      <c r="H34" s="1055"/>
    </row>
    <row r="35" spans="1:8" ht="60" customHeight="1" x14ac:dyDescent="0.25">
      <c r="B35" s="1058" t="s">
        <v>542</v>
      </c>
      <c r="C35" s="1062"/>
      <c r="D35" s="1059"/>
      <c r="E35" s="1059"/>
      <c r="F35" s="1059"/>
      <c r="H35" s="1055"/>
    </row>
    <row r="36" spans="1:8" ht="37.5" customHeight="1" x14ac:dyDescent="0.25">
      <c r="B36" s="1062" t="s">
        <v>536</v>
      </c>
      <c r="C36" s="1059"/>
      <c r="D36" s="1059"/>
      <c r="E36" s="1059"/>
      <c r="F36" s="949" t="s">
        <v>537</v>
      </c>
      <c r="H36" s="1055"/>
    </row>
    <row r="37" spans="1:8" ht="38.25" customHeight="1" x14ac:dyDescent="0.25">
      <c r="B37" s="1062" t="s">
        <v>538</v>
      </c>
      <c r="C37" s="1059"/>
      <c r="D37" s="1059"/>
      <c r="E37" s="1059"/>
      <c r="F37" s="949" t="s">
        <v>539</v>
      </c>
      <c r="H37" s="1055"/>
    </row>
    <row r="38" spans="1:8" ht="31.5" customHeight="1" x14ac:dyDescent="0.25">
      <c r="B38" s="1062" t="s">
        <v>540</v>
      </c>
      <c r="C38" s="1059"/>
      <c r="D38" s="1059"/>
      <c r="E38" s="1059"/>
      <c r="F38" s="949" t="s">
        <v>541</v>
      </c>
      <c r="H38" s="1055"/>
    </row>
    <row r="39" spans="1:8" x14ac:dyDescent="0.25">
      <c r="B39" s="1063"/>
      <c r="C39" s="1063"/>
      <c r="D39" s="1059"/>
      <c r="E39" s="1059"/>
      <c r="F39" s="1059"/>
      <c r="H39" s="1055"/>
    </row>
    <row r="40" spans="1:8" ht="66.75" customHeight="1" x14ac:dyDescent="0.25">
      <c r="B40" s="1058" t="s">
        <v>543</v>
      </c>
      <c r="C40" s="1062"/>
      <c r="D40" s="1059"/>
      <c r="E40" s="1059"/>
      <c r="F40" s="1059"/>
      <c r="H40" s="1055"/>
    </row>
    <row r="41" spans="1:8" ht="34.5" customHeight="1" x14ac:dyDescent="0.25">
      <c r="B41" s="1058" t="s">
        <v>544</v>
      </c>
      <c r="C41" s="1059"/>
      <c r="D41" s="1059"/>
      <c r="E41" s="1059"/>
      <c r="F41" s="951">
        <v>0.23</v>
      </c>
      <c r="H41" s="1055"/>
    </row>
    <row r="42" spans="1:8" ht="33.75" customHeight="1" x14ac:dyDescent="0.25">
      <c r="B42" s="1058" t="s">
        <v>545</v>
      </c>
      <c r="C42" s="1059"/>
      <c r="D42" s="1059"/>
      <c r="E42" s="1059"/>
      <c r="F42" s="951">
        <v>0.3</v>
      </c>
      <c r="H42" s="1055"/>
    </row>
    <row r="43" spans="1:8" ht="44.25" customHeight="1" x14ac:dyDescent="0.25">
      <c r="B43" s="1058" t="s">
        <v>546</v>
      </c>
      <c r="C43" s="1059"/>
      <c r="D43" s="1059"/>
      <c r="E43" s="1059"/>
      <c r="F43" s="951">
        <v>0.35</v>
      </c>
      <c r="H43" s="1055"/>
    </row>
    <row r="44" spans="1:8" ht="45" customHeight="1" x14ac:dyDescent="0.25">
      <c r="B44" s="1058" t="s">
        <v>547</v>
      </c>
      <c r="C44" s="1059"/>
      <c r="D44" s="1059"/>
      <c r="E44" s="1059"/>
      <c r="F44" s="951">
        <v>1.33</v>
      </c>
      <c r="H44" s="1055"/>
    </row>
    <row r="45" spans="1:8" x14ac:dyDescent="0.25">
      <c r="H45" s="1055"/>
    </row>
    <row r="46" spans="1:8" ht="181.5" customHeight="1" x14ac:dyDescent="0.25">
      <c r="A46" s="1060" t="s">
        <v>548</v>
      </c>
      <c r="B46" s="1061"/>
      <c r="C46" s="1061"/>
      <c r="D46" s="1061"/>
      <c r="E46" s="1061"/>
      <c r="F46" s="1061"/>
      <c r="G46" s="1061"/>
      <c r="H46" s="1055"/>
    </row>
    <row r="48" spans="1:8" ht="47.25" customHeight="1" x14ac:dyDescent="0.25">
      <c r="A48" s="1060" t="s">
        <v>549</v>
      </c>
      <c r="B48" s="1061"/>
      <c r="C48" s="1061"/>
      <c r="D48" s="1061"/>
      <c r="E48" s="1061"/>
      <c r="F48" s="1061"/>
      <c r="G48" s="1061"/>
      <c r="H48" s="955" t="s">
        <v>559</v>
      </c>
    </row>
    <row r="50" spans="1:8" ht="121.5" customHeight="1" x14ac:dyDescent="0.25">
      <c r="A50" s="1060" t="s">
        <v>550</v>
      </c>
      <c r="B50" s="1061"/>
      <c r="C50" s="1061"/>
      <c r="D50" s="1061"/>
      <c r="E50" s="1061"/>
      <c r="F50" s="1061"/>
      <c r="G50" s="1061"/>
      <c r="H50" s="954" t="s">
        <v>559</v>
      </c>
    </row>
    <row r="52" spans="1:8" ht="64.5" customHeight="1" x14ac:dyDescent="0.25">
      <c r="A52" s="1060" t="s">
        <v>551</v>
      </c>
      <c r="B52" s="1061"/>
      <c r="C52" s="1061"/>
      <c r="D52" s="1061"/>
      <c r="E52" s="1061"/>
      <c r="F52" s="1061"/>
      <c r="G52" s="1061"/>
      <c r="H52" s="955" t="s">
        <v>559</v>
      </c>
    </row>
  </sheetData>
  <sheetProtection algorithmName="SHA-512" hashValue="Y6nbamTqmQybtPQcixXqW5aIoWJfklVf5C1hnNZVHbyhQAimcQmk80Nvn/NfXyNy71XGFHUQ99w39K1D7IbSAQ==" saltValue="FsUjBpJZsdZjmVOn+0zLRw==" spinCount="100000" sheet="1" objects="1" scenarios="1"/>
  <customSheetViews>
    <customSheetView guid="{9119B1A0-FD79-4FE4-B78E-10E0AEB8080B}" scale="130" showGridLines="0">
      <selection sqref="A1:G2"/>
      <pageMargins left="0.70866141732283472" right="0.70866141732283472" top="0.78740157480314965" bottom="0.78740157480314965" header="0.31496062992125984" footer="0.31496062992125984"/>
      <pageSetup paperSize="9" orientation="portrait"/>
      <headerFooter>
        <oddFooter xml:space="preserve">&amp;L&amp;8Version: 14.06.2022&amp;C&amp;8Verhandlungsunterlagen SGB XI (vereinfacht B1)&amp;R&amp;8PSK-Beschluss Nr. x-2022 vom xx </oddFooter>
      </headerFooter>
    </customSheetView>
  </customSheetViews>
  <mergeCells count="39">
    <mergeCell ref="A48:G48"/>
    <mergeCell ref="A50:G50"/>
    <mergeCell ref="A52:G52"/>
    <mergeCell ref="A13:G13"/>
    <mergeCell ref="A1:G2"/>
    <mergeCell ref="A4:G4"/>
    <mergeCell ref="A15:G15"/>
    <mergeCell ref="A16:G16"/>
    <mergeCell ref="A18:G18"/>
    <mergeCell ref="A20:G20"/>
    <mergeCell ref="A22:G22"/>
    <mergeCell ref="A23:G23"/>
    <mergeCell ref="A24:G24"/>
    <mergeCell ref="A25:G25"/>
    <mergeCell ref="B37:E37"/>
    <mergeCell ref="B38:E38"/>
    <mergeCell ref="B39:F39"/>
    <mergeCell ref="B40:F40"/>
    <mergeCell ref="B26:D26"/>
    <mergeCell ref="B28:D28"/>
    <mergeCell ref="B29:D29"/>
    <mergeCell ref="A33:G33"/>
    <mergeCell ref="B27:D27"/>
    <mergeCell ref="A6:G6"/>
    <mergeCell ref="H22:H46"/>
    <mergeCell ref="H15:H16"/>
    <mergeCell ref="A7:G7"/>
    <mergeCell ref="A8:G8"/>
    <mergeCell ref="A9:G9"/>
    <mergeCell ref="A10:G10"/>
    <mergeCell ref="A11:G11"/>
    <mergeCell ref="A12:G12"/>
    <mergeCell ref="B41:E41"/>
    <mergeCell ref="B42:E42"/>
    <mergeCell ref="B43:E43"/>
    <mergeCell ref="B44:E44"/>
    <mergeCell ref="A46:G46"/>
    <mergeCell ref="B35:F35"/>
    <mergeCell ref="B36:E36"/>
  </mergeCells>
  <hyperlinks>
    <hyperlink ref="A7:G7" location="B_KZP_Hinweise!A15" display="1. Allgemeine Hinweise" xr:uid="{0E21EE82-1014-4BEF-AE98-2B9F6B2721E4}"/>
    <hyperlink ref="H15:H16" location="B_KZP_Hinweise!A6" display="zurück" xr:uid="{C58B4D9F-0140-4ECA-A075-9A23E417219B}"/>
    <hyperlink ref="H18" location="B_KZP_Hinweise!A6" display="zurück" xr:uid="{C0D2E969-D87C-4BF2-8A4B-3DE4901ADE8C}"/>
    <hyperlink ref="H20" location="B_KZP_Hinweise!A6" display="zurück" xr:uid="{A84F47C4-ECF4-4E6E-998E-1B2498DE7F50}"/>
    <hyperlink ref="H22:H46" location="B_KZP_Hinweise!A6" display="zurück" xr:uid="{E5A992CE-7C66-4132-A97F-B0DD4655EFA9}"/>
    <hyperlink ref="H48" location="B_KZP_Hinweise!A6" display="zurück" xr:uid="{8CE81CC4-BCA3-48A9-981F-BAAC83A19102}"/>
    <hyperlink ref="H50" location="B_KZP_Hinweise!A6" display="zurück" xr:uid="{9B6C5C0C-10F1-4E4E-B9F9-6F808A4DEE06}"/>
    <hyperlink ref="H52" location="B_KZP_Hinweise!A6" display="zurück" xr:uid="{D7E2C16A-6132-4BB3-ABB3-CBCCC0834E0D}"/>
    <hyperlink ref="A8:G8" location="B_KZP_Hinweise!A18" display="2. Aufforderungsunterlagen" xr:uid="{2F7264AA-0F64-46E2-BAF4-09FB281980F0}"/>
    <hyperlink ref="A9:G9" location="B_KZP_Hinweise!A20" display="2.1. Allgemeine Angaben" xr:uid="{E773C7B3-9AF3-435A-9A5A-A1773ACCBD0F}"/>
    <hyperlink ref="A10:G10" location="B_KZP_Hinweise!A22" display="2.2. Kalkulation" xr:uid="{2E1740BF-C5B1-434A-A851-5AC4715B58D8}"/>
    <hyperlink ref="A11:G11" location="B_KZP_Hinweise!A48" display="2.3. Bewohnervertretung" xr:uid="{6490CD93-2D59-4382-B479-AE64056FB763}"/>
    <hyperlink ref="A12:G12" location="B_KZP_Hinweise!A50" display="2.4. Ergebnis" xr:uid="{E0917372-A939-4FFB-85CF-E894881E9003}"/>
    <hyperlink ref="A13:G13" location="B_KZP_Hinweise!A52" display="2.5. Gesamtkalkulation" xr:uid="{2E11153C-169A-4959-B49B-7229427E3755}"/>
  </hyperlinks>
  <pageMargins left="0.70866141732283472" right="0.70866141732283472" top="0.78740157480314965" bottom="0.78740157480314965" header="0.31496062992125984" footer="0.31496062992125984"/>
  <pageSetup paperSize="9" orientation="portrait"/>
  <headerFooter>
    <oddHeader>&amp;C&amp;9&amp;A Seite &amp;P</oddHeader>
    <oddFooter>&amp;L&amp;8Version: 19.10.2026&amp;C&amp;8Verhandlungsunterlagen SGB XI (vereinfacht B KZP)&amp;R&amp;8PSK-Beschluss vom 08.10.2026</oddFooter>
  </headerFooter>
  <rowBreaks count="1" manualBreakCount="1">
    <brk id="25" max="16383" man="1"/>
  </rowBreaks>
  <colBreaks count="1" manualBreakCount="1">
    <brk id="10" max="1048575"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U80"/>
  <sheetViews>
    <sheetView showGridLines="0" zoomScaleNormal="100" workbookViewId="0">
      <selection activeCell="L4" sqref="L4:M4"/>
    </sheetView>
  </sheetViews>
  <sheetFormatPr baseColWidth="10" defaultRowHeight="13.8" x14ac:dyDescent="0.25"/>
  <cols>
    <col min="1" max="1" width="4.59765625" style="3" customWidth="1"/>
    <col min="2" max="2" width="2.3984375" style="3" customWidth="1"/>
    <col min="3" max="3" width="14.19921875" style="3" customWidth="1"/>
    <col min="4" max="4" width="10.59765625" style="3" customWidth="1"/>
    <col min="5" max="7" width="3.09765625" style="3" customWidth="1"/>
    <col min="8" max="8" width="11" style="3"/>
    <col min="9" max="10" width="2.3984375" style="3" customWidth="1"/>
    <col min="11" max="11" width="12.59765625" style="3" customWidth="1"/>
    <col min="12" max="12" width="7.59765625" style="3" customWidth="1"/>
    <col min="13" max="13" width="10.69921875" style="3" customWidth="1"/>
    <col min="14" max="14" width="4.59765625" style="3" customWidth="1"/>
    <col min="15" max="15" width="46.19921875" customWidth="1"/>
    <col min="16" max="20" width="11" style="3" customWidth="1"/>
    <col min="21" max="27" width="11" customWidth="1"/>
  </cols>
  <sheetData>
    <row r="1" spans="1:20" ht="52.5" customHeight="1" x14ac:dyDescent="0.25">
      <c r="A1" s="1101" t="s">
        <v>394</v>
      </c>
      <c r="B1" s="1102"/>
      <c r="C1" s="1102"/>
      <c r="D1" s="1102"/>
      <c r="E1" s="1102"/>
      <c r="F1" s="1102"/>
      <c r="G1" s="1102"/>
      <c r="H1" s="1102"/>
      <c r="I1" s="1102"/>
      <c r="J1" s="1102"/>
      <c r="K1" s="1102"/>
      <c r="L1" s="1102"/>
      <c r="M1" s="1102"/>
      <c r="N1" s="1103"/>
      <c r="O1" s="211"/>
      <c r="P1"/>
      <c r="Q1" s="96"/>
      <c r="R1" s="212"/>
      <c r="S1" s="213"/>
      <c r="T1"/>
    </row>
    <row r="2" spans="1:20" ht="15" customHeight="1" x14ac:dyDescent="0.25">
      <c r="A2" s="1104" t="s">
        <v>0</v>
      </c>
      <c r="B2" s="1105"/>
      <c r="C2" s="1105"/>
      <c r="D2" s="1105"/>
      <c r="E2" s="1105"/>
      <c r="F2" s="1105"/>
      <c r="G2" s="1105"/>
      <c r="H2" s="1105"/>
      <c r="I2" s="1105"/>
      <c r="J2" s="1105"/>
      <c r="K2" s="1105"/>
      <c r="L2" s="1105"/>
      <c r="M2" s="1105"/>
      <c r="N2" s="1106"/>
      <c r="O2" s="214"/>
      <c r="P2"/>
      <c r="Q2"/>
      <c r="R2"/>
      <c r="S2"/>
      <c r="T2"/>
    </row>
    <row r="3" spans="1:20" x14ac:dyDescent="0.25">
      <c r="A3" s="1104" t="str">
        <f>IF('B_KZP_Allgemeine Angaben'!D12&gt;0,CONCATENATE(D12,", ",'B_KZP_Allgemeine Angaben'!D16," ",'B_KZP_Allgemeine Angaben'!J16),"")</f>
        <v/>
      </c>
      <c r="B3" s="1105"/>
      <c r="C3" s="1105"/>
      <c r="D3" s="1105"/>
      <c r="E3" s="1105"/>
      <c r="F3" s="1105"/>
      <c r="G3" s="1105"/>
      <c r="H3" s="1105"/>
      <c r="I3" s="1105"/>
      <c r="J3" s="1105"/>
      <c r="K3" s="1105"/>
      <c r="L3" s="1105"/>
      <c r="M3" s="1105"/>
      <c r="N3" s="1106"/>
      <c r="O3" s="37"/>
      <c r="P3"/>
      <c r="Q3"/>
      <c r="R3"/>
      <c r="S3"/>
      <c r="T3"/>
    </row>
    <row r="4" spans="1:20" x14ac:dyDescent="0.25">
      <c r="A4" s="591" t="str">
        <f>IF(L6&gt;0,"IK  "&amp;TEXT(L6,"000  000  000"),"")</f>
        <v/>
      </c>
      <c r="B4" s="607"/>
      <c r="C4" s="607"/>
      <c r="D4" s="92"/>
      <c r="E4" s="92"/>
      <c r="F4" s="92"/>
      <c r="G4" s="92"/>
      <c r="H4" s="92"/>
      <c r="I4" s="92"/>
      <c r="J4" s="92"/>
      <c r="K4" s="171" t="s">
        <v>177</v>
      </c>
      <c r="L4" s="1114"/>
      <c r="M4" s="1115"/>
      <c r="N4" s="93"/>
      <c r="O4" s="48"/>
      <c r="P4"/>
      <c r="Q4"/>
      <c r="R4"/>
      <c r="S4"/>
      <c r="T4"/>
    </row>
    <row r="5" spans="1:20" ht="12.75" customHeight="1" thickBot="1" x14ac:dyDescent="0.3">
      <c r="A5" s="1112">
        <v>46314</v>
      </c>
      <c r="B5" s="1113"/>
      <c r="C5" s="592"/>
      <c r="N5" s="4"/>
      <c r="P5"/>
      <c r="Q5"/>
      <c r="R5"/>
      <c r="S5"/>
      <c r="T5"/>
    </row>
    <row r="6" spans="1:20" ht="14.4" thickBot="1" x14ac:dyDescent="0.3">
      <c r="A6" s="2"/>
      <c r="B6" s="5" t="s">
        <v>1</v>
      </c>
      <c r="D6" s="1107" t="s">
        <v>391</v>
      </c>
      <c r="E6" s="1108"/>
      <c r="F6" s="1108"/>
      <c r="G6" s="1109"/>
      <c r="I6" s="5"/>
      <c r="J6" s="5"/>
      <c r="K6" s="6" t="s">
        <v>199</v>
      </c>
      <c r="L6" s="1110"/>
      <c r="M6" s="1111"/>
      <c r="N6" s="4"/>
      <c r="O6" s="1"/>
      <c r="P6"/>
      <c r="Q6"/>
      <c r="R6"/>
      <c r="S6"/>
      <c r="T6"/>
    </row>
    <row r="7" spans="1:20" ht="14.4" customHeight="1" x14ac:dyDescent="0.25">
      <c r="A7" s="2"/>
      <c r="B7" s="7"/>
      <c r="C7" s="8"/>
      <c r="D7" s="622"/>
      <c r="E7" s="622"/>
      <c r="F7" s="622"/>
      <c r="K7" s="235"/>
      <c r="N7" s="4"/>
      <c r="O7" s="215"/>
      <c r="P7"/>
      <c r="Q7"/>
      <c r="R7"/>
      <c r="S7"/>
      <c r="T7"/>
    </row>
    <row r="8" spans="1:20" ht="12.75" customHeight="1" x14ac:dyDescent="0.25">
      <c r="A8" s="2"/>
      <c r="B8" s="7"/>
      <c r="C8" s="8"/>
      <c r="D8" s="10"/>
      <c r="N8" s="4"/>
      <c r="O8" s="215"/>
      <c r="P8"/>
      <c r="Q8"/>
      <c r="R8"/>
      <c r="S8"/>
      <c r="T8"/>
    </row>
    <row r="9" spans="1:20" ht="12.75" customHeight="1" x14ac:dyDescent="0.25">
      <c r="A9" s="2"/>
      <c r="B9" s="7"/>
      <c r="C9" s="8"/>
      <c r="N9" s="4"/>
      <c r="P9"/>
      <c r="Q9"/>
      <c r="R9"/>
      <c r="S9"/>
      <c r="T9"/>
    </row>
    <row r="10" spans="1:20" x14ac:dyDescent="0.25">
      <c r="A10" s="2"/>
      <c r="B10" s="39" t="s">
        <v>3</v>
      </c>
      <c r="C10" s="38"/>
      <c r="D10" s="38"/>
      <c r="E10" s="38"/>
      <c r="F10" s="38"/>
      <c r="G10" s="38"/>
      <c r="H10" s="38"/>
      <c r="I10" s="38"/>
      <c r="J10" s="38"/>
      <c r="K10" s="38"/>
      <c r="L10" s="38"/>
      <c r="M10" s="38"/>
      <c r="N10" s="4"/>
      <c r="O10" s="216"/>
      <c r="P10"/>
      <c r="Q10"/>
      <c r="R10"/>
      <c r="S10"/>
      <c r="T10"/>
    </row>
    <row r="11" spans="1:20" ht="12.75" customHeight="1" x14ac:dyDescent="0.25">
      <c r="A11" s="2"/>
      <c r="D11" s="37"/>
      <c r="N11" s="4"/>
      <c r="O11" s="217"/>
      <c r="P11"/>
      <c r="Q11"/>
      <c r="R11"/>
      <c r="S11"/>
      <c r="T11"/>
    </row>
    <row r="12" spans="1:20" x14ac:dyDescent="0.25">
      <c r="A12" s="2"/>
      <c r="B12" s="11" t="s">
        <v>98</v>
      </c>
      <c r="D12" s="1116"/>
      <c r="E12" s="1117"/>
      <c r="F12" s="1117"/>
      <c r="G12" s="1117"/>
      <c r="H12" s="1117"/>
      <c r="I12" s="1117"/>
      <c r="J12" s="1117"/>
      <c r="K12" s="1117"/>
      <c r="L12" s="1117"/>
      <c r="M12" s="1117"/>
      <c r="N12" s="12"/>
      <c r="O12" s="218"/>
      <c r="P12"/>
      <c r="Q12"/>
      <c r="R12"/>
      <c r="S12"/>
      <c r="T12"/>
    </row>
    <row r="13" spans="1:20" x14ac:dyDescent="0.25">
      <c r="A13" s="2"/>
      <c r="D13" s="13" t="s">
        <v>4</v>
      </c>
      <c r="E13" s="13"/>
      <c r="J13" s="13"/>
      <c r="K13" s="13"/>
      <c r="L13" s="13"/>
      <c r="M13" s="13"/>
      <c r="N13" s="14"/>
      <c r="P13"/>
      <c r="Q13"/>
      <c r="R13"/>
      <c r="S13"/>
      <c r="T13"/>
    </row>
    <row r="14" spans="1:20" x14ac:dyDescent="0.25">
      <c r="A14" s="2"/>
      <c r="D14" s="1116"/>
      <c r="E14" s="1117"/>
      <c r="F14" s="1117"/>
      <c r="G14" s="1117"/>
      <c r="H14" s="1117"/>
      <c r="I14" s="1117"/>
      <c r="J14" s="1117"/>
      <c r="K14" s="1117"/>
      <c r="L14" s="1117"/>
      <c r="M14" s="1117"/>
      <c r="N14" s="4"/>
      <c r="P14"/>
      <c r="Q14"/>
      <c r="R14"/>
      <c r="S14"/>
      <c r="T14"/>
    </row>
    <row r="15" spans="1:20" x14ac:dyDescent="0.25">
      <c r="A15" s="2"/>
      <c r="D15" s="13" t="s">
        <v>5</v>
      </c>
      <c r="E15" s="13"/>
      <c r="N15" s="4"/>
      <c r="O15" s="219"/>
      <c r="P15"/>
      <c r="Q15"/>
      <c r="R15"/>
      <c r="S15"/>
      <c r="T15"/>
    </row>
    <row r="16" spans="1:20" x14ac:dyDescent="0.25">
      <c r="A16" s="2"/>
      <c r="D16" s="1136"/>
      <c r="E16" s="1124"/>
      <c r="F16" s="1124"/>
      <c r="G16" s="1124"/>
      <c r="H16" s="1124"/>
      <c r="I16"/>
      <c r="J16" s="1137"/>
      <c r="K16" s="1138"/>
      <c r="L16" s="1138"/>
      <c r="M16" s="1138"/>
      <c r="N16" s="4"/>
      <c r="O16" s="220"/>
      <c r="P16"/>
      <c r="Q16"/>
      <c r="R16"/>
      <c r="S16"/>
      <c r="T16"/>
    </row>
    <row r="17" spans="1:20" x14ac:dyDescent="0.25">
      <c r="A17" s="2"/>
      <c r="D17" s="13" t="s">
        <v>331</v>
      </c>
      <c r="E17" s="13"/>
      <c r="J17" s="508" t="s">
        <v>332</v>
      </c>
      <c r="N17" s="4"/>
      <c r="P17"/>
      <c r="Q17"/>
      <c r="R17"/>
      <c r="S17"/>
      <c r="T17"/>
    </row>
    <row r="18" spans="1:20" x14ac:dyDescent="0.25">
      <c r="A18" s="2"/>
      <c r="D18" s="1136"/>
      <c r="E18" s="1124"/>
      <c r="F18" s="1124"/>
      <c r="G18" s="1124"/>
      <c r="H18" s="1117"/>
      <c r="J18" s="1133"/>
      <c r="K18" s="1126"/>
      <c r="L18" s="1126"/>
      <c r="M18" s="1126"/>
      <c r="N18" s="4"/>
      <c r="O18" s="221"/>
      <c r="P18"/>
      <c r="Q18"/>
      <c r="R18"/>
      <c r="S18"/>
      <c r="T18"/>
    </row>
    <row r="19" spans="1:20" x14ac:dyDescent="0.25">
      <c r="A19" s="2"/>
      <c r="D19" s="13" t="s">
        <v>6</v>
      </c>
      <c r="E19" s="13"/>
      <c r="J19" s="13" t="s">
        <v>7</v>
      </c>
      <c r="K19" s="13"/>
      <c r="L19" s="13"/>
      <c r="N19" s="4"/>
      <c r="P19"/>
      <c r="Q19"/>
      <c r="R19"/>
      <c r="S19"/>
      <c r="T19"/>
    </row>
    <row r="20" spans="1:20" x14ac:dyDescent="0.25">
      <c r="A20" s="2"/>
      <c r="D20" s="1123"/>
      <c r="E20" s="1124"/>
      <c r="F20" s="1124"/>
      <c r="G20" s="1124"/>
      <c r="H20" s="1117"/>
      <c r="J20" s="1125"/>
      <c r="K20" s="1126"/>
      <c r="L20" s="1126"/>
      <c r="M20" s="1126"/>
      <c r="N20" s="4"/>
      <c r="P20"/>
      <c r="Q20"/>
      <c r="R20" s="87"/>
      <c r="S20"/>
      <c r="T20"/>
    </row>
    <row r="21" spans="1:20" x14ac:dyDescent="0.25">
      <c r="A21" s="2"/>
      <c r="D21" s="13" t="s">
        <v>8</v>
      </c>
      <c r="E21" s="13"/>
      <c r="J21" s="15" t="s">
        <v>100</v>
      </c>
      <c r="N21" s="4"/>
      <c r="P21"/>
      <c r="Q21"/>
      <c r="R21"/>
      <c r="S21"/>
      <c r="T21"/>
    </row>
    <row r="22" spans="1:20" ht="14.25" customHeight="1" x14ac:dyDescent="0.25">
      <c r="A22" s="2"/>
      <c r="D22" s="1136"/>
      <c r="E22" s="1124"/>
      <c r="F22" s="1124"/>
      <c r="G22" s="1124"/>
      <c r="H22" s="1117"/>
      <c r="J22" s="1133"/>
      <c r="K22" s="1126"/>
      <c r="L22" s="1126"/>
      <c r="M22" s="1126"/>
      <c r="N22" s="4"/>
      <c r="P22"/>
      <c r="Q22"/>
      <c r="R22"/>
      <c r="S22"/>
      <c r="T22"/>
    </row>
    <row r="23" spans="1:20" x14ac:dyDescent="0.25">
      <c r="A23" s="2"/>
      <c r="D23" s="13" t="s">
        <v>99</v>
      </c>
      <c r="E23" s="13"/>
      <c r="J23" s="13" t="s">
        <v>9</v>
      </c>
      <c r="K23" s="13"/>
      <c r="L23" s="13"/>
      <c r="N23" s="4"/>
      <c r="P23"/>
      <c r="Q23"/>
      <c r="R23"/>
      <c r="S23"/>
      <c r="T23"/>
    </row>
    <row r="24" spans="1:20" ht="12.75" customHeight="1" x14ac:dyDescent="0.25">
      <c r="A24" s="2"/>
      <c r="D24" s="13"/>
      <c r="E24" s="13"/>
      <c r="J24" s="15"/>
      <c r="N24" s="4"/>
      <c r="P24"/>
      <c r="Q24"/>
      <c r="R24"/>
      <c r="S24"/>
      <c r="T24"/>
    </row>
    <row r="25" spans="1:20" ht="12.75" customHeight="1" x14ac:dyDescent="0.25">
      <c r="A25" s="2"/>
      <c r="D25" s="13"/>
      <c r="E25" s="13"/>
      <c r="N25" s="4"/>
      <c r="P25"/>
      <c r="Q25"/>
      <c r="R25"/>
      <c r="S25"/>
      <c r="T25"/>
    </row>
    <row r="26" spans="1:20" x14ac:dyDescent="0.25">
      <c r="A26" s="2"/>
      <c r="B26" s="11" t="s">
        <v>10</v>
      </c>
      <c r="D26" s="1116"/>
      <c r="E26" s="1116"/>
      <c r="F26" s="1116"/>
      <c r="G26" s="1116"/>
      <c r="H26" s="1116"/>
      <c r="I26" s="1116"/>
      <c r="J26" s="1116"/>
      <c r="K26" s="1116"/>
      <c r="L26" s="1116"/>
      <c r="M26" s="1116"/>
      <c r="N26" s="4"/>
      <c r="P26"/>
      <c r="Q26"/>
      <c r="R26"/>
      <c r="S26"/>
      <c r="T26"/>
    </row>
    <row r="27" spans="1:20" x14ac:dyDescent="0.25">
      <c r="A27" s="2"/>
      <c r="D27" s="13" t="s">
        <v>11</v>
      </c>
      <c r="E27" s="13"/>
      <c r="N27" s="4"/>
      <c r="P27"/>
      <c r="Q27"/>
      <c r="R27"/>
      <c r="S27"/>
      <c r="T27"/>
    </row>
    <row r="28" spans="1:20" x14ac:dyDescent="0.25">
      <c r="A28" s="2"/>
      <c r="D28" s="1116"/>
      <c r="E28" s="1117"/>
      <c r="F28" s="1117"/>
      <c r="G28" s="1117"/>
      <c r="H28" s="1117"/>
      <c r="I28" s="1117"/>
      <c r="J28" s="1117"/>
      <c r="K28" s="1117"/>
      <c r="L28" s="1117"/>
      <c r="M28" s="1117"/>
      <c r="N28" s="4"/>
      <c r="P28"/>
      <c r="Q28"/>
      <c r="R28"/>
      <c r="S28"/>
      <c r="T28"/>
    </row>
    <row r="29" spans="1:20" ht="14.25" customHeight="1" x14ac:dyDescent="0.25">
      <c r="A29" s="2"/>
      <c r="D29" s="13" t="s">
        <v>5</v>
      </c>
      <c r="E29" s="13"/>
      <c r="N29" s="4"/>
      <c r="P29"/>
      <c r="Q29"/>
      <c r="R29"/>
      <c r="S29"/>
      <c r="T29"/>
    </row>
    <row r="30" spans="1:20" x14ac:dyDescent="0.25">
      <c r="A30" s="2"/>
      <c r="D30" s="1133"/>
      <c r="E30" s="1126"/>
      <c r="F30" s="1126"/>
      <c r="G30" s="1126"/>
      <c r="H30" s="1126"/>
      <c r="I30" s="529"/>
      <c r="J30" s="1134"/>
      <c r="K30" s="1135"/>
      <c r="L30" s="1135"/>
      <c r="M30" s="1135"/>
      <c r="N30" s="4"/>
      <c r="P30"/>
      <c r="Q30"/>
      <c r="R30"/>
      <c r="S30"/>
      <c r="T30"/>
    </row>
    <row r="31" spans="1:20" x14ac:dyDescent="0.25">
      <c r="A31" s="2"/>
      <c r="D31" s="13" t="s">
        <v>331</v>
      </c>
      <c r="E31" s="13"/>
      <c r="J31" s="508" t="s">
        <v>332</v>
      </c>
      <c r="N31" s="4"/>
      <c r="P31"/>
      <c r="Q31"/>
      <c r="R31"/>
      <c r="S31"/>
      <c r="T31"/>
    </row>
    <row r="32" spans="1:20" x14ac:dyDescent="0.25">
      <c r="A32" s="2"/>
      <c r="D32" s="1136"/>
      <c r="E32" s="1124"/>
      <c r="F32" s="1124"/>
      <c r="G32" s="1124"/>
      <c r="H32" s="1117"/>
      <c r="J32" s="1133"/>
      <c r="K32" s="1126"/>
      <c r="L32" s="1126"/>
      <c r="M32" s="1126"/>
      <c r="N32" s="4"/>
      <c r="P32"/>
      <c r="Q32"/>
      <c r="R32"/>
      <c r="S32"/>
      <c r="T32"/>
    </row>
    <row r="33" spans="1:20" x14ac:dyDescent="0.25">
      <c r="A33" s="2"/>
      <c r="D33" s="13" t="s">
        <v>6</v>
      </c>
      <c r="E33" s="13"/>
      <c r="J33" s="13" t="s">
        <v>7</v>
      </c>
      <c r="K33" s="13"/>
      <c r="L33" s="13"/>
      <c r="M33" s="13"/>
      <c r="N33" s="14"/>
      <c r="P33"/>
      <c r="Q33"/>
      <c r="R33"/>
      <c r="S33"/>
      <c r="T33"/>
    </row>
    <row r="34" spans="1:20" x14ac:dyDescent="0.25">
      <c r="A34" s="2"/>
      <c r="D34" s="1123"/>
      <c r="E34" s="1124"/>
      <c r="F34" s="1124"/>
      <c r="G34" s="1124"/>
      <c r="H34" s="1117"/>
      <c r="J34" s="1125"/>
      <c r="K34" s="1126"/>
      <c r="L34" s="1126"/>
      <c r="M34" s="1126"/>
      <c r="N34" s="4"/>
    </row>
    <row r="35" spans="1:20" x14ac:dyDescent="0.25">
      <c r="A35" s="2"/>
      <c r="D35" s="13" t="s">
        <v>8</v>
      </c>
      <c r="E35" s="13"/>
      <c r="J35" s="15" t="s">
        <v>100</v>
      </c>
      <c r="N35" s="4"/>
    </row>
    <row r="36" spans="1:20" x14ac:dyDescent="0.25">
      <c r="A36" s="2"/>
      <c r="D36" s="1116"/>
      <c r="E36" s="1117"/>
      <c r="F36" s="1117"/>
      <c r="G36" s="1117"/>
      <c r="H36" s="1117"/>
      <c r="I36" s="1117"/>
      <c r="J36" s="1117"/>
      <c r="K36" s="1117"/>
      <c r="L36" s="1117"/>
      <c r="M36" s="1117"/>
      <c r="N36" s="4"/>
      <c r="O36" s="219"/>
    </row>
    <row r="37" spans="1:20" x14ac:dyDescent="0.25">
      <c r="A37" s="2"/>
      <c r="D37" s="13" t="s">
        <v>141</v>
      </c>
      <c r="E37" s="13"/>
      <c r="J37" s="15"/>
      <c r="N37" s="4"/>
    </row>
    <row r="38" spans="1:20" ht="5.25" customHeight="1" x14ac:dyDescent="0.25">
      <c r="A38" s="2"/>
      <c r="D38" s="13"/>
      <c r="E38" s="13"/>
      <c r="N38" s="4"/>
    </row>
    <row r="39" spans="1:20" x14ac:dyDescent="0.25">
      <c r="A39" s="2"/>
      <c r="B39" s="39" t="s">
        <v>12</v>
      </c>
      <c r="C39" s="38"/>
      <c r="D39" s="60"/>
      <c r="E39" s="60"/>
      <c r="F39" s="38"/>
      <c r="G39" s="38"/>
      <c r="H39" s="38"/>
      <c r="I39" s="38"/>
      <c r="J39" s="38"/>
      <c r="K39" s="38"/>
      <c r="L39" s="38"/>
      <c r="M39" s="38"/>
      <c r="N39" s="4"/>
    </row>
    <row r="40" spans="1:20" ht="6" customHeight="1" x14ac:dyDescent="0.25">
      <c r="A40" s="2"/>
      <c r="D40" s="13"/>
      <c r="E40" s="13"/>
      <c r="N40" s="4"/>
    </row>
    <row r="41" spans="1:20" x14ac:dyDescent="0.25">
      <c r="A41" s="2"/>
      <c r="C41" s="181"/>
      <c r="E41" s="11"/>
      <c r="G41" s="17" t="s">
        <v>13</v>
      </c>
      <c r="H41" s="1118"/>
      <c r="I41" s="1117"/>
      <c r="J41" s="1117"/>
      <c r="K41" s="1117"/>
      <c r="L41" s="1117"/>
      <c r="M41" s="1117"/>
      <c r="N41" s="4"/>
    </row>
    <row r="42" spans="1:20" ht="6" customHeight="1" x14ac:dyDescent="0.25">
      <c r="A42" s="2"/>
      <c r="D42" s="13"/>
      <c r="E42" s="13"/>
      <c r="N42" s="4"/>
    </row>
    <row r="43" spans="1:20" s="3" customFormat="1" ht="12.75" customHeight="1" x14ac:dyDescent="0.25">
      <c r="A43" s="2"/>
      <c r="B43" s="11" t="s">
        <v>14</v>
      </c>
      <c r="D43" s="13"/>
      <c r="E43" s="13"/>
      <c r="I43" s="142"/>
      <c r="N43" s="4"/>
      <c r="O43" s="222"/>
    </row>
    <row r="44" spans="1:20" s="3" customFormat="1" ht="5.25" customHeight="1" x14ac:dyDescent="0.25">
      <c r="A44" s="2"/>
      <c r="B44" s="11"/>
      <c r="D44" s="13"/>
      <c r="E44" s="13"/>
      <c r="I44" s="127"/>
      <c r="N44" s="4"/>
      <c r="O44" s="222"/>
    </row>
    <row r="45" spans="1:20" s="3" customFormat="1" ht="12.75" customHeight="1" x14ac:dyDescent="0.25">
      <c r="A45" s="2"/>
      <c r="B45" s="5" t="s">
        <v>293</v>
      </c>
      <c r="D45" s="13"/>
      <c r="E45" s="13"/>
      <c r="H45" s="347"/>
      <c r="I45" s="127"/>
      <c r="K45" s="350">
        <f>DATEDIF(H45,H51,"m")</f>
        <v>0</v>
      </c>
      <c r="N45" s="4"/>
      <c r="O45" s="222"/>
    </row>
    <row r="46" spans="1:20" ht="12.75" customHeight="1" thickBot="1" x14ac:dyDescent="0.3">
      <c r="A46" s="2"/>
      <c r="D46" s="13"/>
      <c r="E46" s="13"/>
      <c r="K46" s="340" t="str">
        <f>IF(AND(H45="",H51&lt;&gt;""),"Bitte Erfassung des Zulassungsdatums!","")</f>
        <v/>
      </c>
      <c r="N46" s="4"/>
      <c r="O46" s="222"/>
    </row>
    <row r="47" spans="1:20" ht="14.4" thickBot="1" x14ac:dyDescent="0.3">
      <c r="A47" s="2"/>
      <c r="B47" s="16" t="s">
        <v>15</v>
      </c>
      <c r="L47" s="182"/>
      <c r="N47" s="4"/>
    </row>
    <row r="48" spans="1:20" ht="12.75" customHeight="1" x14ac:dyDescent="0.25">
      <c r="A48" s="2"/>
      <c r="B48" s="16"/>
      <c r="H48" s="472"/>
      <c r="L48" s="436"/>
      <c r="N48" s="4"/>
      <c r="O48" s="89"/>
      <c r="P48" s="216"/>
      <c r="Q48" s="223"/>
    </row>
    <row r="49" spans="1:21" ht="12.75" customHeight="1" x14ac:dyDescent="0.25">
      <c r="A49" s="143"/>
      <c r="B49" s="144" t="s">
        <v>16</v>
      </c>
      <c r="C49" s="18"/>
      <c r="D49" s="18"/>
      <c r="E49" s="145"/>
      <c r="F49" s="146"/>
      <c r="G49" s="146"/>
      <c r="H49" s="184"/>
      <c r="L49" s="17"/>
      <c r="M49"/>
      <c r="N49" s="19"/>
      <c r="O49" s="89"/>
      <c r="P49" s="216"/>
      <c r="Q49" s="224"/>
      <c r="R49" s="225"/>
    </row>
    <row r="50" spans="1:21" ht="5.25" customHeight="1" thickBot="1" x14ac:dyDescent="0.3">
      <c r="A50" s="2"/>
      <c r="B50" s="16"/>
      <c r="N50" s="4"/>
      <c r="O50" s="89" t="s">
        <v>296</v>
      </c>
    </row>
    <row r="51" spans="1:21" s="148" customFormat="1" thickBot="1" x14ac:dyDescent="0.3">
      <c r="A51" s="147"/>
      <c r="B51" s="144" t="s">
        <v>283</v>
      </c>
      <c r="E51" s="149"/>
      <c r="F51" s="1119" t="s">
        <v>17</v>
      </c>
      <c r="G51" s="1119"/>
      <c r="H51" s="294"/>
      <c r="I51" s="150"/>
      <c r="J51" s="151" t="s">
        <v>18</v>
      </c>
      <c r="K51" s="294"/>
      <c r="M51" s="533">
        <f>IFERROR(DATEDIF(H51,K51,"m")+1,0)</f>
        <v>1</v>
      </c>
      <c r="N51" s="152"/>
      <c r="P51" s="11"/>
      <c r="Q51" s="11"/>
      <c r="R51" s="11"/>
      <c r="S51" s="11"/>
      <c r="T51" s="11"/>
      <c r="U51" s="166"/>
    </row>
    <row r="52" spans="1:21" s="148" customFormat="1" ht="5.25" customHeight="1" x14ac:dyDescent="0.25">
      <c r="A52" s="147"/>
      <c r="B52" s="144"/>
      <c r="E52" s="149"/>
      <c r="F52" s="167"/>
      <c r="G52" s="167"/>
      <c r="H52" s="185"/>
      <c r="I52" s="168"/>
      <c r="J52" s="169"/>
      <c r="K52" s="186"/>
      <c r="M52" s="533">
        <f>IF(H51&lt;DATEVALUE("01.01.2027"),1,2)</f>
        <v>1</v>
      </c>
      <c r="N52" s="152"/>
      <c r="P52" s="11"/>
      <c r="Q52" s="11"/>
      <c r="R52" s="11"/>
      <c r="S52" s="11"/>
      <c r="T52" s="11"/>
      <c r="U52" s="166"/>
    </row>
    <row r="53" spans="1:21" s="148" customFormat="1" ht="13.2" x14ac:dyDescent="0.25">
      <c r="A53" s="147"/>
      <c r="B53" s="144" t="s">
        <v>236</v>
      </c>
      <c r="E53" s="149"/>
      <c r="F53" s="1119" t="s">
        <v>17</v>
      </c>
      <c r="G53" s="1119"/>
      <c r="H53" s="531"/>
      <c r="I53" s="150"/>
      <c r="J53" s="151" t="s">
        <v>18</v>
      </c>
      <c r="K53" s="184"/>
      <c r="N53" s="152"/>
      <c r="P53" s="11"/>
      <c r="Q53" s="11"/>
      <c r="R53" s="11"/>
      <c r="S53" s="11"/>
      <c r="T53" s="11"/>
      <c r="U53" s="166"/>
    </row>
    <row r="54" spans="1:21" s="148" customFormat="1" ht="13.2" x14ac:dyDescent="0.25">
      <c r="A54" s="147"/>
      <c r="B54" s="144"/>
      <c r="E54" s="149"/>
      <c r="F54" s="167"/>
      <c r="G54" s="167"/>
      <c r="H54" s="530"/>
      <c r="I54" s="150"/>
      <c r="J54" s="532" t="str">
        <f>IF(K53&gt;H51,"Vereinbarungsbeginn liegt vor dem Ende der Vorvereinbarung.","")</f>
        <v/>
      </c>
      <c r="K54" s="530"/>
      <c r="N54" s="152"/>
      <c r="P54" s="11"/>
      <c r="Q54" s="11"/>
      <c r="R54" s="11"/>
      <c r="S54" s="11"/>
      <c r="T54" s="11"/>
      <c r="U54" s="166"/>
    </row>
    <row r="55" spans="1:21" s="148" customFormat="1" ht="13.2" x14ac:dyDescent="0.25">
      <c r="A55" s="147"/>
      <c r="B55" s="119" t="s">
        <v>317</v>
      </c>
      <c r="C55" s="226"/>
      <c r="D55" s="226"/>
      <c r="E55" s="435"/>
      <c r="F55" s="436"/>
      <c r="G55" s="436"/>
      <c r="H55" s="440"/>
      <c r="I55" s="441"/>
      <c r="J55" s="442"/>
      <c r="K55" s="443"/>
      <c r="L55" s="443"/>
      <c r="M55" s="443"/>
      <c r="N55" s="152"/>
      <c r="P55" s="11"/>
      <c r="Q55" s="11"/>
      <c r="R55" s="11"/>
      <c r="S55" s="11"/>
      <c r="T55" s="11"/>
      <c r="U55" s="166"/>
    </row>
    <row r="56" spans="1:21" s="148" customFormat="1" ht="13.2" x14ac:dyDescent="0.25">
      <c r="A56" s="147"/>
      <c r="B56" s="119" t="s">
        <v>320</v>
      </c>
      <c r="C56" s="226"/>
      <c r="D56" s="226"/>
      <c r="E56" s="435"/>
      <c r="F56" s="436"/>
      <c r="G56" s="436"/>
      <c r="H56" s="1130"/>
      <c r="I56" s="1131"/>
      <c r="J56" s="1132"/>
      <c r="K56" s="443"/>
      <c r="L56" s="443"/>
      <c r="M56" s="443"/>
      <c r="N56" s="152"/>
      <c r="P56" s="11"/>
      <c r="Q56" s="11"/>
      <c r="R56" s="11"/>
      <c r="S56" s="11"/>
      <c r="T56" s="11"/>
      <c r="U56" s="166"/>
    </row>
    <row r="57" spans="1:21" s="148" customFormat="1" ht="13.2" x14ac:dyDescent="0.25">
      <c r="A57" s="147"/>
      <c r="B57" s="119" t="s">
        <v>318</v>
      </c>
      <c r="C57" s="226"/>
      <c r="D57" s="226"/>
      <c r="E57" s="435"/>
      <c r="F57" s="436"/>
      <c r="G57" s="436"/>
      <c r="H57" s="1127"/>
      <c r="I57" s="1128"/>
      <c r="J57" s="1128"/>
      <c r="K57" s="1128"/>
      <c r="L57" s="1128"/>
      <c r="M57" s="1129"/>
      <c r="N57" s="152"/>
      <c r="P57" s="11"/>
      <c r="Q57" s="11"/>
      <c r="R57" s="11"/>
      <c r="S57" s="11"/>
      <c r="T57" s="11"/>
      <c r="U57" s="166"/>
    </row>
    <row r="58" spans="1:21" s="148" customFormat="1" ht="13.2" x14ac:dyDescent="0.25">
      <c r="A58" s="147"/>
      <c r="B58" s="119" t="s">
        <v>319</v>
      </c>
      <c r="C58" s="226"/>
      <c r="D58" s="226"/>
      <c r="E58" s="435"/>
      <c r="F58" s="436"/>
      <c r="G58" s="436"/>
      <c r="H58" s="444"/>
      <c r="I58" s="445"/>
      <c r="J58" s="520" t="str">
        <f>IF(AND(H57="",H56&lt;&gt;"rüE"),"Bitte Angaben zum Tarif / AVR vornehmen.","")</f>
        <v>Bitte Angaben zum Tarif / AVR vornehmen.</v>
      </c>
      <c r="L58" s="445"/>
      <c r="N58" s="506">
        <v>0</v>
      </c>
      <c r="P58" s="11"/>
      <c r="Q58" s="11"/>
      <c r="R58" s="11"/>
      <c r="S58" s="11"/>
      <c r="T58" s="11"/>
      <c r="U58" s="166"/>
    </row>
    <row r="59" spans="1:21" ht="12.75" customHeight="1" x14ac:dyDescent="0.25">
      <c r="A59" s="2"/>
      <c r="B59" s="16"/>
      <c r="N59" s="4"/>
    </row>
    <row r="60" spans="1:21" ht="12.75" customHeight="1" x14ac:dyDescent="0.25">
      <c r="A60" s="20"/>
      <c r="B60" s="153" t="s">
        <v>109</v>
      </c>
      <c r="C60" s="154"/>
      <c r="D60" s="154"/>
      <c r="E60" s="154"/>
      <c r="F60" s="154"/>
      <c r="G60" s="154"/>
      <c r="H60" s="154"/>
      <c r="I60" s="154"/>
      <c r="J60" s="154"/>
      <c r="K60" s="154"/>
      <c r="L60" s="154"/>
      <c r="M60" s="154"/>
      <c r="N60" s="19"/>
    </row>
    <row r="61" spans="1:21" ht="6.75" customHeight="1" x14ac:dyDescent="0.25">
      <c r="A61" s="20"/>
      <c r="B61" s="144"/>
      <c r="C61"/>
      <c r="D61"/>
      <c r="E61"/>
      <c r="F61"/>
      <c r="G61"/>
      <c r="H61"/>
      <c r="I61"/>
      <c r="J61"/>
      <c r="K61"/>
      <c r="L61"/>
      <c r="M61"/>
      <c r="N61" s="19"/>
    </row>
    <row r="62" spans="1:21" ht="15" customHeight="1" x14ac:dyDescent="0.25">
      <c r="A62" s="20"/>
      <c r="B62"/>
      <c r="C62" s="98" t="s">
        <v>729</v>
      </c>
      <c r="D62" s="21"/>
      <c r="E62" s="155"/>
      <c r="F62" s="155"/>
      <c r="G62" s="65"/>
      <c r="H62" s="22"/>
      <c r="I62" s="156"/>
      <c r="J62" s="157"/>
      <c r="K62" s="94"/>
      <c r="L62" s="21"/>
      <c r="M62" s="94"/>
      <c r="N62" s="4"/>
      <c r="O62" s="226"/>
    </row>
    <row r="63" spans="1:21" s="148" customFormat="1" ht="14.25" customHeight="1" x14ac:dyDescent="0.25">
      <c r="A63" s="147"/>
      <c r="C63" s="158" t="s">
        <v>19</v>
      </c>
      <c r="D63" s="159"/>
      <c r="E63" s="159"/>
      <c r="F63" s="159"/>
      <c r="G63" s="159"/>
      <c r="H63" s="64" t="s">
        <v>110</v>
      </c>
      <c r="I63" s="159"/>
      <c r="J63" s="159"/>
      <c r="K63" s="291"/>
      <c r="M63" s="152"/>
      <c r="N63" s="152"/>
      <c r="P63" s="11"/>
      <c r="Q63" s="11"/>
      <c r="R63" s="11"/>
      <c r="S63" s="11"/>
      <c r="T63" s="11"/>
    </row>
    <row r="64" spans="1:21" s="148" customFormat="1" ht="14.25" customHeight="1" x14ac:dyDescent="0.25">
      <c r="A64" s="147"/>
      <c r="C64" s="158" t="s">
        <v>20</v>
      </c>
      <c r="D64" s="159"/>
      <c r="E64" s="159"/>
      <c r="F64" s="159"/>
      <c r="G64" s="159"/>
      <c r="H64" s="64" t="s">
        <v>110</v>
      </c>
      <c r="I64" s="159"/>
      <c r="J64" s="159"/>
      <c r="K64" s="292"/>
      <c r="L64" s="160"/>
      <c r="M64" s="161"/>
      <c r="N64" s="152"/>
      <c r="P64" s="11"/>
      <c r="Q64" s="11"/>
      <c r="R64" s="11"/>
      <c r="S64" s="11"/>
      <c r="T64" s="11"/>
    </row>
    <row r="65" spans="1:20" s="148" customFormat="1" ht="14.25" customHeight="1" x14ac:dyDescent="0.25">
      <c r="A65" s="147"/>
      <c r="C65" s="158" t="s">
        <v>21</v>
      </c>
      <c r="D65" s="159"/>
      <c r="E65" s="159"/>
      <c r="F65" s="159"/>
      <c r="G65" s="159"/>
      <c r="H65" s="64" t="s">
        <v>110</v>
      </c>
      <c r="I65" s="159"/>
      <c r="J65" s="159"/>
      <c r="K65" s="292"/>
      <c r="L65" s="160"/>
      <c r="M65" s="161"/>
      <c r="N65" s="152"/>
      <c r="P65" s="11"/>
      <c r="Q65" s="11"/>
      <c r="R65" s="11"/>
      <c r="S65" s="11"/>
      <c r="T65" s="11"/>
    </row>
    <row r="66" spans="1:20" s="148" customFormat="1" ht="14.25" customHeight="1" x14ac:dyDescent="0.25">
      <c r="A66" s="147"/>
      <c r="C66" s="158" t="s">
        <v>22</v>
      </c>
      <c r="D66" s="159"/>
      <c r="E66" s="159"/>
      <c r="F66" s="159"/>
      <c r="G66" s="159"/>
      <c r="H66" s="64" t="s">
        <v>110</v>
      </c>
      <c r="I66" s="159"/>
      <c r="J66" s="159"/>
      <c r="K66" s="291"/>
      <c r="L66" s="160"/>
      <c r="M66" s="161"/>
      <c r="N66" s="152"/>
      <c r="P66" s="11"/>
      <c r="Q66" s="11"/>
      <c r="R66" s="11"/>
      <c r="S66" s="11"/>
      <c r="T66" s="11"/>
    </row>
    <row r="67" spans="1:20" s="148" customFormat="1" ht="14.25" customHeight="1" x14ac:dyDescent="0.25">
      <c r="A67" s="147"/>
      <c r="C67" s="158" t="s">
        <v>23</v>
      </c>
      <c r="D67" s="159"/>
      <c r="E67" s="159"/>
      <c r="F67" s="159"/>
      <c r="G67" s="159"/>
      <c r="H67" s="64" t="s">
        <v>110</v>
      </c>
      <c r="I67" s="159"/>
      <c r="J67" s="159"/>
      <c r="K67" s="291"/>
      <c r="L67" s="160"/>
      <c r="M67" s="161"/>
      <c r="N67" s="152"/>
      <c r="P67" s="11"/>
      <c r="Q67" s="11"/>
      <c r="R67" s="11"/>
      <c r="S67" s="11"/>
      <c r="T67" s="11"/>
    </row>
    <row r="68" spans="1:20" s="148" customFormat="1" ht="14.25" customHeight="1" x14ac:dyDescent="0.25">
      <c r="A68" s="147"/>
      <c r="C68" s="158" t="s">
        <v>24</v>
      </c>
      <c r="D68" s="159"/>
      <c r="E68" s="159"/>
      <c r="F68" s="159"/>
      <c r="G68" s="159"/>
      <c r="H68" s="64" t="s">
        <v>110</v>
      </c>
      <c r="I68" s="159"/>
      <c r="J68" s="159"/>
      <c r="K68" s="291"/>
      <c r="L68" s="160"/>
      <c r="M68" s="161"/>
      <c r="N68" s="152"/>
      <c r="P68" s="11"/>
      <c r="Q68" s="11"/>
      <c r="R68" s="11"/>
      <c r="S68" s="11"/>
      <c r="T68" s="11"/>
    </row>
    <row r="69" spans="1:20" s="148" customFormat="1" ht="14.25" customHeight="1" x14ac:dyDescent="0.25">
      <c r="A69" s="147"/>
      <c r="C69" s="23" t="s">
        <v>25</v>
      </c>
      <c r="D69" s="24"/>
      <c r="E69" s="24"/>
      <c r="F69" s="24"/>
      <c r="G69" s="162"/>
      <c r="H69" s="28" t="s">
        <v>110</v>
      </c>
      <c r="I69" s="163"/>
      <c r="J69" s="163"/>
      <c r="K69" s="291"/>
      <c r="L69" s="160"/>
      <c r="M69" s="161"/>
      <c r="N69" s="152"/>
      <c r="P69" s="11"/>
      <c r="Q69" s="11"/>
      <c r="R69" s="11"/>
      <c r="S69" s="11"/>
      <c r="T69" s="11"/>
    </row>
    <row r="70" spans="1:20" s="148" customFormat="1" ht="12" customHeight="1" x14ac:dyDescent="0.25">
      <c r="A70" s="147"/>
      <c r="C70" s="25"/>
      <c r="D70" s="11"/>
      <c r="E70" s="11"/>
      <c r="F70" s="11"/>
      <c r="H70" s="11"/>
      <c r="I70" s="11"/>
      <c r="J70" s="11"/>
      <c r="K70" s="507" t="str">
        <f>IF(OR(SUM(K63:K69)&lt;100,SUM(K63:K69)&gt;100),"Anteil der Kostenträger entspricht nicht 100%.","")</f>
        <v>Anteil der Kostenträger entspricht nicht 100%.</v>
      </c>
      <c r="M70" s="152"/>
      <c r="N70" s="152"/>
      <c r="P70" s="11"/>
      <c r="Q70" s="11"/>
      <c r="R70" s="11"/>
      <c r="S70" s="11"/>
      <c r="T70" s="11"/>
    </row>
    <row r="71" spans="1:20" s="148" customFormat="1" ht="12.75" customHeight="1" x14ac:dyDescent="0.25">
      <c r="A71" s="147"/>
      <c r="C71" s="23"/>
      <c r="D71" s="24"/>
      <c r="E71" s="26"/>
      <c r="F71" s="26"/>
      <c r="G71" s="162"/>
      <c r="H71" s="27" t="s">
        <v>108</v>
      </c>
      <c r="I71" s="162"/>
      <c r="J71" s="28"/>
      <c r="K71" s="293"/>
      <c r="L71" s="164"/>
      <c r="M71" s="165"/>
      <c r="N71" s="152"/>
      <c r="O71" s="220"/>
      <c r="P71" s="11"/>
      <c r="Q71" s="11"/>
      <c r="R71" s="11"/>
      <c r="S71" s="11"/>
      <c r="T71" s="11"/>
    </row>
    <row r="72" spans="1:20" s="34" customFormat="1" ht="14.25" customHeight="1" x14ac:dyDescent="0.25">
      <c r="A72" s="31"/>
      <c r="B72" s="32"/>
      <c r="E72" s="32"/>
      <c r="F72" s="32"/>
      <c r="G72" s="32"/>
      <c r="H72" s="32"/>
      <c r="I72" s="32"/>
      <c r="J72" s="32"/>
      <c r="K72" s="528" t="str">
        <f>IF(AND(H51&gt;0,K71&lt;=5),"Mappe 'B1_Allgemeine Angaben' und Mappe 'B1_Kalkulation' an den KSV senden!","")</f>
        <v/>
      </c>
      <c r="L72" s="32"/>
      <c r="M72" s="59"/>
      <c r="N72" s="33"/>
      <c r="O72" s="227"/>
    </row>
    <row r="73" spans="1:20" s="34" customFormat="1" ht="14.25" customHeight="1" x14ac:dyDescent="0.25">
      <c r="A73" s="31"/>
      <c r="B73" s="61" t="s">
        <v>145</v>
      </c>
      <c r="C73" s="61"/>
      <c r="D73" s="61"/>
      <c r="E73" s="61"/>
      <c r="F73" s="61"/>
      <c r="G73" s="61"/>
      <c r="H73" s="61"/>
      <c r="I73" s="61"/>
      <c r="J73" s="61"/>
      <c r="K73" s="61"/>
      <c r="L73" s="61"/>
      <c r="M73" s="61"/>
      <c r="N73" s="33"/>
      <c r="O73" s="227"/>
    </row>
    <row r="74" spans="1:20" s="148" customFormat="1" ht="9.9" customHeight="1" x14ac:dyDescent="0.25">
      <c r="A74" s="147"/>
      <c r="C74" s="11"/>
      <c r="D74" s="11"/>
      <c r="E74" s="29"/>
      <c r="F74" s="29"/>
      <c r="G74" s="29"/>
      <c r="H74" s="29"/>
      <c r="I74" s="29"/>
      <c r="J74" s="29"/>
      <c r="K74" s="29"/>
      <c r="L74" s="29"/>
      <c r="M74" s="11"/>
      <c r="N74" s="30"/>
      <c r="P74" s="11"/>
      <c r="Q74" s="11"/>
      <c r="R74" s="11"/>
      <c r="S74" s="11"/>
      <c r="T74" s="11"/>
    </row>
    <row r="75" spans="1:20" s="34" customFormat="1" ht="13.95" customHeight="1" x14ac:dyDescent="0.25">
      <c r="A75" s="31"/>
      <c r="B75" s="230" t="s">
        <v>234</v>
      </c>
      <c r="E75" s="32"/>
      <c r="F75" s="32"/>
      <c r="G75" s="32"/>
      <c r="H75" s="32"/>
      <c r="I75" s="32"/>
      <c r="J75" s="32"/>
      <c r="K75" s="32"/>
      <c r="M75" s="183"/>
      <c r="N75" s="33"/>
      <c r="O75" s="228"/>
    </row>
    <row r="76" spans="1:20" s="148" customFormat="1" ht="14.25" customHeight="1" x14ac:dyDescent="0.25">
      <c r="A76" s="35"/>
      <c r="B76" s="36"/>
      <c r="C76" s="36"/>
      <c r="D76" s="36"/>
      <c r="E76" s="36"/>
      <c r="F76" s="36"/>
      <c r="G76" s="36"/>
      <c r="H76" s="36"/>
      <c r="I76" s="36"/>
      <c r="J76" s="36"/>
      <c r="K76" s="36"/>
      <c r="L76" s="36"/>
      <c r="M76" s="36"/>
      <c r="N76" s="210"/>
      <c r="P76" s="11"/>
      <c r="Q76" s="11"/>
      <c r="R76" s="11"/>
      <c r="S76" s="11"/>
      <c r="T76" s="11"/>
    </row>
    <row r="77" spans="1:20" s="34" customFormat="1" ht="14.25" customHeight="1" thickBot="1" x14ac:dyDescent="0.3">
      <c r="A77" s="3"/>
      <c r="B77" s="3"/>
      <c r="C77" s="3"/>
      <c r="D77" s="3"/>
      <c r="E77" s="3"/>
      <c r="F77" s="3"/>
      <c r="G77" s="3"/>
      <c r="H77" s="3"/>
      <c r="I77" s="3"/>
      <c r="J77" s="3"/>
      <c r="K77" s="3"/>
      <c r="L77" s="3"/>
      <c r="M77" s="3"/>
      <c r="N77" s="3"/>
      <c r="O77" s="227"/>
      <c r="P77" s="229"/>
    </row>
    <row r="78" spans="1:20" ht="12.75" customHeight="1" thickBot="1" x14ac:dyDescent="0.3">
      <c r="D78" s="1120" t="s">
        <v>444</v>
      </c>
      <c r="E78" s="1121"/>
      <c r="F78" s="1121"/>
      <c r="G78" s="1121"/>
      <c r="H78" s="1121"/>
      <c r="I78" s="1121"/>
      <c r="J78" s="1122"/>
      <c r="K78" s="1023"/>
      <c r="O78" s="226"/>
    </row>
    <row r="79" spans="1:20" x14ac:dyDescent="0.25">
      <c r="J79" s="1023"/>
    </row>
    <row r="80" spans="1:20" x14ac:dyDescent="0.25">
      <c r="O80" s="226"/>
    </row>
  </sheetData>
  <sheetProtection algorithmName="SHA-512" hashValue="Pa0V7phxJ0hjITZ+1gLfh7HSzdz9Ef6wAfhylDb4rE4I+7KBC/+QXG0AwuupOid28aYSIBPm+5C+6nQ6oDOTRQ==" saltValue="ICnzG1C+vtb+qRmDoTc9Mg==" spinCount="100000" sheet="1" objects="1" scenarios="1" selectLockedCells="1"/>
  <customSheetViews>
    <customSheetView guid="{9119B1A0-FD79-4FE4-B78E-10E0AEB8080B}" showPageBreaks="1" showGridLines="0" fitToPage="1" printArea="1" view="pageLayout" topLeftCell="A58">
      <selection activeCell="C16" sqref="C16"/>
      <pageMargins left="0.70866141732283472" right="0.70866141732283472" top="0.78740157480314965" bottom="0.78740157480314965" header="0.31496062992125984" footer="0.31496062992125984"/>
      <pageSetup paperSize="9" scale="77" orientation="portrait" r:id="rId1"/>
      <headerFooter>
        <oddHeader>&amp;C&amp;9Seite 1</oddHeader>
        <oddFooter xml:space="preserve">&amp;L&amp;8Version: 21.06.2022&amp;C&amp;8Verhandlungsunterlagen SGB XI (vereinfacht B1)&amp;R&amp;8PSK-Beschluss Nr. 3-2022 vom 21.06.2022 </oddFooter>
      </headerFooter>
    </customSheetView>
  </customSheetViews>
  <mergeCells count="32">
    <mergeCell ref="D30:H30"/>
    <mergeCell ref="J30:M30"/>
    <mergeCell ref="D32:H32"/>
    <mergeCell ref="J32:M32"/>
    <mergeCell ref="D12:M12"/>
    <mergeCell ref="D14:M14"/>
    <mergeCell ref="D18:H18"/>
    <mergeCell ref="J18:M18"/>
    <mergeCell ref="D20:H20"/>
    <mergeCell ref="J20:M20"/>
    <mergeCell ref="D22:H22"/>
    <mergeCell ref="J22:M22"/>
    <mergeCell ref="D26:M26"/>
    <mergeCell ref="D28:M28"/>
    <mergeCell ref="D16:H16"/>
    <mergeCell ref="J16:M16"/>
    <mergeCell ref="D36:M36"/>
    <mergeCell ref="H41:M41"/>
    <mergeCell ref="F51:G51"/>
    <mergeCell ref="D78:J78"/>
    <mergeCell ref="D34:H34"/>
    <mergeCell ref="J34:M34"/>
    <mergeCell ref="F53:G53"/>
    <mergeCell ref="H57:M57"/>
    <mergeCell ref="H56:J56"/>
    <mergeCell ref="A1:N1"/>
    <mergeCell ref="A2:N2"/>
    <mergeCell ref="A3:N3"/>
    <mergeCell ref="D6:G6"/>
    <mergeCell ref="L6:M6"/>
    <mergeCell ref="A5:B5"/>
    <mergeCell ref="L4:M4"/>
  </mergeCells>
  <conditionalFormatting sqref="H45 H51">
    <cfRule type="expression" dxfId="28" priority="1">
      <formula>$H$45&gt;=$H$51</formula>
    </cfRule>
  </conditionalFormatting>
  <conditionalFormatting sqref="H56:J56">
    <cfRule type="expression" dxfId="27" priority="4">
      <formula>$H$55="ja"</formula>
    </cfRule>
    <cfRule type="expression" dxfId="26" priority="5">
      <formula>$Q$12="ja"</formula>
    </cfRule>
  </conditionalFormatting>
  <conditionalFormatting sqref="H57:M57 H58">
    <cfRule type="expression" dxfId="25" priority="3">
      <formula>AND($H$55="nein",$H$56="rüE")</formula>
    </cfRule>
  </conditionalFormatting>
  <conditionalFormatting sqref="K7">
    <cfRule type="expression" dxfId="24" priority="133">
      <formula>#REF!=0</formula>
    </cfRule>
  </conditionalFormatting>
  <conditionalFormatting sqref="L41">
    <cfRule type="expression" dxfId="23" priority="134">
      <formula>Wennoder(#REF!&lt;0,#REF!=0,"")</formula>
    </cfRule>
  </conditionalFormatting>
  <dataValidations xWindow="279" yWindow="275" count="10">
    <dataValidation type="date" errorStyle="warning" operator="greaterThan" allowBlank="1" showInputMessage="1" showErrorMessage="1" errorTitle="Laufzeitbeginn im Jahr 2017" error="Laufzeitbeginn ab 01.01.2017 möglich" sqref="H52" xr:uid="{00000000-0002-0000-0300-000000000000}">
      <formula1>42735</formula1>
    </dataValidation>
    <dataValidation allowBlank="1" showInputMessage="1" showErrorMessage="1" promptTitle="Quorum" prompt="Bitte Hinweise zur Berechnung des Anteils beachten!" sqref="K71" xr:uid="{00000000-0002-0000-0300-000001000000}"/>
    <dataValidation type="whole" errorStyle="information" allowBlank="1" showInputMessage="1" showErrorMessage="1" errorTitle="angebundene KZP" promptTitle="angebundene KZP" prompt="siehe allgemeine Hinweise" sqref="L48" xr:uid="{00000000-0002-0000-0300-000002000000}">
      <formula1>1</formula1>
      <formula2>30</formula2>
    </dataValidation>
    <dataValidation type="list" allowBlank="1" showInputMessage="1" showErrorMessage="1" sqref="M75 H55" xr:uid="{00000000-0002-0000-0300-000003000000}">
      <formula1>"ja,nein"</formula1>
    </dataValidation>
    <dataValidation type="date" errorStyle="warning" operator="greaterThan" allowBlank="1" showInputMessage="1" showErrorMessage="1" error="Laufzeitbeginn nach 01.01.2027 möglich" sqref="H51" xr:uid="{00000000-0002-0000-0300-000005000000}">
      <formula1>46387</formula1>
    </dataValidation>
    <dataValidation type="date" errorStyle="warning" operator="greaterThan" allowBlank="1" showInputMessage="1" sqref="H58" xr:uid="{00000000-0002-0000-0300-000006000000}">
      <formula1>43831</formula1>
    </dataValidation>
    <dataValidation errorStyle="warning" operator="greaterThan" allowBlank="1" showInputMessage="1" sqref="N58 H57:M57 I58:J58 L58" xr:uid="{00000000-0002-0000-0300-000007000000}"/>
    <dataValidation type="list" allowBlank="1" showInputMessage="1" showErrorMessage="1" sqref="H56:J56" xr:uid="{00000000-0002-0000-0300-000008000000}">
      <formula1>"rüE, Tarifanlehnung"</formula1>
    </dataValidation>
    <dataValidation type="whole" allowBlank="1" showInputMessage="1" showErrorMessage="1" errorTitle="Angabe bitte prüfen" error="Es dürfen nur Ziffern verwendet werden." prompt="IK bitte ohne Leerzeichen oder sonst. Trennzeichen angeben! " sqref="L6:M6" xr:uid="{765BE258-02CA-446E-A6F4-9878F7273E08}">
      <formula1>0</formula1>
      <formula2>10000000000</formula2>
    </dataValidation>
    <dataValidation allowBlank="1" showInputMessage="1" showErrorMessage="1" prompt="_x000a__x000a__x000a__x000a_" sqref="D6:G6" xr:uid="{00000000-0002-0000-0300-00000A000000}"/>
  </dataValidations>
  <hyperlinks>
    <hyperlink ref="D78" location="'Anlage 1'!A1" display="Anlage 1" xr:uid="{00000000-0004-0000-0300-000000000000}"/>
    <hyperlink ref="D78:J78" location="B_KZP_Kalkulation!A1" display="gehe weiter zu B_KZP_Kalkulation" xr:uid="{00000000-0004-0000-0300-000001000000}"/>
  </hyperlinks>
  <pageMargins left="0.70866141732283472" right="0.70866141732283472" top="0.78740157480314965" bottom="0.78740157480314965" header="0.31496062992125984" footer="0.31496062992125984"/>
  <pageSetup paperSize="9" scale="74" orientation="portrait"/>
  <headerFooter>
    <oddHeader>&amp;C&amp;9&amp;A</oddHeader>
    <oddFooter>&amp;L&amp;8Version: 19.10.2026&amp;C&amp;8Verhandlungsunterlagen SGB XI (vereinfacht B_KZP)&amp;R&amp;8PSK-Beschluss vom 08.10.2026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830580</xdr:colOff>
                    <xdr:row>41</xdr:row>
                    <xdr:rowOff>38100</xdr:rowOff>
                  </from>
                  <to>
                    <xdr:col>9</xdr:col>
                    <xdr:colOff>68580</xdr:colOff>
                    <xdr:row>44</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600D652-B86D-4CFE-84C9-B7ED538E8B06}">
            <xm:f>KAT!$A$80="nein"</xm:f>
            <x14:dxf>
              <fill>
                <patternFill>
                  <bgColor theme="0"/>
                </patternFill>
              </fill>
            </x14:dxf>
          </x14:cfRule>
          <xm:sqref>D7:F7 D11 K45:K46 H48 L48 M51:M52 J54 J58 N58 K70 K72</xm:sqref>
        </x14:conditionalFormatting>
      </x14:conditionalFormattings>
    </ext>
    <ext xmlns:x14="http://schemas.microsoft.com/office/spreadsheetml/2009/9/main" uri="{CCE6A557-97BC-4b89-ADB6-D9C93CAAB3DF}">
      <x14:dataValidations xmlns:xm="http://schemas.microsoft.com/office/excel/2006/main" xWindow="279" yWindow="275" count="1">
        <x14:dataValidation type="list" allowBlank="1" showInputMessage="1" showErrorMessage="1" errorTitle="Auswahlmöglichkeit" error="Bitte aus Liste wählen!" xr:uid="{00000000-0002-0000-0300-000009000000}">
          <x14:formula1>
            <xm:f>KAT!$F$2:$F$4</xm:f>
          </x14:formula1>
          <xm:sqref>C41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7"/>
  <sheetViews>
    <sheetView showGridLines="0" zoomScaleNormal="100" workbookViewId="0">
      <selection activeCell="A6" sqref="A6"/>
    </sheetView>
  </sheetViews>
  <sheetFormatPr baseColWidth="10" defaultRowHeight="13.8" x14ac:dyDescent="0.25"/>
  <cols>
    <col min="1" max="1" width="4.3984375" customWidth="1"/>
    <col min="2" max="2" width="20.8984375" customWidth="1"/>
    <col min="3" max="3" width="23.3984375" customWidth="1"/>
    <col min="4" max="4" width="23.5" customWidth="1"/>
    <col min="5" max="5" width="20.59765625" customWidth="1"/>
    <col min="6" max="6" width="17.59765625" customWidth="1"/>
    <col min="7" max="7" width="2.3984375" customWidth="1"/>
    <col min="8" max="8" width="21.59765625" customWidth="1"/>
    <col min="9" max="10" width="17.59765625" customWidth="1"/>
    <col min="11" max="11" width="22.19921875" customWidth="1"/>
    <col min="12" max="12" width="17.59765625" customWidth="1"/>
    <col min="13" max="13" width="22.3984375" customWidth="1"/>
    <col min="14" max="14" width="5.59765625" customWidth="1"/>
    <col min="15" max="15" width="18.8984375" customWidth="1"/>
    <col min="16" max="16" width="8.59765625" customWidth="1"/>
    <col min="17" max="17" width="12.69921875" customWidth="1"/>
    <col min="18" max="18" width="1.59765625" customWidth="1"/>
    <col min="19" max="19" width="11" customWidth="1"/>
    <col min="20" max="21" width="11" style="302" hidden="1" customWidth="1"/>
    <col min="22" max="23" width="14.69921875" style="302" hidden="1" customWidth="1"/>
    <col min="24" max="32" width="11" style="302" hidden="1" customWidth="1"/>
    <col min="33" max="45" width="11" customWidth="1"/>
  </cols>
  <sheetData>
    <row r="1" spans="1:25" x14ac:dyDescent="0.25">
      <c r="A1" s="1150" t="str">
        <f>'B_KZP_Allgemeine Angaben'!A1:N1</f>
        <v>Vereinfachtes Verfahren der Aufforderung zum Abschluss einer Pflegesatzvereinbarung gemäß § 84, 85 SGB XI - Kurzzeitpflegeeinrichtungen</v>
      </c>
      <c r="B1" s="1151"/>
      <c r="C1" s="1151"/>
      <c r="D1" s="1151"/>
      <c r="E1" s="1151"/>
      <c r="F1" s="1151"/>
      <c r="G1" s="1151"/>
      <c r="H1" s="1151"/>
      <c r="I1" s="1151"/>
      <c r="J1" s="1151"/>
      <c r="K1" s="1151"/>
      <c r="L1" s="1151"/>
      <c r="M1" s="1151"/>
      <c r="N1" s="1151"/>
      <c r="O1" s="1151"/>
      <c r="P1" s="1151"/>
      <c r="Q1" s="122"/>
      <c r="R1" s="176"/>
      <c r="T1" s="297"/>
      <c r="U1" s="298"/>
      <c r="V1" s="299"/>
      <c r="W1" s="300"/>
      <c r="X1" s="301"/>
      <c r="Y1" s="301"/>
    </row>
    <row r="2" spans="1:25" x14ac:dyDescent="0.25">
      <c r="A2" s="1152" t="s">
        <v>176</v>
      </c>
      <c r="B2" s="1153"/>
      <c r="C2" s="1153"/>
      <c r="D2" s="1153"/>
      <c r="E2" s="1153"/>
      <c r="F2" s="1153"/>
      <c r="G2" s="1153"/>
      <c r="H2" s="1153"/>
      <c r="I2" s="1153"/>
      <c r="J2" s="1153"/>
      <c r="K2" s="1153"/>
      <c r="L2" s="1153"/>
      <c r="M2" s="1153"/>
      <c r="N2" s="1153"/>
      <c r="O2" s="1153"/>
      <c r="P2" s="1153"/>
      <c r="Q2" s="154"/>
      <c r="R2" s="280"/>
    </row>
    <row r="3" spans="1:25" x14ac:dyDescent="0.25">
      <c r="A3" s="605"/>
      <c r="B3" s="1041"/>
      <c r="C3" s="1041"/>
      <c r="D3" s="1041"/>
      <c r="E3" s="1041"/>
      <c r="F3" s="1041"/>
      <c r="G3" s="1041"/>
      <c r="H3" s="1041"/>
      <c r="I3" s="1041"/>
      <c r="J3" s="1041"/>
      <c r="K3" s="1041"/>
      <c r="L3" s="1041"/>
      <c r="M3" s="1041"/>
      <c r="N3" s="1041"/>
      <c r="O3" s="1041"/>
      <c r="P3" s="1041"/>
      <c r="Q3" s="1041"/>
      <c r="R3" s="280"/>
    </row>
    <row r="4" spans="1:25" x14ac:dyDescent="0.25">
      <c r="A4" s="281"/>
      <c r="B4" s="178" t="s">
        <v>183</v>
      </c>
      <c r="C4" s="1158">
        <f>'B_KZP_Allgemeine Angaben'!D12</f>
        <v>0</v>
      </c>
      <c r="D4" s="1158"/>
      <c r="E4" s="176"/>
      <c r="F4" s="154"/>
      <c r="G4" s="154"/>
      <c r="H4" s="154"/>
      <c r="I4" s="154"/>
      <c r="J4" s="154"/>
      <c r="K4" s="1041"/>
      <c r="L4" s="1041"/>
      <c r="M4" s="154"/>
      <c r="N4" s="178" t="s">
        <v>2</v>
      </c>
      <c r="O4" s="179"/>
      <c r="P4" s="1158" t="str">
        <f>IFERROR(TEXT('B_KZP_Allgemeine Angaben'!L6,"000  000  000"),"")</f>
        <v>000  000  000</v>
      </c>
      <c r="Q4" s="1160"/>
      <c r="R4" s="280"/>
    </row>
    <row r="5" spans="1:25" x14ac:dyDescent="0.25">
      <c r="A5" s="282"/>
      <c r="B5" s="175" t="s">
        <v>184</v>
      </c>
      <c r="C5" s="1159" t="str">
        <f>IF('B_KZP_Allgemeine Angaben'!D16&gt;0,CONCATENATE('B_KZP_Allgemeine Angaben'!D16," ",'B_KZP_Allgemeine Angaben'!J16),"")</f>
        <v/>
      </c>
      <c r="D5" s="1159"/>
      <c r="E5" s="177"/>
      <c r="F5" s="154"/>
      <c r="G5" s="154"/>
      <c r="H5" s="154"/>
      <c r="I5" s="154"/>
      <c r="J5" s="154"/>
      <c r="K5" s="154"/>
      <c r="L5" s="154"/>
      <c r="M5" s="154"/>
      <c r="N5" s="175" t="s">
        <v>177</v>
      </c>
      <c r="O5" s="180"/>
      <c r="P5" s="1161">
        <f>IFERROR('B_KZP_Allgemeine Angaben'!L4,"")</f>
        <v>0</v>
      </c>
      <c r="Q5" s="1162"/>
      <c r="R5" s="280"/>
    </row>
    <row r="6" spans="1:25" ht="9" customHeight="1" x14ac:dyDescent="0.25">
      <c r="A6" s="654"/>
      <c r="R6" s="19"/>
    </row>
    <row r="7" spans="1:25" x14ac:dyDescent="0.25">
      <c r="A7" s="20"/>
      <c r="B7" s="119" t="s">
        <v>503</v>
      </c>
      <c r="D7" s="348"/>
      <c r="H7" s="119" t="s">
        <v>26</v>
      </c>
      <c r="I7" s="600">
        <v>365</v>
      </c>
      <c r="K7" s="119" t="s">
        <v>1</v>
      </c>
      <c r="L7" s="112" t="str">
        <f>IF('B_KZP_Allgemeine Angaben'!D6&gt;0,'B_KZP_Allgemeine Angaben'!D6,"")</f>
        <v>Kurzzeitpflege</v>
      </c>
      <c r="M7" s="138"/>
      <c r="R7" s="19"/>
      <c r="T7" s="303"/>
    </row>
    <row r="8" spans="1:25" ht="14.25" customHeight="1" x14ac:dyDescent="0.25">
      <c r="A8" s="20"/>
      <c r="B8" s="144"/>
      <c r="C8" s="1042"/>
      <c r="D8" s="1043" t="str">
        <f>IF('B_KZP_Allgemeine Angaben'!H45="","",IF(KAT!E8&lt;12,"",IF(AND(KAT!E8&gt;=12,KAT!E8&lt;24),"Auslastungsquote bitte mit "&amp;TEXT(KAT!E4,"0 %")&amp;" angeben","Auslastungsquote kann mit 5 % unter der tatsächlichen Auslastung der letzten 24 Monate, mindestens jedoch mit "&amp;TEXT(KAT!E3,"0 %")&amp;" angegeben werden")))</f>
        <v/>
      </c>
      <c r="R8" s="19"/>
      <c r="T8" s="303"/>
    </row>
    <row r="9" spans="1:25" ht="14.25" customHeight="1" x14ac:dyDescent="0.25">
      <c r="A9" s="20"/>
      <c r="B9" s="144" t="str">
        <f>"Belegungstage letzte "&amp;TEXT(IF('B_KZP_Allgemeine Angaben'!K45-3&gt;24,24,'B_KZP_Allgemeine Angaben'!K45-3),"0")&amp;" Kalendermonate:"</f>
        <v>Belegungstage letzte -3 Kalendermonate:</v>
      </c>
      <c r="C9" s="1042"/>
      <c r="D9" s="626"/>
      <c r="R9" s="19"/>
      <c r="T9" s="303"/>
    </row>
    <row r="10" spans="1:25" ht="14.25" customHeight="1" x14ac:dyDescent="0.25">
      <c r="A10" s="20"/>
      <c r="B10" t="str">
        <f>"Auslastung letzte "&amp;TEXT(IF('B_KZP_Allgemeine Angaben'!K45-3&gt;24,24,'B_KZP_Allgemeine Angaben'!K45-3),"0")&amp;" Kalendermonate:"</f>
        <v>Auslastung letzte -3 Kalendermonate:</v>
      </c>
      <c r="C10" s="1042"/>
      <c r="D10" s="769" t="e">
        <f>D9/IF('B_KZP_Allgemeine Angaben'!K45-3&gt;24,24,'B_KZP_Allgemeine Angaben'!K45-3)*12/('B_KZP_Allgemeine Angaben'!L47*365)</f>
        <v>#DIV/0!</v>
      </c>
      <c r="R10" s="19"/>
      <c r="T10" s="303"/>
    </row>
    <row r="11" spans="1:25" ht="14.25" customHeight="1" x14ac:dyDescent="0.25">
      <c r="A11" s="20"/>
      <c r="C11" s="1042"/>
      <c r="R11" s="19"/>
      <c r="T11" s="303"/>
    </row>
    <row r="12" spans="1:25" x14ac:dyDescent="0.25">
      <c r="A12" s="20"/>
      <c r="B12" s="58" t="s">
        <v>238</v>
      </c>
      <c r="F12" s="127"/>
      <c r="H12" s="120" t="s">
        <v>237</v>
      </c>
      <c r="I12" s="21"/>
      <c r="J12" s="21"/>
      <c r="K12" s="21"/>
      <c r="L12" s="21"/>
      <c r="M12" s="21"/>
      <c r="N12" s="21"/>
      <c r="O12" s="21"/>
      <c r="P12" s="21"/>
      <c r="Q12" s="21"/>
      <c r="R12" s="94"/>
      <c r="T12" s="303"/>
      <c r="U12" s="303"/>
    </row>
    <row r="13" spans="1:25" ht="5.25" customHeight="1" x14ac:dyDescent="0.25">
      <c r="A13" s="20"/>
      <c r="D13" s="1044"/>
      <c r="H13" s="20"/>
      <c r="J13" s="1044"/>
      <c r="R13" s="19"/>
    </row>
    <row r="14" spans="1:25" x14ac:dyDescent="0.25">
      <c r="A14" s="20"/>
      <c r="B14" t="s">
        <v>173</v>
      </c>
      <c r="C14" s="1040" t="s">
        <v>146</v>
      </c>
      <c r="D14" s="174">
        <f>'B_KZP_Allgemeine Angaben'!H53</f>
        <v>0</v>
      </c>
      <c r="E14" s="1040" t="s">
        <v>101</v>
      </c>
      <c r="F14" s="174">
        <f>'B_KZP_Allgemeine Angaben'!K53</f>
        <v>0</v>
      </c>
      <c r="H14" s="20" t="s">
        <v>173</v>
      </c>
      <c r="I14" s="1040" t="s">
        <v>146</v>
      </c>
      <c r="J14" s="121" t="str">
        <f>IF('B_KZP_Allgemeine Angaben'!H51=0,"",'B_KZP_Allgemeine Angaben'!H51)</f>
        <v/>
      </c>
      <c r="K14" s="1040" t="s">
        <v>101</v>
      </c>
      <c r="L14" s="121">
        <f>IF('B_KZP_Allgemeine Angaben'!K51=0,0,'B_KZP_Allgemeine Angaben'!K51)</f>
        <v>0</v>
      </c>
      <c r="R14" s="19"/>
      <c r="T14" s="303"/>
    </row>
    <row r="15" spans="1:25" ht="9.9" customHeight="1" x14ac:dyDescent="0.25">
      <c r="A15" s="118"/>
      <c r="B15" s="1045"/>
      <c r="C15" s="1045"/>
      <c r="D15" s="1045"/>
      <c r="E15" s="1045"/>
      <c r="F15" s="117"/>
      <c r="G15" s="1045"/>
      <c r="H15" s="118"/>
      <c r="I15" s="1045"/>
      <c r="J15" s="1045"/>
      <c r="K15" s="1045"/>
      <c r="L15" s="1045"/>
      <c r="R15" s="19"/>
    </row>
    <row r="16" spans="1:25" x14ac:dyDescent="0.25">
      <c r="A16" s="118"/>
      <c r="B16" s="113" t="s">
        <v>330</v>
      </c>
      <c r="C16" s="114"/>
      <c r="D16" s="114"/>
      <c r="E16" s="102" t="s">
        <v>149</v>
      </c>
      <c r="F16" s="112">
        <f>SUM(B18:F18)</f>
        <v>0</v>
      </c>
      <c r="G16" s="20"/>
      <c r="H16" s="113" t="s">
        <v>330</v>
      </c>
      <c r="I16" s="114"/>
      <c r="J16" s="114"/>
      <c r="K16" s="102" t="s">
        <v>149</v>
      </c>
      <c r="L16" s="102">
        <f>SUM(H18:L18)</f>
        <v>0</v>
      </c>
      <c r="M16" s="527"/>
      <c r="N16" s="226"/>
      <c r="O16" s="127"/>
      <c r="P16" s="127"/>
      <c r="Q16" s="127"/>
      <c r="R16" s="128"/>
    </row>
    <row r="17" spans="1:29" x14ac:dyDescent="0.25">
      <c r="A17" s="118"/>
      <c r="B17" s="115" t="s">
        <v>46</v>
      </c>
      <c r="C17" s="115" t="s">
        <v>47</v>
      </c>
      <c r="D17" s="115" t="s">
        <v>48</v>
      </c>
      <c r="E17" s="115" t="s">
        <v>49</v>
      </c>
      <c r="F17" s="116" t="s">
        <v>50</v>
      </c>
      <c r="G17" s="20"/>
      <c r="H17" s="115" t="s">
        <v>46</v>
      </c>
      <c r="I17" s="115" t="s">
        <v>47</v>
      </c>
      <c r="J17" s="115" t="s">
        <v>48</v>
      </c>
      <c r="K17" s="115" t="s">
        <v>49</v>
      </c>
      <c r="L17" s="115" t="s">
        <v>50</v>
      </c>
      <c r="O17" s="127"/>
      <c r="P17" s="127"/>
      <c r="Q17" s="127"/>
      <c r="R17" s="128"/>
      <c r="T17" s="627"/>
    </row>
    <row r="18" spans="1:29" x14ac:dyDescent="0.25">
      <c r="A18" s="118"/>
      <c r="B18" s="187"/>
      <c r="C18" s="187"/>
      <c r="D18" s="187"/>
      <c r="E18" s="187"/>
      <c r="F18" s="188"/>
      <c r="G18" s="20"/>
      <c r="H18" s="97">
        <f>B18</f>
        <v>0</v>
      </c>
      <c r="I18" s="97">
        <f t="shared" ref="I18:L18" si="0">C18</f>
        <v>0</v>
      </c>
      <c r="J18" s="97">
        <f t="shared" si="0"/>
        <v>0</v>
      </c>
      <c r="K18" s="97">
        <f t="shared" si="0"/>
        <v>0</v>
      </c>
      <c r="L18" s="97">
        <f t="shared" si="0"/>
        <v>0</v>
      </c>
      <c r="O18" s="127"/>
      <c r="P18" s="127"/>
      <c r="Q18" s="127"/>
      <c r="R18" s="128"/>
    </row>
    <row r="19" spans="1:29" x14ac:dyDescent="0.25">
      <c r="A19" s="118"/>
      <c r="B19" s="760" t="str">
        <f>IF(F16&lt;&gt;'B_KZP_Allgemeine Angaben'!L47,"Prognose entspricht nicht Platzzahl!","")</f>
        <v/>
      </c>
      <c r="C19" s="127"/>
      <c r="D19" s="127"/>
      <c r="E19" s="127"/>
      <c r="F19" s="127"/>
      <c r="H19" s="127"/>
      <c r="I19" s="127"/>
      <c r="J19" s="127"/>
      <c r="K19" s="127"/>
      <c r="L19" s="127"/>
      <c r="O19" s="127"/>
      <c r="P19" s="127"/>
      <c r="Q19" s="127"/>
      <c r="R19" s="128"/>
    </row>
    <row r="20" spans="1:29" ht="18.75" customHeight="1" x14ac:dyDescent="0.25">
      <c r="A20" s="118"/>
      <c r="I20" s="1046"/>
      <c r="J20" s="1047"/>
      <c r="K20" s="1047"/>
      <c r="M20" s="1048"/>
      <c r="N20" s="1049"/>
      <c r="O20" s="1185" t="s">
        <v>242</v>
      </c>
      <c r="P20" s="1186"/>
      <c r="Q20" s="1186"/>
      <c r="R20" s="1187"/>
      <c r="V20" s="1182"/>
      <c r="W20" s="1182"/>
      <c r="X20" s="1182"/>
      <c r="Y20" s="1182"/>
    </row>
    <row r="21" spans="1:29" ht="51.75" customHeight="1" x14ac:dyDescent="0.25">
      <c r="A21" s="118"/>
      <c r="B21" s="318" t="s">
        <v>151</v>
      </c>
      <c r="C21" s="526" t="s">
        <v>448</v>
      </c>
      <c r="D21" s="762" t="s">
        <v>150</v>
      </c>
      <c r="E21" s="649" t="s">
        <v>147</v>
      </c>
      <c r="F21" s="510" t="s">
        <v>354</v>
      </c>
      <c r="H21" s="775" t="s">
        <v>151</v>
      </c>
      <c r="I21" s="526" t="s">
        <v>448</v>
      </c>
      <c r="J21" s="650" t="s">
        <v>150</v>
      </c>
      <c r="K21" s="649" t="s">
        <v>147</v>
      </c>
      <c r="L21" s="509" t="s">
        <v>354</v>
      </c>
      <c r="M21" s="525" t="s">
        <v>336</v>
      </c>
      <c r="N21" s="1050"/>
      <c r="O21" s="1163" t="s">
        <v>473</v>
      </c>
      <c r="P21" s="1164"/>
      <c r="Q21" s="1164"/>
      <c r="R21" s="1165"/>
      <c r="T21" s="629"/>
      <c r="U21" s="630"/>
      <c r="V21" s="630"/>
      <c r="W21" s="631"/>
      <c r="X21" s="631"/>
      <c r="Y21" s="631"/>
    </row>
    <row r="22" spans="1:29" ht="13.95" customHeight="1" x14ac:dyDescent="0.25">
      <c r="A22" s="118"/>
      <c r="B22" s="99"/>
      <c r="C22" s="645"/>
      <c r="D22" s="771"/>
      <c r="F22" s="770"/>
      <c r="G22" s="20"/>
      <c r="H22" s="110" t="s">
        <v>175</v>
      </c>
      <c r="I22" s="776" t="str">
        <f>IFERROR(L16/J22,"")</f>
        <v/>
      </c>
      <c r="J22" s="773"/>
      <c r="K22" s="788" t="str">
        <f>IF(J22&gt;KAT!C11,"(max. "&amp;TEXT(KAT!C11,"0,0000")&amp;" VK)","PDL/stellv. PDL")</f>
        <v>PDL/stellv. PDL</v>
      </c>
      <c r="L22" s="784">
        <f>IF(J22&gt;0,IF('B_KZP_Allgemeine Angaben'!N58=1,'B_KZP_Berechnung rüE'!J16,L23),0)</f>
        <v>0</v>
      </c>
      <c r="M22" s="768"/>
      <c r="N22" s="647"/>
      <c r="O22" s="1166"/>
      <c r="P22" s="1167"/>
      <c r="Q22" s="1167"/>
      <c r="R22" s="1168"/>
    </row>
    <row r="23" spans="1:29" x14ac:dyDescent="0.25">
      <c r="A23" s="118"/>
      <c r="B23" s="110" t="s">
        <v>322</v>
      </c>
      <c r="C23" s="774"/>
      <c r="D23" s="780">
        <f>IFERROR($F$16/C23,0)</f>
        <v>0</v>
      </c>
      <c r="F23" s="189"/>
      <c r="G23" s="20"/>
      <c r="H23" s="110" t="s">
        <v>322</v>
      </c>
      <c r="I23" s="776" t="e">
        <f>L16/J23</f>
        <v>#DIV/0!</v>
      </c>
      <c r="J23" s="778">
        <f>IF(J24&lt;&gt;0,MIN(J24,D23+D24-J22),D23+D24-J22)</f>
        <v>0</v>
      </c>
      <c r="K23" s="781" t="s">
        <v>322</v>
      </c>
      <c r="L23" s="782">
        <f>IF('B_KZP_Allgemeine Angaben'!$N$58=1,'B_KZP_Berechnung rüE'!J19,KAT!F67*(1+M23))</f>
        <v>0</v>
      </c>
      <c r="M23" s="338"/>
      <c r="N23" s="647"/>
      <c r="O23" s="1169"/>
      <c r="P23" s="1170"/>
      <c r="Q23" s="1170"/>
      <c r="R23" s="1171"/>
    </row>
    <row r="24" spans="1:29" x14ac:dyDescent="0.25">
      <c r="A24" s="118"/>
      <c r="B24" s="110" t="s">
        <v>450</v>
      </c>
      <c r="C24" s="774"/>
      <c r="D24" s="780">
        <f>IFERROR($F$16/C24,0)</f>
        <v>0</v>
      </c>
      <c r="F24" s="189"/>
      <c r="G24" s="20"/>
      <c r="H24" s="1180" t="s">
        <v>465</v>
      </c>
      <c r="I24" s="1181"/>
      <c r="J24" s="773"/>
      <c r="K24" s="781"/>
      <c r="L24" s="783"/>
      <c r="M24" s="772"/>
      <c r="N24" s="647"/>
      <c r="O24" s="1169"/>
      <c r="P24" s="1170"/>
      <c r="Q24" s="1170"/>
      <c r="R24" s="1171"/>
    </row>
    <row r="25" spans="1:29" ht="41.4" x14ac:dyDescent="0.25">
      <c r="A25" s="118"/>
      <c r="B25" s="111" t="s">
        <v>358</v>
      </c>
      <c r="C25" s="104">
        <v>20</v>
      </c>
      <c r="D25" s="780">
        <f t="shared" ref="D25:D29" si="1">IFERROR($F$16/C25,0)</f>
        <v>0</v>
      </c>
      <c r="E25" s="464" t="s">
        <v>148</v>
      </c>
      <c r="F25" s="189"/>
      <c r="G25" s="339"/>
      <c r="H25" s="111" t="s">
        <v>358</v>
      </c>
      <c r="I25" s="777">
        <v>20</v>
      </c>
      <c r="J25" s="778">
        <f>IFERROR($L$16/I25,"")</f>
        <v>0</v>
      </c>
      <c r="K25" s="464" t="s">
        <v>358</v>
      </c>
      <c r="L25" s="782">
        <f>IF('B_KZP_Allgemeine Angaben'!$N$58=1,'B_KZP_Berechnung rüE'!J25,F25*(1+M25))</f>
        <v>0</v>
      </c>
      <c r="M25" s="338"/>
      <c r="N25" s="646"/>
      <c r="O25" s="1169"/>
      <c r="P25" s="1170"/>
      <c r="Q25" s="1170"/>
      <c r="R25" s="1171"/>
    </row>
    <row r="26" spans="1:29" x14ac:dyDescent="0.25">
      <c r="A26" s="118"/>
      <c r="B26" s="439" t="s">
        <v>425</v>
      </c>
      <c r="C26" s="774"/>
      <c r="D26" s="780">
        <f t="shared" si="1"/>
        <v>0</v>
      </c>
      <c r="E26" s="761" t="str">
        <f t="shared" ref="E26:E28" si="2">B26</f>
        <v>Leitung / Verwaltung</v>
      </c>
      <c r="F26" s="189"/>
      <c r="G26" s="339"/>
      <c r="H26" s="439" t="s">
        <v>425</v>
      </c>
      <c r="I26" s="777">
        <f>C26</f>
        <v>0</v>
      </c>
      <c r="J26" s="778">
        <f>IFERROR($L$16/I26,0)</f>
        <v>0</v>
      </c>
      <c r="K26" s="781" t="s">
        <v>425</v>
      </c>
      <c r="L26" s="784">
        <f>IF(F26=0,0,F26*M26+F26)</f>
        <v>0</v>
      </c>
      <c r="M26" s="338"/>
      <c r="N26" s="646"/>
      <c r="O26" s="1169"/>
      <c r="P26" s="1170"/>
      <c r="Q26" s="1170"/>
      <c r="R26" s="1171"/>
      <c r="T26" s="303"/>
    </row>
    <row r="27" spans="1:29" ht="27.6" x14ac:dyDescent="0.25">
      <c r="A27" s="118"/>
      <c r="B27" s="110" t="s">
        <v>51</v>
      </c>
      <c r="C27" s="774"/>
      <c r="D27" s="780">
        <f t="shared" si="1"/>
        <v>0</v>
      </c>
      <c r="E27" s="761" t="str">
        <f t="shared" si="2"/>
        <v>Hauswirtschaft</v>
      </c>
      <c r="F27" s="189"/>
      <c r="G27" s="339"/>
      <c r="H27" s="111" t="s">
        <v>396</v>
      </c>
      <c r="I27" s="801">
        <f>IF(J28&lt;&gt;"",MAX(KAT!E74,'B_KZP_Allgemeine Angaben'!L47/J28),KAT!E74)</f>
        <v>0</v>
      </c>
      <c r="J27" s="778">
        <f>IFERROR($L$16/I27,0)</f>
        <v>0</v>
      </c>
      <c r="K27" s="464" t="str">
        <f t="shared" ref="K27" si="3">H27</f>
        <v>Hauswirtschaft/ Küche/ Haustechnik</v>
      </c>
      <c r="L27" s="784">
        <f>IF(KAT!F74=0,0,KAT!F74*M27+KAT!F74)</f>
        <v>0</v>
      </c>
      <c r="M27" s="338"/>
      <c r="N27" s="646"/>
      <c r="O27" s="1169"/>
      <c r="P27" s="1170"/>
      <c r="Q27" s="1170"/>
      <c r="R27" s="1171"/>
    </row>
    <row r="28" spans="1:29" x14ac:dyDescent="0.25">
      <c r="A28" s="118"/>
      <c r="B28" s="110" t="s">
        <v>28</v>
      </c>
      <c r="C28" s="774"/>
      <c r="D28" s="780">
        <f t="shared" si="1"/>
        <v>0</v>
      </c>
      <c r="E28" s="761" t="str">
        <f t="shared" si="2"/>
        <v>Küche</v>
      </c>
      <c r="F28" s="189"/>
      <c r="G28" s="339"/>
      <c r="H28" s="1180" t="s">
        <v>466</v>
      </c>
      <c r="I28" s="1181"/>
      <c r="J28" s="773"/>
      <c r="L28" s="783"/>
      <c r="M28" s="648"/>
      <c r="N28" s="646"/>
      <c r="O28" s="1169"/>
      <c r="P28" s="1170"/>
      <c r="Q28" s="1170"/>
      <c r="R28" s="1171"/>
      <c r="T28" s="303"/>
    </row>
    <row r="29" spans="1:29" x14ac:dyDescent="0.25">
      <c r="A29" s="118"/>
      <c r="B29" s="110" t="s">
        <v>29</v>
      </c>
      <c r="C29" s="774"/>
      <c r="D29" s="780">
        <f t="shared" si="1"/>
        <v>0</v>
      </c>
      <c r="E29" s="464" t="str">
        <f>B29</f>
        <v>Haustechnik</v>
      </c>
      <c r="F29" s="189"/>
      <c r="G29" s="339"/>
      <c r="H29" s="141"/>
      <c r="I29" s="645"/>
      <c r="J29" s="779"/>
      <c r="K29" s="785"/>
      <c r="L29" s="783"/>
      <c r="M29" s="648"/>
      <c r="N29" s="646"/>
      <c r="O29" s="1169"/>
      <c r="P29" s="1170"/>
      <c r="Q29" s="1170"/>
      <c r="R29" s="1171"/>
    </row>
    <row r="30" spans="1:29" ht="29.25" customHeight="1" x14ac:dyDescent="0.25">
      <c r="A30" s="118"/>
      <c r="B30" s="1155" t="s">
        <v>346</v>
      </c>
      <c r="C30" s="1156"/>
      <c r="D30" s="818"/>
      <c r="E30" s="464" t="str">
        <f>B30</f>
        <v>Freiwillige Dienste/ FSJ Einsatz</v>
      </c>
      <c r="F30" s="190"/>
      <c r="G30" s="339"/>
      <c r="H30" s="1155" t="s">
        <v>345</v>
      </c>
      <c r="I30" s="1157"/>
      <c r="J30" s="818"/>
      <c r="K30" s="786" t="str">
        <f>H30</f>
        <v>Freiwillige Dienste/FSJ Einsatz</v>
      </c>
      <c r="L30" s="787">
        <f>IF(OR(F30=0,J30=0),0,F30*M30+F30)</f>
        <v>0</v>
      </c>
      <c r="M30" s="338"/>
      <c r="N30" s="295"/>
      <c r="O30" s="1169"/>
      <c r="P30" s="1170"/>
      <c r="Q30" s="1170"/>
      <c r="R30" s="1171"/>
      <c r="T30" s="316" t="s">
        <v>263</v>
      </c>
      <c r="U30" s="308"/>
      <c r="V30" s="308"/>
      <c r="W30" s="308"/>
    </row>
    <row r="31" spans="1:29" ht="13.95" customHeight="1" x14ac:dyDescent="0.25">
      <c r="A31" s="118"/>
      <c r="O31" s="1172"/>
      <c r="P31" s="1173"/>
      <c r="Q31" s="1173"/>
      <c r="R31" s="1174"/>
      <c r="T31" s="1184" t="s">
        <v>277</v>
      </c>
      <c r="U31" s="1184"/>
      <c r="V31" s="1184"/>
      <c r="W31" s="1184"/>
      <c r="X31" s="1184"/>
      <c r="Y31" s="1184"/>
      <c r="Z31" s="1184"/>
      <c r="AA31" s="1184"/>
      <c r="AB31" s="1184"/>
      <c r="AC31" s="1184"/>
    </row>
    <row r="32" spans="1:29" ht="3" customHeight="1" x14ac:dyDescent="0.25">
      <c r="A32" s="118"/>
      <c r="R32" s="19"/>
      <c r="T32" s="1184"/>
      <c r="U32" s="1184"/>
      <c r="V32" s="1184"/>
      <c r="W32" s="1184"/>
      <c r="X32" s="1184"/>
      <c r="Y32" s="1184"/>
      <c r="Z32" s="1184"/>
      <c r="AA32" s="1184"/>
      <c r="AB32" s="1184"/>
      <c r="AC32" s="1184"/>
    </row>
    <row r="33" spans="1:30" ht="15" customHeight="1" x14ac:dyDescent="0.25">
      <c r="A33" s="283"/>
      <c r="B33" s="134" t="s">
        <v>74</v>
      </c>
      <c r="C33" s="135"/>
      <c r="D33" s="135"/>
      <c r="E33" s="135"/>
      <c r="F33" s="534" t="s">
        <v>353</v>
      </c>
      <c r="H33" s="134" t="s">
        <v>74</v>
      </c>
      <c r="I33" s="135"/>
      <c r="J33" s="135"/>
      <c r="K33" s="135"/>
      <c r="L33" s="534" t="s">
        <v>353</v>
      </c>
      <c r="M33" s="317"/>
      <c r="N33" s="296"/>
      <c r="O33" s="1177" t="s">
        <v>243</v>
      </c>
      <c r="P33" s="1178"/>
      <c r="Q33" s="1178"/>
      <c r="R33" s="1179"/>
      <c r="T33" s="1184"/>
      <c r="U33" s="1184"/>
      <c r="V33" s="1184"/>
      <c r="W33" s="1184"/>
      <c r="X33" s="1184"/>
      <c r="Y33" s="1184"/>
      <c r="Z33" s="1184"/>
      <c r="AA33" s="1184"/>
      <c r="AB33" s="1184"/>
      <c r="AC33" s="1184"/>
    </row>
    <row r="34" spans="1:30" ht="14.25" customHeight="1" x14ac:dyDescent="0.25">
      <c r="A34" s="284"/>
      <c r="B34" s="123" t="s">
        <v>155</v>
      </c>
      <c r="C34" s="99" t="s">
        <v>33</v>
      </c>
      <c r="D34" s="95"/>
      <c r="E34" s="100"/>
      <c r="F34" s="191"/>
      <c r="G34" s="20"/>
      <c r="H34" s="651" t="s">
        <v>155</v>
      </c>
      <c r="I34" s="99" t="s">
        <v>33</v>
      </c>
      <c r="K34" s="19"/>
      <c r="L34" s="418">
        <f>IF($M$33&lt;&gt;0,F34*(100%+$M$33),F34)</f>
        <v>0</v>
      </c>
      <c r="M34" s="759" t="str">
        <f>(IFERROR(L34/B_KZP_Gesamtkalkulation!$K$6,""))</f>
        <v/>
      </c>
      <c r="N34" s="173"/>
      <c r="O34" s="1166"/>
      <c r="P34" s="1167"/>
      <c r="Q34" s="1167"/>
      <c r="R34" s="1168"/>
      <c r="T34" s="307"/>
      <c r="U34" s="306"/>
      <c r="V34" s="306"/>
      <c r="W34" s="306"/>
    </row>
    <row r="35" spans="1:30" x14ac:dyDescent="0.25">
      <c r="A35" s="285"/>
      <c r="B35" s="124" t="s">
        <v>156</v>
      </c>
      <c r="C35" s="99" t="s">
        <v>153</v>
      </c>
      <c r="D35" s="95"/>
      <c r="E35" s="100"/>
      <c r="F35" s="191"/>
      <c r="G35" s="20"/>
      <c r="H35" s="652" t="s">
        <v>156</v>
      </c>
      <c r="I35" s="99" t="s">
        <v>153</v>
      </c>
      <c r="J35" s="95"/>
      <c r="K35" s="100"/>
      <c r="L35" s="418">
        <f t="shared" ref="L35:L43" si="4">IF($M$33&lt;&gt;0,F35*(100%+$M$33),F35)</f>
        <v>0</v>
      </c>
      <c r="M35" s="759" t="str">
        <f>(IFERROR(L35/B_KZP_Gesamtkalkulation!$K$6,""))</f>
        <v/>
      </c>
      <c r="N35" s="173"/>
      <c r="O35" s="1169"/>
      <c r="P35" s="1170"/>
      <c r="Q35" s="1170"/>
      <c r="R35" s="1171"/>
      <c r="T35" s="309" t="s">
        <v>273</v>
      </c>
    </row>
    <row r="36" spans="1:30" ht="13.95" customHeight="1" x14ac:dyDescent="0.25">
      <c r="A36" s="285"/>
      <c r="B36" s="124" t="s">
        <v>157</v>
      </c>
      <c r="C36" s="99" t="s">
        <v>344</v>
      </c>
      <c r="D36" s="95"/>
      <c r="E36" s="100"/>
      <c r="F36" s="191"/>
      <c r="G36" s="20"/>
      <c r="H36" s="652" t="s">
        <v>157</v>
      </c>
      <c r="I36" s="99" t="s">
        <v>344</v>
      </c>
      <c r="J36" s="95"/>
      <c r="K36" s="100"/>
      <c r="L36" s="418">
        <f t="shared" si="4"/>
        <v>0</v>
      </c>
      <c r="M36" s="759" t="str">
        <f>(IFERROR(L36/B_KZP_Gesamtkalkulation!$K$6,""))</f>
        <v/>
      </c>
      <c r="N36" s="173"/>
      <c r="O36" s="1169"/>
      <c r="P36" s="1170"/>
      <c r="Q36" s="1170"/>
      <c r="R36" s="1171"/>
      <c r="T36" s="1183"/>
      <c r="U36" s="1183"/>
      <c r="V36" s="1183"/>
      <c r="W36" s="1183"/>
      <c r="X36" s="1183"/>
      <c r="Y36" s="1183"/>
      <c r="Z36" s="1183"/>
      <c r="AA36" s="1183"/>
      <c r="AB36" s="1183"/>
      <c r="AC36" s="1183"/>
      <c r="AD36" s="1183"/>
    </row>
    <row r="37" spans="1:30" ht="13.95" customHeight="1" x14ac:dyDescent="0.25">
      <c r="A37" s="285"/>
      <c r="B37" s="124" t="s">
        <v>158</v>
      </c>
      <c r="C37" s="20" t="s">
        <v>406</v>
      </c>
      <c r="E37" s="19"/>
      <c r="F37" s="191"/>
      <c r="G37" s="20"/>
      <c r="H37" s="652" t="s">
        <v>158</v>
      </c>
      <c r="I37" s="20" t="s">
        <v>406</v>
      </c>
      <c r="J37" s="95"/>
      <c r="K37" s="100"/>
      <c r="L37" s="418">
        <f t="shared" ref="L37:L38" si="5">IF($M$33&lt;&gt;0,F37*(100%+$M$33),F37)</f>
        <v>0</v>
      </c>
      <c r="M37" s="759" t="str">
        <f>(IFERROR(L37/B_KZP_Gesamtkalkulation!$K$6,""))</f>
        <v/>
      </c>
      <c r="N37" s="173"/>
      <c r="O37" s="1169"/>
      <c r="P37" s="1170"/>
      <c r="Q37" s="1170"/>
      <c r="R37" s="1171"/>
      <c r="T37" s="621"/>
      <c r="U37" s="621"/>
      <c r="V37" s="621"/>
      <c r="W37" s="621"/>
      <c r="X37" s="621"/>
      <c r="Y37" s="621"/>
      <c r="Z37" s="621"/>
      <c r="AA37" s="621"/>
      <c r="AB37" s="621"/>
      <c r="AC37" s="621"/>
      <c r="AD37" s="621"/>
    </row>
    <row r="38" spans="1:30" ht="13.95" customHeight="1" x14ac:dyDescent="0.25">
      <c r="A38" s="285"/>
      <c r="B38" s="124" t="s">
        <v>159</v>
      </c>
      <c r="C38" s="99" t="s">
        <v>407</v>
      </c>
      <c r="D38" s="95"/>
      <c r="E38" s="100"/>
      <c r="F38" s="191"/>
      <c r="G38" s="20"/>
      <c r="H38" s="652" t="s">
        <v>159</v>
      </c>
      <c r="I38" s="99" t="s">
        <v>407</v>
      </c>
      <c r="J38" s="95"/>
      <c r="K38" s="100"/>
      <c r="L38" s="418">
        <f t="shared" si="5"/>
        <v>0</v>
      </c>
      <c r="M38" s="759" t="str">
        <f>(IFERROR(L38/B_KZP_Gesamtkalkulation!$K$6,""))</f>
        <v/>
      </c>
      <c r="N38" s="173"/>
      <c r="O38" s="1169"/>
      <c r="P38" s="1170"/>
      <c r="Q38" s="1170"/>
      <c r="R38" s="1171"/>
      <c r="T38" s="621"/>
      <c r="U38" s="621"/>
      <c r="V38" s="621"/>
      <c r="W38" s="621"/>
      <c r="X38" s="621"/>
      <c r="Y38" s="621"/>
      <c r="Z38" s="621"/>
      <c r="AA38" s="621"/>
      <c r="AB38" s="621"/>
      <c r="AC38" s="621"/>
      <c r="AD38" s="621"/>
    </row>
    <row r="39" spans="1:30" x14ac:dyDescent="0.25">
      <c r="A39" s="285"/>
      <c r="B39" s="124" t="s">
        <v>160</v>
      </c>
      <c r="C39" s="20" t="s">
        <v>37</v>
      </c>
      <c r="E39" s="19"/>
      <c r="F39" s="191"/>
      <c r="G39" s="20"/>
      <c r="H39" s="652" t="s">
        <v>160</v>
      </c>
      <c r="I39" s="20" t="s">
        <v>37</v>
      </c>
      <c r="J39" s="95"/>
      <c r="K39" s="100"/>
      <c r="L39" s="418">
        <f t="shared" si="4"/>
        <v>0</v>
      </c>
      <c r="M39" s="759" t="str">
        <f>(IFERROR(L39/B_KZP_Gesamtkalkulation!$K$6,""))</f>
        <v/>
      </c>
      <c r="N39" s="173"/>
      <c r="O39" s="1169"/>
      <c r="P39" s="1170"/>
      <c r="Q39" s="1170"/>
      <c r="R39" s="1171"/>
      <c r="T39" s="302" t="s">
        <v>265</v>
      </c>
    </row>
    <row r="40" spans="1:30" x14ac:dyDescent="0.25">
      <c r="A40" s="285"/>
      <c r="B40" s="124" t="s">
        <v>161</v>
      </c>
      <c r="C40" s="99" t="s">
        <v>39</v>
      </c>
      <c r="D40" s="95"/>
      <c r="E40" s="100"/>
      <c r="F40" s="191"/>
      <c r="G40" s="20"/>
      <c r="H40" s="652" t="s">
        <v>161</v>
      </c>
      <c r="I40" s="99" t="s">
        <v>39</v>
      </c>
      <c r="K40" s="19"/>
      <c r="L40" s="418">
        <f t="shared" si="4"/>
        <v>0</v>
      </c>
      <c r="M40" s="759" t="str">
        <f>(IFERROR(L40/B_KZP_Gesamtkalkulation!$K$6,""))</f>
        <v/>
      </c>
      <c r="N40" s="173"/>
      <c r="O40" s="1169"/>
      <c r="P40" s="1170"/>
      <c r="Q40" s="1170"/>
      <c r="R40" s="1171"/>
      <c r="T40" s="302" t="s">
        <v>264</v>
      </c>
    </row>
    <row r="41" spans="1:30" x14ac:dyDescent="0.25">
      <c r="A41" s="285"/>
      <c r="B41" s="124" t="s">
        <v>162</v>
      </c>
      <c r="C41" s="20" t="s">
        <v>41</v>
      </c>
      <c r="E41" s="19"/>
      <c r="F41" s="191"/>
      <c r="G41" s="20"/>
      <c r="H41" s="652" t="s">
        <v>162</v>
      </c>
      <c r="I41" s="20" t="s">
        <v>41</v>
      </c>
      <c r="J41" s="95"/>
      <c r="K41" s="100"/>
      <c r="L41" s="418">
        <f t="shared" si="4"/>
        <v>0</v>
      </c>
      <c r="M41" s="759" t="str">
        <f>(IFERROR(L41/B_KZP_Gesamtkalkulation!$K$6,""))</f>
        <v/>
      </c>
      <c r="N41" s="173"/>
      <c r="O41" s="1169"/>
      <c r="P41" s="1170"/>
      <c r="Q41" s="1170"/>
      <c r="R41" s="1171"/>
    </row>
    <row r="42" spans="1:30" x14ac:dyDescent="0.25">
      <c r="A42" s="285"/>
      <c r="B42" s="124" t="s">
        <v>404</v>
      </c>
      <c r="C42" s="99" t="s">
        <v>43</v>
      </c>
      <c r="D42" s="95"/>
      <c r="E42" s="100"/>
      <c r="F42" s="191"/>
      <c r="G42" s="20"/>
      <c r="H42" s="652" t="s">
        <v>404</v>
      </c>
      <c r="I42" s="99" t="s">
        <v>43</v>
      </c>
      <c r="K42" s="19"/>
      <c r="L42" s="418">
        <f t="shared" si="4"/>
        <v>0</v>
      </c>
      <c r="M42" s="759" t="str">
        <f>(IFERROR(L42/B_KZP_Gesamtkalkulation!$K$6,""))</f>
        <v/>
      </c>
      <c r="N42" s="173"/>
      <c r="O42" s="1169"/>
      <c r="P42" s="1170"/>
      <c r="Q42" s="1170"/>
      <c r="R42" s="1171"/>
      <c r="T42" s="310" t="s">
        <v>267</v>
      </c>
    </row>
    <row r="43" spans="1:30" x14ac:dyDescent="0.25">
      <c r="A43" s="285"/>
      <c r="B43" s="124" t="s">
        <v>405</v>
      </c>
      <c r="C43" s="101" t="s">
        <v>45</v>
      </c>
      <c r="E43" s="19"/>
      <c r="F43" s="191"/>
      <c r="G43" s="20"/>
      <c r="H43" s="652" t="s">
        <v>405</v>
      </c>
      <c r="I43" s="101" t="s">
        <v>45</v>
      </c>
      <c r="J43" s="95"/>
      <c r="K43" s="100"/>
      <c r="L43" s="418">
        <f t="shared" si="4"/>
        <v>0</v>
      </c>
      <c r="M43" s="759" t="str">
        <f>(IFERROR(L43/B_KZP_Gesamtkalkulation!$K$6,""))</f>
        <v/>
      </c>
      <c r="N43" s="173"/>
      <c r="O43" s="1169"/>
      <c r="P43" s="1170"/>
      <c r="Q43" s="1170"/>
      <c r="R43" s="1171"/>
      <c r="T43" s="315" t="s">
        <v>268</v>
      </c>
      <c r="U43" s="315"/>
      <c r="V43" s="315"/>
      <c r="W43" s="315" t="s">
        <v>269</v>
      </c>
    </row>
    <row r="44" spans="1:30" x14ac:dyDescent="0.25">
      <c r="A44" s="285"/>
      <c r="B44" s="99"/>
      <c r="C44" s="95" t="s">
        <v>154</v>
      </c>
      <c r="D44" s="95"/>
      <c r="E44" s="100"/>
      <c r="F44" s="106">
        <f>SUM(F34:F43)</f>
        <v>0</v>
      </c>
      <c r="G44" s="20"/>
      <c r="H44" s="97"/>
      <c r="I44" s="80" t="s">
        <v>154</v>
      </c>
      <c r="J44" s="80"/>
      <c r="K44" s="80"/>
      <c r="L44" s="419">
        <f>SUM(L34:L43)</f>
        <v>0</v>
      </c>
      <c r="M44" s="345">
        <f>SUM(M34:M43)</f>
        <v>0</v>
      </c>
      <c r="N44" s="173"/>
      <c r="O44" s="1169"/>
      <c r="P44" s="1170"/>
      <c r="Q44" s="1170"/>
      <c r="R44" s="1171"/>
      <c r="U44" s="312">
        <v>0</v>
      </c>
      <c r="V44" s="312" t="s">
        <v>274</v>
      </c>
      <c r="W44" s="314">
        <v>0</v>
      </c>
    </row>
    <row r="45" spans="1:30" ht="3" customHeight="1" x14ac:dyDescent="0.25">
      <c r="A45" s="118"/>
      <c r="H45" s="20"/>
      <c r="L45" s="420"/>
      <c r="M45" s="287"/>
      <c r="O45" s="1172"/>
      <c r="P45" s="1173"/>
      <c r="Q45" s="1173"/>
      <c r="R45" s="1174"/>
      <c r="U45" s="302" t="s">
        <v>270</v>
      </c>
    </row>
    <row r="46" spans="1:30" x14ac:dyDescent="0.25">
      <c r="A46" s="118"/>
      <c r="B46" s="134" t="s">
        <v>163</v>
      </c>
      <c r="C46" s="135"/>
      <c r="D46" s="135"/>
      <c r="E46" s="135"/>
      <c r="F46" s="534" t="s">
        <v>353</v>
      </c>
      <c r="H46" s="134" t="s">
        <v>163</v>
      </c>
      <c r="I46" s="135"/>
      <c r="J46" s="135"/>
      <c r="K46" s="135"/>
      <c r="L46" s="534" t="s">
        <v>353</v>
      </c>
      <c r="M46" s="338"/>
      <c r="N46" s="295"/>
      <c r="O46" s="1177" t="s">
        <v>244</v>
      </c>
      <c r="P46" s="1178"/>
      <c r="Q46" s="1178"/>
      <c r="R46" s="1179"/>
      <c r="U46" s="302" t="s">
        <v>275</v>
      </c>
      <c r="W46" s="302" t="s">
        <v>271</v>
      </c>
    </row>
    <row r="47" spans="1:30" x14ac:dyDescent="0.25">
      <c r="A47" s="286"/>
      <c r="B47" s="136" t="s">
        <v>164</v>
      </c>
      <c r="C47" t="s">
        <v>28</v>
      </c>
      <c r="E47" s="19"/>
      <c r="F47" s="192"/>
      <c r="G47" s="20"/>
      <c r="H47" s="136" t="s">
        <v>164</v>
      </c>
      <c r="I47" t="s">
        <v>28</v>
      </c>
      <c r="K47" s="125"/>
      <c r="L47" s="421">
        <f>IF($M$46&lt;&gt;0,F47*(100%+$M$46),F47)</f>
        <v>0</v>
      </c>
      <c r="M47" s="759" t="str">
        <f>(IFERROR(L47/B_KZP_Gesamtkalkulation!$K$6,""))</f>
        <v/>
      </c>
      <c r="N47" s="173"/>
      <c r="O47" s="1166"/>
      <c r="P47" s="1167"/>
      <c r="Q47" s="1167"/>
      <c r="R47" s="1168"/>
      <c r="U47" s="302" t="s">
        <v>276</v>
      </c>
      <c r="W47" s="302" t="s">
        <v>272</v>
      </c>
    </row>
    <row r="48" spans="1:30" x14ac:dyDescent="0.25">
      <c r="A48" s="286"/>
      <c r="B48" s="137" t="s">
        <v>165</v>
      </c>
      <c r="C48" s="95" t="s">
        <v>30</v>
      </c>
      <c r="D48" s="95"/>
      <c r="E48" s="100"/>
      <c r="F48" s="103"/>
      <c r="G48" s="20"/>
      <c r="H48" s="137" t="s">
        <v>165</v>
      </c>
      <c r="I48" s="95" t="s">
        <v>30</v>
      </c>
      <c r="J48" s="95"/>
      <c r="K48" s="124"/>
      <c r="L48" s="421">
        <f t="shared" ref="L48:L53" si="6">IF($M$46&lt;&gt;0,F48*(100%+$M$46),F48)</f>
        <v>0</v>
      </c>
      <c r="M48" s="759" t="str">
        <f>(IFERROR(L48/B_KZP_Gesamtkalkulation!$K$6,""))</f>
        <v/>
      </c>
      <c r="N48" s="173"/>
      <c r="O48" s="1169"/>
      <c r="P48" s="1170"/>
      <c r="Q48" s="1170"/>
      <c r="R48" s="1171"/>
      <c r="T48" s="313"/>
    </row>
    <row r="49" spans="1:32" x14ac:dyDescent="0.25">
      <c r="A49" s="286"/>
      <c r="B49" s="137" t="s">
        <v>166</v>
      </c>
      <c r="C49" s="99" t="s">
        <v>31</v>
      </c>
      <c r="D49" s="95"/>
      <c r="E49" s="100"/>
      <c r="F49" s="192"/>
      <c r="G49" s="20"/>
      <c r="H49" s="137" t="s">
        <v>166</v>
      </c>
      <c r="I49" s="99" t="s">
        <v>31</v>
      </c>
      <c r="K49" s="125"/>
      <c r="L49" s="421">
        <f t="shared" si="6"/>
        <v>0</v>
      </c>
      <c r="M49" s="759" t="str">
        <f>(IFERROR(L49/B_KZP_Gesamtkalkulation!$K$6,""))</f>
        <v/>
      </c>
      <c r="N49" s="173"/>
      <c r="O49" s="1169"/>
      <c r="P49" s="1170"/>
      <c r="Q49" s="1170"/>
      <c r="R49" s="1171"/>
      <c r="T49" s="302" t="s">
        <v>266</v>
      </c>
    </row>
    <row r="50" spans="1:32" x14ac:dyDescent="0.25">
      <c r="A50" s="286"/>
      <c r="B50" s="137" t="s">
        <v>167</v>
      </c>
      <c r="C50" t="s">
        <v>29</v>
      </c>
      <c r="D50" s="21"/>
      <c r="E50" s="94"/>
      <c r="F50" s="103"/>
      <c r="G50" s="20"/>
      <c r="H50" s="137" t="s">
        <v>167</v>
      </c>
      <c r="I50" t="s">
        <v>29</v>
      </c>
      <c r="J50" s="21"/>
      <c r="K50" s="437"/>
      <c r="L50" s="421">
        <f t="shared" si="6"/>
        <v>0</v>
      </c>
      <c r="M50" s="759" t="str">
        <f>(IFERROR(L50/B_KZP_Gesamtkalkulation!$K$6,""))</f>
        <v/>
      </c>
      <c r="N50" s="173"/>
      <c r="O50" s="1169"/>
      <c r="P50" s="1170"/>
      <c r="Q50" s="1170"/>
      <c r="R50" s="1171"/>
    </row>
    <row r="51" spans="1:32" x14ac:dyDescent="0.25">
      <c r="A51" s="286"/>
      <c r="B51" s="137" t="s">
        <v>168</v>
      </c>
      <c r="C51" s="99" t="s">
        <v>408</v>
      </c>
      <c r="D51" s="95"/>
      <c r="E51" s="100"/>
      <c r="F51" s="192"/>
      <c r="G51" s="20"/>
      <c r="H51" s="137" t="s">
        <v>168</v>
      </c>
      <c r="I51" s="99" t="s">
        <v>408</v>
      </c>
      <c r="J51" s="95"/>
      <c r="K51" s="438"/>
      <c r="L51" s="421">
        <f t="shared" si="6"/>
        <v>0</v>
      </c>
      <c r="M51" s="759" t="str">
        <f>(IFERROR(L51/B_KZP_Gesamtkalkulation!$K$6,""))</f>
        <v/>
      </c>
      <c r="N51" s="173"/>
      <c r="O51" s="1169"/>
      <c r="P51" s="1170"/>
      <c r="Q51" s="1170"/>
      <c r="R51" s="1171"/>
    </row>
    <row r="52" spans="1:32" x14ac:dyDescent="0.25">
      <c r="A52" s="286"/>
      <c r="B52" s="137" t="s">
        <v>169</v>
      </c>
      <c r="C52" s="1145"/>
      <c r="D52" s="1146"/>
      <c r="E52" s="1147"/>
      <c r="F52" s="103"/>
      <c r="G52" s="20"/>
      <c r="H52" s="137" t="s">
        <v>169</v>
      </c>
      <c r="I52" s="99" t="str">
        <f>IF(C52&lt;&gt;"",C52,"")</f>
        <v/>
      </c>
      <c r="J52" s="95"/>
      <c r="K52" s="438"/>
      <c r="L52" s="421">
        <f t="shared" ref="L52" si="7">IF($M$46&lt;&gt;0,F52*(100%+$M$46),F52)</f>
        <v>0</v>
      </c>
      <c r="M52" s="759" t="str">
        <f>(IFERROR(L52/B_KZP_Gesamtkalkulation!$K$6,""))</f>
        <v/>
      </c>
      <c r="N52" s="173"/>
      <c r="O52" s="1169"/>
      <c r="P52" s="1170"/>
      <c r="Q52" s="1170"/>
      <c r="R52" s="1171"/>
    </row>
    <row r="53" spans="1:32" x14ac:dyDescent="0.25">
      <c r="A53" s="286"/>
      <c r="B53" s="137" t="s">
        <v>392</v>
      </c>
      <c r="C53" s="1142"/>
      <c r="D53" s="1143"/>
      <c r="E53" s="1144"/>
      <c r="F53" s="192"/>
      <c r="G53" s="20"/>
      <c r="H53" s="137" t="s">
        <v>392</v>
      </c>
      <c r="I53" s="99" t="str">
        <f>IF(C53&lt;&gt;"",C53,"")</f>
        <v/>
      </c>
      <c r="K53" s="125"/>
      <c r="L53" s="421">
        <f t="shared" si="6"/>
        <v>0</v>
      </c>
      <c r="M53" s="759" t="str">
        <f>(IFERROR(L53/B_KZP_Gesamtkalkulation!$K$6,""))</f>
        <v/>
      </c>
      <c r="N53" s="173"/>
      <c r="O53" s="1169"/>
      <c r="P53" s="1170"/>
      <c r="Q53" s="1170"/>
      <c r="R53" s="1171"/>
    </row>
    <row r="54" spans="1:32" x14ac:dyDescent="0.25">
      <c r="A54" s="285"/>
      <c r="B54" s="97"/>
      <c r="C54" s="95" t="s">
        <v>154</v>
      </c>
      <c r="D54" s="95"/>
      <c r="E54" s="100"/>
      <c r="F54" s="105">
        <f>SUM(F47:F53)</f>
        <v>0</v>
      </c>
      <c r="G54" s="287"/>
      <c r="H54" s="99"/>
      <c r="I54" s="99" t="s">
        <v>154</v>
      </c>
      <c r="J54" s="95"/>
      <c r="K54" s="95"/>
      <c r="L54" s="419">
        <f>SUM(L47:L53)</f>
        <v>0</v>
      </c>
      <c r="M54" s="345">
        <f>SUM(M47:M53)</f>
        <v>0</v>
      </c>
      <c r="N54" s="173"/>
      <c r="O54" s="1172"/>
      <c r="P54" s="1173"/>
      <c r="Q54" s="1173"/>
      <c r="R54" s="1174"/>
    </row>
    <row r="55" spans="1:32" ht="9" customHeight="1" x14ac:dyDescent="0.25">
      <c r="A55" s="20"/>
      <c r="F55" s="21"/>
      <c r="R55" s="19"/>
    </row>
    <row r="56" spans="1:32" ht="13.95" customHeight="1" x14ac:dyDescent="0.25">
      <c r="A56" s="20"/>
      <c r="R56" s="19"/>
    </row>
    <row r="57" spans="1:32" ht="13.95" customHeight="1" thickBot="1" x14ac:dyDescent="0.3">
      <c r="A57" s="20"/>
      <c r="B57" s="58" t="s">
        <v>471</v>
      </c>
      <c r="H57" s="58" t="s">
        <v>409</v>
      </c>
      <c r="R57" s="19"/>
    </row>
    <row r="58" spans="1:32" s="126" customFormat="1" x14ac:dyDescent="0.25">
      <c r="A58" s="288"/>
      <c r="B58" s="633" t="s">
        <v>472</v>
      </c>
      <c r="C58" s="813"/>
      <c r="D58" s="813"/>
      <c r="E58" s="813"/>
      <c r="F58" s="814"/>
      <c r="G58"/>
      <c r="H58" s="819" t="s">
        <v>410</v>
      </c>
      <c r="O58" s="1175"/>
      <c r="P58" s="1175"/>
      <c r="Q58" s="1175"/>
      <c r="R58" s="1176"/>
      <c r="T58" s="310"/>
      <c r="U58" s="302"/>
      <c r="V58" s="302"/>
      <c r="W58" s="302"/>
      <c r="X58" s="302"/>
      <c r="Y58" s="302"/>
      <c r="Z58" s="302"/>
      <c r="AA58" s="302"/>
      <c r="AB58" s="302"/>
      <c r="AC58" s="302"/>
      <c r="AD58" s="302"/>
      <c r="AE58" s="305"/>
      <c r="AF58" s="305"/>
    </row>
    <row r="59" spans="1:32" s="126" customFormat="1" ht="14.4" customHeight="1" x14ac:dyDescent="0.3">
      <c r="A59" s="288"/>
      <c r="B59" s="812" t="s">
        <v>46</v>
      </c>
      <c r="C59" s="131" t="s">
        <v>47</v>
      </c>
      <c r="D59" s="131" t="s">
        <v>48</v>
      </c>
      <c r="E59" s="131" t="s">
        <v>49</v>
      </c>
      <c r="F59" s="132" t="s">
        <v>50</v>
      </c>
      <c r="G59" s="109"/>
      <c r="H59" s="634" t="s">
        <v>351</v>
      </c>
      <c r="L59" s="130"/>
      <c r="N59" s="130"/>
      <c r="O59" s="1024"/>
      <c r="P59" s="1025"/>
      <c r="Q59" s="1025"/>
      <c r="R59" s="1026"/>
      <c r="T59" s="311"/>
      <c r="U59" s="311"/>
      <c r="V59" s="304"/>
      <c r="W59" s="304"/>
      <c r="X59" s="311"/>
      <c r="Y59" s="304"/>
      <c r="Z59" s="302"/>
      <c r="AA59" s="302"/>
      <c r="AB59" s="302"/>
      <c r="AC59" s="302"/>
      <c r="AD59" s="302"/>
      <c r="AE59" s="305"/>
      <c r="AF59" s="305"/>
    </row>
    <row r="60" spans="1:32" ht="14.4" thickBot="1" x14ac:dyDescent="0.3">
      <c r="A60" s="20"/>
      <c r="B60" s="815"/>
      <c r="C60" s="816"/>
      <c r="D60" s="816"/>
      <c r="E60" s="816"/>
      <c r="F60" s="817"/>
      <c r="G60" s="109"/>
      <c r="H60" s="635">
        <f>IFERROR(B_KZP_Gesamtkalkulation!H46,0)</f>
        <v>0</v>
      </c>
      <c r="O60" s="1025"/>
      <c r="P60" s="1025"/>
      <c r="Q60" s="1025"/>
      <c r="R60" s="1026"/>
      <c r="U60" s="312"/>
      <c r="W60" s="312"/>
      <c r="X60" s="312"/>
    </row>
    <row r="61" spans="1:32" ht="13.95" customHeight="1" thickBot="1" x14ac:dyDescent="0.3">
      <c r="A61" s="20"/>
      <c r="O61" s="1025"/>
      <c r="P61" s="1025"/>
      <c r="Q61" s="1025"/>
      <c r="R61" s="1026"/>
    </row>
    <row r="62" spans="1:32" ht="13.95" customHeight="1" x14ac:dyDescent="0.25">
      <c r="A62" s="20"/>
      <c r="B62" s="1139" t="s">
        <v>171</v>
      </c>
      <c r="C62" s="1140"/>
      <c r="D62" s="1141"/>
      <c r="H62" s="1154" t="s">
        <v>171</v>
      </c>
      <c r="I62" s="1140"/>
      <c r="J62" s="1141"/>
      <c r="O62" s="1025"/>
      <c r="P62" s="1025"/>
      <c r="Q62" s="1025"/>
      <c r="R62" s="1026"/>
    </row>
    <row r="63" spans="1:32" ht="13.95" customHeight="1" x14ac:dyDescent="0.25">
      <c r="A63" s="20"/>
      <c r="B63" s="131" t="s">
        <v>170</v>
      </c>
      <c r="C63" s="131" t="s">
        <v>393</v>
      </c>
      <c r="D63" s="132" t="s">
        <v>352</v>
      </c>
      <c r="H63" s="812" t="s">
        <v>170</v>
      </c>
      <c r="I63" s="131" t="s">
        <v>393</v>
      </c>
      <c r="J63" s="132" t="s">
        <v>352</v>
      </c>
      <c r="O63" s="1025"/>
      <c r="P63" s="1025"/>
      <c r="Q63" s="1025"/>
      <c r="R63" s="1026"/>
    </row>
    <row r="64" spans="1:32" ht="13.95" customHeight="1" thickBot="1" x14ac:dyDescent="0.3">
      <c r="A64" s="20"/>
      <c r="B64" s="816"/>
      <c r="C64" s="816"/>
      <c r="D64" s="817"/>
      <c r="H64" s="820">
        <f>IFERROR(B_KZP_Gesamtkalkulation!I46,0)</f>
        <v>0</v>
      </c>
      <c r="I64" s="107">
        <f>IFERROR(B_KZP_Gesamtkalkulation!J46,0)</f>
        <v>0</v>
      </c>
      <c r="J64" s="108">
        <f>IFERROR(B_KZP_Gesamtkalkulation!K46,0)</f>
        <v>0</v>
      </c>
      <c r="O64" s="1025"/>
      <c r="P64" s="1025"/>
      <c r="Q64" s="1025"/>
      <c r="R64" s="1026"/>
    </row>
    <row r="65" spans="1:34" ht="13.95" customHeight="1" x14ac:dyDescent="0.25">
      <c r="A65" s="20"/>
      <c r="O65" s="1025"/>
      <c r="P65" s="1025"/>
      <c r="Q65" s="1025"/>
      <c r="R65" s="1026"/>
    </row>
    <row r="66" spans="1:34" x14ac:dyDescent="0.25">
      <c r="A66" s="20"/>
      <c r="B66" s="133"/>
      <c r="H66" s="617" t="s">
        <v>380</v>
      </c>
      <c r="I66" s="217"/>
      <c r="J66" s="217"/>
      <c r="K66" s="217"/>
      <c r="L66" s="620"/>
      <c r="M66" s="619" t="str">
        <f>IF(L66&lt;&gt;"ja","Bitte Anwesenheit Pflegefachkraft bestätigen.","")</f>
        <v>Bitte Anwesenheit Pflegefachkraft bestätigen.</v>
      </c>
      <c r="O66" s="1025"/>
      <c r="P66" s="1025"/>
      <c r="Q66" s="1025"/>
      <c r="R66" s="1026"/>
    </row>
    <row r="67" spans="1:34" x14ac:dyDescent="0.25">
      <c r="A67" s="20"/>
      <c r="B67" s="133" t="s">
        <v>198</v>
      </c>
      <c r="O67" s="1025"/>
      <c r="P67" s="1025"/>
      <c r="Q67" s="1025"/>
      <c r="R67" s="1026"/>
    </row>
    <row r="68" spans="1:34" s="127" customFormat="1" ht="66" customHeight="1" x14ac:dyDescent="0.25">
      <c r="A68" s="141"/>
      <c r="B68" s="80"/>
      <c r="C68" s="139"/>
      <c r="H68" s="80"/>
      <c r="I68" s="139"/>
      <c r="J68" s="139"/>
      <c r="K68" s="139"/>
      <c r="L68" s="139"/>
      <c r="O68" s="1025"/>
      <c r="P68" s="1025"/>
      <c r="Q68" s="1025"/>
      <c r="R68" s="1026"/>
      <c r="T68" s="304"/>
      <c r="U68" s="302"/>
      <c r="V68" s="302"/>
      <c r="W68" s="302"/>
      <c r="X68" s="302"/>
      <c r="Y68" s="302"/>
      <c r="Z68" s="302"/>
      <c r="AA68" s="302"/>
      <c r="AB68" s="302"/>
      <c r="AC68" s="302"/>
      <c r="AD68" s="302"/>
      <c r="AE68" s="302"/>
      <c r="AF68" s="302"/>
      <c r="AG68"/>
      <c r="AH68"/>
    </row>
    <row r="69" spans="1:34" x14ac:dyDescent="0.25">
      <c r="A69" s="20"/>
      <c r="B69" t="s">
        <v>172</v>
      </c>
      <c r="H69" s="45" t="s">
        <v>197</v>
      </c>
      <c r="R69" s="19"/>
    </row>
    <row r="70" spans="1:34" s="140" customFormat="1" ht="11.4" x14ac:dyDescent="0.2">
      <c r="A70" s="289"/>
      <c r="B70" s="129"/>
      <c r="C70" s="129"/>
      <c r="D70" s="129"/>
      <c r="E70" s="129"/>
      <c r="F70" s="129"/>
      <c r="G70" s="129"/>
      <c r="H70" s="129"/>
      <c r="I70" s="129"/>
      <c r="J70" s="129"/>
      <c r="K70" s="129"/>
      <c r="L70" s="129"/>
      <c r="M70" s="129"/>
      <c r="N70" s="129"/>
      <c r="O70" s="129"/>
      <c r="P70" s="129"/>
      <c r="Q70" s="129"/>
      <c r="R70" s="209"/>
      <c r="T70" s="306"/>
      <c r="U70" s="306"/>
      <c r="V70" s="306"/>
      <c r="W70" s="306"/>
      <c r="X70" s="306"/>
      <c r="Y70" s="306"/>
      <c r="Z70" s="306"/>
      <c r="AA70" s="306"/>
      <c r="AB70" s="306"/>
      <c r="AC70" s="306"/>
      <c r="AD70" s="306"/>
      <c r="AE70" s="306"/>
      <c r="AF70" s="306"/>
    </row>
    <row r="72" spans="1:34" x14ac:dyDescent="0.25">
      <c r="H72" s="1054" t="s">
        <v>445</v>
      </c>
      <c r="I72" s="1054"/>
      <c r="J72" s="1054"/>
      <c r="K72" s="1054"/>
      <c r="L72" s="1054"/>
      <c r="M72" s="1054"/>
      <c r="N72" s="1054"/>
    </row>
    <row r="73" spans="1:34" ht="6.6" customHeight="1" thickBot="1" x14ac:dyDescent="0.3">
      <c r="H73" s="602"/>
      <c r="I73" s="603"/>
      <c r="J73" s="603"/>
      <c r="K73" s="603"/>
      <c r="L73" s="603"/>
      <c r="M73" s="603"/>
      <c r="N73" s="603"/>
    </row>
    <row r="74" spans="1:34" ht="14.4" customHeight="1" thickBot="1" x14ac:dyDescent="0.3">
      <c r="H74" s="1120" t="s">
        <v>446</v>
      </c>
      <c r="I74" s="1148"/>
      <c r="J74" s="1148"/>
      <c r="K74" s="1148"/>
      <c r="L74" s="1148"/>
      <c r="M74" s="1148"/>
      <c r="N74" s="1149"/>
      <c r="O74" s="1023"/>
    </row>
    <row r="75" spans="1:34" x14ac:dyDescent="0.25">
      <c r="H75" s="601"/>
      <c r="N75" s="1023"/>
    </row>
    <row r="77" spans="1:34" x14ac:dyDescent="0.25">
      <c r="H77" s="326"/>
    </row>
  </sheetData>
  <sheetProtection algorithmName="SHA-512" hashValue="g0aXC8QK0wdRGsavWAWJRbY8CltTWsXTS62YMJDfcJ9hPHFnoEA1oTOtIIOrRE1p54iqaenR5PJS4F49Q91fGw==" saltValue="nSN28HKWn6T0dIswlTwy0A==" spinCount="100000" sheet="1" objects="1" scenarios="1" selectLockedCells="1"/>
  <customSheetViews>
    <customSheetView guid="{9119B1A0-FD79-4FE4-B78E-10E0AEB8080B}" showPageBreaks="1" showGridLines="0" fitToPage="1" printArea="1" hiddenColumns="1" view="pageLayout" topLeftCell="N58">
      <selection activeCell="D6" sqref="D6"/>
      <pageMargins left="0.39370078740157483" right="0.39370078740157483" top="0.78740157480314965" bottom="0.78740157480314965" header="0.31496062992125984" footer="0.31496062992125984"/>
      <pageSetup paperSize="9" scale="46" orientation="landscape" r:id="rId1"/>
      <headerFooter>
        <oddHeader>&amp;C&amp;9Seite 2</oddHeader>
        <oddFooter xml:space="preserve">&amp;LVersion: 21.06.2022&amp;CVerhandlungsunterlagen SGB XI (vereinfacht B1)&amp;RPSK-Beschluss Nr. 3-2022 vom 21.06.2022 </oddFooter>
      </headerFooter>
    </customSheetView>
  </customSheetViews>
  <mergeCells count="27">
    <mergeCell ref="V20:Y20"/>
    <mergeCell ref="T36:AD36"/>
    <mergeCell ref="T31:AC33"/>
    <mergeCell ref="O20:R20"/>
    <mergeCell ref="O22:R31"/>
    <mergeCell ref="H72:N72"/>
    <mergeCell ref="O34:R45"/>
    <mergeCell ref="O46:R46"/>
    <mergeCell ref="O33:R33"/>
    <mergeCell ref="H24:I24"/>
    <mergeCell ref="H28:I28"/>
    <mergeCell ref="B62:D62"/>
    <mergeCell ref="C53:E53"/>
    <mergeCell ref="C52:E52"/>
    <mergeCell ref="H74:N74"/>
    <mergeCell ref="A1:P1"/>
    <mergeCell ref="A2:P2"/>
    <mergeCell ref="H62:J62"/>
    <mergeCell ref="B30:C30"/>
    <mergeCell ref="H30:I30"/>
    <mergeCell ref="C4:D4"/>
    <mergeCell ref="C5:D5"/>
    <mergeCell ref="P4:Q4"/>
    <mergeCell ref="P5:Q5"/>
    <mergeCell ref="O21:R21"/>
    <mergeCell ref="O47:R54"/>
    <mergeCell ref="O58:R58"/>
  </mergeCells>
  <dataValidations xWindow="1571" yWindow="855" count="10">
    <dataValidation type="whole" allowBlank="1" showInputMessage="1" showErrorMessage="1" error="ganze Zahlen_x000a_ab 73 bis 100" promptTitle="je nach Zulassungsdatum" prompt="73% - für das 2. Jahr der Zulassung_x000a_mind. 78% bis 100% - nach Ablauf des 2. Jahres der Zulassung_x000a_" sqref="D7" xr:uid="{00000000-0002-0000-0400-000000000000}">
      <formula1>73</formula1>
      <formula2>100</formula2>
    </dataValidation>
    <dataValidation allowBlank="1" showErrorMessage="1" error="Forderung liegt über max. zu vereinbarenden Wert (17,90 €)" sqref="K21" xr:uid="{00000000-0002-0000-0400-000001000000}"/>
    <dataValidation type="custom" allowBlank="1" showInputMessage="1" showErrorMessage="1" errorTitle="Steigerungsrate" error="liegt über abgestimmten Prozentsatz. Bitte korrigieren." promptTitle="Steigerungsrate" prompt="einheitlich für Sachkosten" sqref="N33" xr:uid="{00000000-0002-0000-0400-000002000000}">
      <formula1>N33&lt;=5%</formula1>
    </dataValidation>
    <dataValidation type="custom" allowBlank="1" showInputMessage="1" showErrorMessage="1" errorTitle="Steigerungsrate" error="liegt über abgestimmten Prozentsatz, bitte korrigieren." promptTitle="Steigerungsrate" prompt="einheitlich für Fremdleistung" sqref="N46" xr:uid="{00000000-0002-0000-0400-000003000000}">
      <formula1>N46&lt;=7%</formula1>
    </dataValidation>
    <dataValidation type="list" allowBlank="1" showInputMessage="1" showErrorMessage="1" sqref="L66" xr:uid="{4CEEFA87-A9A9-4E92-869D-D50D13D1AF71}">
      <formula1>"ja"</formula1>
    </dataValidation>
    <dataValidation type="custom" allowBlank="1" showInputMessage="1" showErrorMessage="1" error="Eingabe nur mit 2 Nachkommastellen" sqref="I26" xr:uid="{60C45930-6C13-4E70-9A4E-8F8FB1B72D89}">
      <formula1>MOD(I26*100,1)=0</formula1>
    </dataValidation>
    <dataValidation type="whole" allowBlank="1" showInputMessage="1" showErrorMessage="1" error="Nur ganzzahlige Angaben sind zulässig." sqref="D30 J30" xr:uid="{2C44F09E-D634-415F-85B6-5658BFA9EA59}">
      <formula1>0</formula1>
      <formula2>100</formula2>
    </dataValidation>
    <dataValidation type="custom" allowBlank="1" showInputMessage="1" showErrorMessage="1" error="Eingabe nur mit 4 Nachkommastellen" sqref="J22" xr:uid="{47BFDC7E-8E04-4523-BA3F-641B8A684A8C}">
      <formula1>IFERROR((LEN(J22)-FIND(",",J22)),0)&lt;=4</formula1>
    </dataValidation>
    <dataValidation type="custom" allowBlank="1" showInputMessage="1" showErrorMessage="1" error="Die Angabe eines höheren als dem bisher vereinbarten Wert ist nicht möglich." prompt="Nur niedrigere Werte als bisher vereinbart möglich." sqref="J24 J28" xr:uid="{329F1DA8-FFE3-4403-8ED5-9A0E590D0476}">
      <formula1>J24&lt;=J23</formula1>
    </dataValidation>
    <dataValidation type="custom" allowBlank="1" showInputMessage="1" showErrorMessage="1" error="Eingabe nur mit 2 Nachkommastellen" sqref="C23:C24 C26:C29" xr:uid="{D3F6E4E4-3298-49B4-8834-C83182C3BCDD}">
      <formula1>IFERROR((LEN(C23)-FIND(",",C23)),0)&lt;=2</formula1>
    </dataValidation>
  </dataValidations>
  <hyperlinks>
    <hyperlink ref="H74" location="'Anlage 1'!A1" display="Anlage 1" xr:uid="{8BA38DA3-0D2F-437A-8A39-3A429D843535}"/>
    <hyperlink ref="H74:M74" location="B1_Gesamtkalkulation!A1" display="gehe weiter zu B1_Gesamtkalkulation" xr:uid="{2245451F-9D9E-426F-A5B9-1506D9A94602}"/>
    <hyperlink ref="H74:N74" location="B_KZP_Bewohnervertretung!A1" display="gehe weiter zu B_KZP_Bewohnervertretung" xr:uid="{5815D849-2173-4BDB-A08B-76A29A61D3B1}"/>
  </hyperlinks>
  <pageMargins left="0.39370078740157483" right="0.39370078740157483" top="0.78740157480314965" bottom="0.78740157480314965" header="0.31496062992125984" footer="0.31496062992125984"/>
  <pageSetup paperSize="9" scale="45" orientation="landscape"/>
  <headerFooter>
    <oddHeader>&amp;C&amp;9&amp;A</oddHeader>
    <oddFooter>&amp;LVersion: 19.10.2026&amp;CVerhandlungsunterlagen SGB XI (vereinfacht B_KZP)&amp;RPSK-Beschluss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1" id="{8BB9BB09-8A62-47E5-8745-78B146F04821}">
            <xm:f>KAT!$A$80="nein"</xm:f>
            <x14:dxf>
              <fill>
                <patternFill patternType="none">
                  <bgColor auto="1"/>
                </patternFill>
              </fill>
            </x14:dxf>
          </x14:cfRule>
          <xm:sqref>D8 B19:B20 K22 M66</xm:sqref>
        </x14:conditionalFormatting>
        <x14:conditionalFormatting xmlns:xm="http://schemas.microsoft.com/office/excel/2006/main">
          <x14:cfRule type="expression" priority="5" id="{1B48B386-46E8-4B05-B3AA-833DE4B80D17}">
            <xm:f>OR(AND(KAT!E8&lt;12,D7=KAT!E5*100),AND(KAT!E8&gt;=12,KAT!E8&lt;24,D7=KAT!E4*100),AND(KAT!E8&gt;=24,D7&gt;=KAT!E3*100))</xm:f>
            <x14:dxf>
              <font>
                <color theme="0"/>
              </font>
            </x14:dxf>
          </x14:cfRule>
          <xm:sqref>D8</xm:sqref>
        </x14:conditionalFormatting>
        <x14:conditionalFormatting xmlns:xm="http://schemas.microsoft.com/office/excel/2006/main">
          <x14:cfRule type="expression" priority="6" id="{83E30FA3-B7B6-422C-B2BE-11A441C7AC93}">
            <xm:f>'B_KZP_Allgemeine Angaben'!$N$58=0</xm:f>
            <x14:dxf>
              <font>
                <color theme="0"/>
              </font>
              <fill>
                <patternFill>
                  <fgColor theme="0"/>
                  <bgColor theme="0"/>
                </patternFill>
              </fill>
              <border>
                <left/>
                <right/>
                <top/>
                <bottom/>
              </border>
            </x14:dxf>
          </x14:cfRule>
          <xm:sqref>H72:N72</xm:sqref>
        </x14:conditionalFormatting>
        <x14:conditionalFormatting xmlns:xm="http://schemas.microsoft.com/office/excel/2006/main">
          <x14:cfRule type="expression" priority="7" id="{116218A5-D2E0-4843-B0E3-FC426DDDBC4B}">
            <xm:f>'B_KZP_Allgemeine Angaben'!$N$58=1</xm:f>
            <x14:dxf>
              <font>
                <color theme="0"/>
              </font>
              <fill>
                <patternFill>
                  <fgColor theme="0"/>
                  <bgColor theme="0"/>
                </patternFill>
              </fill>
              <border>
                <left/>
                <right/>
                <top/>
                <bottom/>
              </border>
            </x14:dxf>
          </x14:cfRule>
          <xm:sqref>H74:N74</xm:sqref>
        </x14:conditionalFormatting>
        <x14:conditionalFormatting xmlns:xm="http://schemas.microsoft.com/office/excel/2006/main">
          <x14:cfRule type="expression" priority="3" id="{344B3D84-A215-4299-B2A1-E134235A3028}">
            <xm:f>J22&gt;KAT!C12</xm:f>
            <x14:dxf>
              <font>
                <color rgb="FFFF0000"/>
              </font>
            </x14:dxf>
          </x14:cfRule>
          <xm:sqref>K22</xm:sqref>
        </x14:conditionalFormatting>
        <x14:conditionalFormatting xmlns:xm="http://schemas.microsoft.com/office/excel/2006/main">
          <x14:cfRule type="expression" priority="131" id="{117A7717-8C88-482D-95AF-D78805A9CEB3}">
            <xm:f>'B_KZP_Allgemeine Angaben'!$N$58=1</xm:f>
            <x14:dxf>
              <fill>
                <patternFill patternType="none">
                  <bgColor auto="1"/>
                </patternFill>
              </fill>
            </x14:dxf>
          </x14:cfRule>
          <xm:sqref>M23:M25</xm:sqref>
        </x14:conditionalFormatting>
      </x14:conditionalFormattings>
    </ext>
    <ext xmlns:x14="http://schemas.microsoft.com/office/spreadsheetml/2009/9/main" uri="{CCE6A557-97BC-4b89-ADB6-D9C93CAAB3DF}">
      <x14:dataValidations xmlns:xm="http://schemas.microsoft.com/office/excel/2006/main" xWindow="1571" yWindow="855" count="8">
        <x14:dataValidation type="custom" allowBlank="1" showInputMessage="1" showErrorMessage="1" error="Forderung liegt über max. Steigerungsrate:_x000a_* rüE bis 3,00% _x000a_* Tarifbindung / Tarifanlehnung bis 5,00%" xr:uid="{50F898E3-858F-4E4C-B9DE-4E697C019C8A}">
          <x14:formula1>
            <xm:f>M22&lt;=KAT!$L$30</xm:f>
          </x14:formula1>
          <xm:sqref>M25 M22:M23</xm:sqref>
        </x14:dataValidation>
        <x14:dataValidation type="custom" allowBlank="1" showInputMessage="1" showErrorMessage="1" error="Forderung liegt über max. Steigerungsrate_x000a_(10%)" xr:uid="{48D3C722-0E7B-45B2-BD0D-BA3369E5C1BB}">
          <x14:formula1>
            <xm:f>M24&lt;=KAT!$L$30</xm:f>
          </x14:formula1>
          <xm:sqref>M24</xm:sqref>
        </x14:dataValidation>
        <x14:dataValidation type="custom" allowBlank="1" showInputMessage="1" showErrorMessage="1" error="Forderung liegt über max. Steigerungsrate (5,00%)." xr:uid="{00000000-0002-0000-0400-000006000000}">
          <x14:formula1>
            <xm:f>M46&lt;=KAT!L38</xm:f>
          </x14:formula1>
          <xm:sqref>M46</xm:sqref>
        </x14:dataValidation>
        <x14:dataValidation type="custom" allowBlank="1" showInputMessage="1" showErrorMessage="1" error="Forderung liegt über max. Steigerungsrate (3,00%)._x000a_" xr:uid="{00000000-0002-0000-0400-000007000000}">
          <x14:formula1>
            <xm:f>M33&lt;=KAT!L37</xm:f>
          </x14:formula1>
          <xm:sqref>M33</xm:sqref>
        </x14:dataValidation>
        <x14:dataValidation type="custom" allowBlank="1" showInputMessage="1" showErrorMessage="1" error="Forderung liegt über max. Steigerungsrate (4,00%)." xr:uid="{00000000-0002-0000-0400-000008000000}">
          <x14:formula1>
            <xm:f>M30&lt;=KAT!L35</xm:f>
          </x14:formula1>
          <xm:sqref>M30</xm:sqref>
        </x14:dataValidation>
        <x14:dataValidation type="custom" allowBlank="1" showInputMessage="1" showErrorMessage="1" error="Forderung liegt über max. Steigerungsrate:_x000a_* rüE / Tarifanlehnung bis 5% _x000a_* Tarifbindung bis 10%" xr:uid="{4232A348-616A-40D1-B444-817B5ECFF401}">
          <x14:formula1>
            <xm:f>M28&lt;=KAT!L33</xm:f>
          </x14:formula1>
          <xm:sqref>M28:M29</xm:sqref>
        </x14:dataValidation>
        <x14:dataValidation type="custom" allowBlank="1" showInputMessage="1" showErrorMessage="1" error="Forderung liegt über max. Steigerungsrate:_x000a_* rüE bis 3,42% _x000a_* Tarifbindung / Tarifanlehnung bis 5,00%" xr:uid="{D4548AB0-2D32-4650-9838-AA3C909AE9C8}">
          <x14:formula1>
            <xm:f>M26&lt;=KAT!L31</xm:f>
          </x14:formula1>
          <xm:sqref>M26</xm:sqref>
        </x14:dataValidation>
        <x14:dataValidation type="custom" allowBlank="1" showInputMessage="1" showErrorMessage="1" error="Forderung liegt über max. Steigerungsrate:_x000a_* rüE bis 3,00% _x000a_* Tarifbindung / Tarifanlehnung bis 5,00%" xr:uid="{83AAFBFE-3EE9-4CE8-97EC-4FA66DE7F9E3}">
          <x14:formula1>
            <xm:f>M27&lt;=KAT!L32</xm:f>
          </x14:formula1>
          <xm:sqref>M27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46"/>
  <sheetViews>
    <sheetView showGridLines="0" topLeftCell="A9" zoomScaleNormal="100" workbookViewId="0">
      <selection activeCell="F29" sqref="F29"/>
    </sheetView>
  </sheetViews>
  <sheetFormatPr baseColWidth="10" defaultRowHeight="13.8" x14ac:dyDescent="0.25"/>
  <cols>
    <col min="1" max="1" width="3.8984375" customWidth="1"/>
    <col min="2" max="2" width="46.19921875" customWidth="1"/>
    <col min="3" max="7" width="15.59765625" customWidth="1"/>
    <col min="8" max="8" width="14.19921875" customWidth="1"/>
    <col min="9" max="10" width="11.59765625" customWidth="1"/>
    <col min="11" max="12" width="11" customWidth="1"/>
    <col min="13" max="13" width="5.59765625" customWidth="1"/>
    <col min="14" max="14" width="15.5" customWidth="1"/>
    <col min="15" max="15" width="15.3984375" customWidth="1"/>
    <col min="16" max="16" width="13.8984375" customWidth="1"/>
    <col min="17" max="18" width="11" customWidth="1"/>
    <col min="19" max="19" width="14.69921875" customWidth="1"/>
    <col min="20" max="20" width="12.59765625" customWidth="1"/>
    <col min="21" max="21" width="15" customWidth="1"/>
    <col min="22" max="23" width="14.5" customWidth="1"/>
    <col min="24" max="25" width="11.19921875" customWidth="1"/>
  </cols>
  <sheetData>
    <row r="1" spans="1:20" ht="28.5" customHeight="1" x14ac:dyDescent="0.25">
      <c r="A1" s="1101" t="str">
        <f>'B_KZP_Allgemeine Angaben'!A1:A1</f>
        <v>Vereinfachtes Verfahren der Aufforderung zum Abschluss einer Pflegesatzvereinbarung gemäß § 84, 85 SGB XI - Kurzzeitpflegeeinrichtungen</v>
      </c>
      <c r="B1" s="1102"/>
      <c r="C1" s="1102"/>
      <c r="D1" s="1102"/>
      <c r="E1" s="1102"/>
      <c r="F1" s="1102"/>
      <c r="G1" s="1102"/>
      <c r="H1" s="1102"/>
      <c r="I1" s="1102"/>
      <c r="J1" s="1102"/>
      <c r="K1" s="1102"/>
      <c r="L1" s="353"/>
      <c r="N1" s="290" t="s">
        <v>235</v>
      </c>
      <c r="O1" s="199"/>
      <c r="P1" s="199"/>
    </row>
    <row r="2" spans="1:20" x14ac:dyDescent="0.25">
      <c r="A2" s="354"/>
      <c r="B2" s="1105" t="s">
        <v>196</v>
      </c>
      <c r="C2" s="1105"/>
      <c r="D2" s="1105"/>
      <c r="E2" s="1105"/>
      <c r="F2" s="1105"/>
      <c r="G2" s="1105"/>
      <c r="H2" s="1105"/>
      <c r="I2" s="1105"/>
      <c r="J2" s="1105"/>
      <c r="K2" s="1105"/>
      <c r="L2" s="1106"/>
      <c r="N2" s="199"/>
      <c r="O2" s="199"/>
      <c r="P2" s="199"/>
    </row>
    <row r="3" spans="1:20" x14ac:dyDescent="0.25">
      <c r="A3" s="354"/>
      <c r="B3" s="477"/>
      <c r="C3" s="477"/>
      <c r="D3" s="477"/>
      <c r="E3" s="477"/>
      <c r="F3" s="477"/>
      <c r="G3" s="477"/>
      <c r="H3" s="477"/>
      <c r="I3" s="477"/>
      <c r="J3" s="477"/>
      <c r="K3" s="477"/>
      <c r="L3" s="357"/>
      <c r="N3" s="199"/>
      <c r="O3" s="199"/>
      <c r="P3" s="199"/>
    </row>
    <row r="4" spans="1:20" x14ac:dyDescent="0.25">
      <c r="A4" s="354"/>
      <c r="B4" s="178" t="s">
        <v>183</v>
      </c>
      <c r="C4" s="610">
        <f>'B_KZP_Allgemeine Angaben'!D12</f>
        <v>0</v>
      </c>
      <c r="D4" s="353"/>
      <c r="E4" s="477"/>
      <c r="F4" s="477"/>
      <c r="G4" s="477"/>
      <c r="H4" s="477"/>
      <c r="I4" s="355" t="str">
        <f>B_KZP_Kalkulation!N4</f>
        <v>Institutionskennzeichen:</v>
      </c>
      <c r="J4" s="356"/>
      <c r="K4" s="606">
        <f>'B_KZP_Allgemeine Angaben'!L6</f>
        <v>0</v>
      </c>
      <c r="L4" s="609"/>
      <c r="N4" s="199"/>
      <c r="O4" s="199"/>
      <c r="P4" s="199"/>
    </row>
    <row r="5" spans="1:20" x14ac:dyDescent="0.25">
      <c r="A5" s="354"/>
      <c r="B5" s="175" t="s">
        <v>184</v>
      </c>
      <c r="C5" s="611" t="str">
        <f>IF('B_KZP_Allgemeine Angaben'!D16&gt;0,CONCATENATE('B_KZP_Allgemeine Angaben'!D16," ",'B_KZP_Allgemeine Angaben'!J16),"")</f>
        <v/>
      </c>
      <c r="D5" s="93"/>
      <c r="E5" s="477"/>
      <c r="F5" s="477"/>
      <c r="G5" s="477"/>
      <c r="H5" s="477"/>
      <c r="I5" s="358" t="str">
        <f>B_KZP_Kalkulation!N5</f>
        <v>Antrag vom:</v>
      </c>
      <c r="J5" s="359"/>
      <c r="K5" s="360">
        <f>_xlfn.SINGLE('B_KZP_Allgemeine Angaben'!L4)</f>
        <v>0</v>
      </c>
      <c r="L5" s="357"/>
      <c r="N5" s="199"/>
      <c r="O5" s="199"/>
      <c r="P5" s="199"/>
      <c r="Q5" s="200"/>
      <c r="R5" s="200"/>
      <c r="S5" s="200"/>
    </row>
    <row r="6" spans="1:20" x14ac:dyDescent="0.25">
      <c r="A6" s="265"/>
      <c r="B6" s="266"/>
      <c r="C6" s="266"/>
      <c r="D6" s="266"/>
      <c r="E6" s="266"/>
      <c r="F6" s="266"/>
      <c r="G6" s="266"/>
      <c r="H6" s="266"/>
      <c r="I6" s="266"/>
      <c r="J6" s="266"/>
      <c r="K6" s="266"/>
      <c r="L6" s="272"/>
      <c r="N6" s="199"/>
      <c r="O6" s="199"/>
      <c r="P6" s="199"/>
      <c r="Q6" s="200"/>
      <c r="R6" s="200"/>
      <c r="S6" s="200"/>
    </row>
    <row r="7" spans="1:20" x14ac:dyDescent="0.25">
      <c r="A7" s="265"/>
      <c r="B7" s="321"/>
      <c r="C7" s="266"/>
      <c r="D7" s="266"/>
      <c r="E7" s="266"/>
      <c r="F7" s="266"/>
      <c r="G7" s="266"/>
      <c r="H7" s="266"/>
      <c r="I7" s="266"/>
      <c r="J7" s="266"/>
      <c r="K7" s="266"/>
      <c r="L7" s="272"/>
      <c r="N7" s="199"/>
      <c r="O7" s="199"/>
      <c r="P7" s="199"/>
      <c r="Q7" s="200"/>
      <c r="R7" s="200"/>
      <c r="S7" s="200"/>
    </row>
    <row r="8" spans="1:20" x14ac:dyDescent="0.25">
      <c r="A8" s="265"/>
      <c r="B8" s="321" t="str">
        <f>IF('B_KZP_Allgemeine Angaben'!N58=0,"Inhalte dieses Blattes nur bei Entlohnung nach regional üblichem Entgelt relevant.","")</f>
        <v>Inhalte dieses Blattes nur bei Entlohnung nach regional üblichem Entgelt relevant.</v>
      </c>
      <c r="C8" s="266"/>
      <c r="D8" s="266"/>
      <c r="E8" s="266"/>
      <c r="F8" s="266"/>
      <c r="G8" s="266"/>
      <c r="H8" s="266"/>
      <c r="I8" s="266"/>
      <c r="J8" s="266"/>
      <c r="K8" s="266"/>
      <c r="L8" s="272"/>
      <c r="N8" s="199"/>
      <c r="O8" s="199"/>
      <c r="P8" s="199"/>
      <c r="Q8" s="200"/>
      <c r="R8" s="200"/>
      <c r="S8" s="200"/>
    </row>
    <row r="9" spans="1:20" x14ac:dyDescent="0.25">
      <c r="A9" s="265"/>
      <c r="B9" s="321"/>
      <c r="C9" s="266"/>
      <c r="D9" s="266"/>
      <c r="E9" s="266"/>
      <c r="F9" s="266"/>
      <c r="G9" s="266"/>
      <c r="H9" s="266"/>
      <c r="I9" s="266"/>
      <c r="J9" s="266"/>
      <c r="K9" s="266"/>
      <c r="L9" s="272"/>
      <c r="N9" s="199"/>
      <c r="O9" s="199"/>
      <c r="P9" s="199"/>
      <c r="Q9" s="200"/>
      <c r="R9" s="200"/>
      <c r="S9" s="200"/>
    </row>
    <row r="10" spans="1:20" x14ac:dyDescent="0.25">
      <c r="A10" s="265"/>
      <c r="B10" s="266"/>
      <c r="C10" s="266"/>
      <c r="D10" s="266"/>
      <c r="E10" s="266"/>
      <c r="F10" s="266"/>
      <c r="G10" s="266"/>
      <c r="H10" s="266"/>
      <c r="I10" s="266"/>
      <c r="J10" s="266"/>
      <c r="K10" s="266"/>
      <c r="L10" s="272"/>
      <c r="N10" s="199"/>
      <c r="O10" s="199"/>
      <c r="P10" s="199"/>
      <c r="Q10" s="200"/>
      <c r="R10" s="200"/>
      <c r="S10" s="200"/>
    </row>
    <row r="11" spans="1:20" x14ac:dyDescent="0.25">
      <c r="A11" s="265"/>
      <c r="B11" s="266"/>
      <c r="C11" s="266"/>
      <c r="D11" s="266"/>
      <c r="E11" s="266"/>
      <c r="F11" s="266"/>
      <c r="G11" s="266"/>
      <c r="H11" s="266"/>
      <c r="I11" s="266"/>
      <c r="J11" s="266"/>
      <c r="K11" s="266"/>
      <c r="L11" s="272"/>
      <c r="N11" s="199"/>
      <c r="O11" s="199"/>
      <c r="P11" s="199"/>
      <c r="Q11" s="200"/>
      <c r="R11" s="200"/>
      <c r="S11" s="200"/>
    </row>
    <row r="12" spans="1:20" ht="60.75" customHeight="1" x14ac:dyDescent="0.25">
      <c r="A12" s="265"/>
      <c r="B12" s="1198" t="s">
        <v>178</v>
      </c>
      <c r="C12" s="1198" t="s">
        <v>174</v>
      </c>
      <c r="D12" s="361" t="s">
        <v>179</v>
      </c>
      <c r="E12" s="362" t="s">
        <v>180</v>
      </c>
      <c r="F12" s="363" t="s">
        <v>181</v>
      </c>
      <c r="G12" s="1201" t="s">
        <v>297</v>
      </c>
      <c r="H12" s="364" t="s">
        <v>192</v>
      </c>
      <c r="I12" s="364" t="s">
        <v>193</v>
      </c>
      <c r="J12" s="364" t="s">
        <v>200</v>
      </c>
      <c r="K12" s="266"/>
      <c r="L12" s="272"/>
      <c r="N12" s="1203" t="s">
        <v>231</v>
      </c>
      <c r="O12" s="1203"/>
      <c r="P12" s="1203"/>
      <c r="Q12" s="200"/>
      <c r="R12" s="200"/>
      <c r="S12" s="200"/>
    </row>
    <row r="13" spans="1:20" x14ac:dyDescent="0.25">
      <c r="A13" s="265"/>
      <c r="B13" s="1199"/>
      <c r="C13" s="1199"/>
      <c r="D13" s="365"/>
      <c r="E13" s="366"/>
      <c r="F13" s="367"/>
      <c r="G13" s="1202"/>
      <c r="H13" s="198">
        <v>0.21339999999999998</v>
      </c>
      <c r="I13" s="368">
        <v>0.02</v>
      </c>
      <c r="J13" s="368">
        <v>0.02</v>
      </c>
      <c r="K13" s="266"/>
      <c r="L13" s="272"/>
      <c r="N13" s="199"/>
      <c r="O13" s="199"/>
      <c r="P13" s="199"/>
      <c r="Q13" s="200"/>
      <c r="R13" s="200"/>
      <c r="S13" s="200"/>
    </row>
    <row r="14" spans="1:20" x14ac:dyDescent="0.25">
      <c r="A14" s="265"/>
      <c r="B14" s="478"/>
      <c r="C14" s="478"/>
      <c r="D14" s="266"/>
      <c r="E14" s="369"/>
      <c r="G14" s="479"/>
      <c r="H14" s="370"/>
      <c r="I14" s="480"/>
      <c r="J14" s="371"/>
      <c r="K14" s="266"/>
      <c r="L14" s="272"/>
      <c r="N14" s="195" t="s">
        <v>221</v>
      </c>
      <c r="O14" s="196" t="s">
        <v>219</v>
      </c>
      <c r="P14" s="197" t="s">
        <v>220</v>
      </c>
      <c r="Q14" s="201" t="s">
        <v>232</v>
      </c>
      <c r="R14" s="201"/>
      <c r="S14" s="201"/>
    </row>
    <row r="15" spans="1:20" ht="14.4" thickBot="1" x14ac:dyDescent="0.3">
      <c r="A15" s="265"/>
      <c r="B15" s="372" t="s">
        <v>438</v>
      </c>
      <c r="C15" s="373"/>
      <c r="D15" s="374"/>
      <c r="E15" s="194">
        <v>0.08</v>
      </c>
      <c r="F15" s="802">
        <f>KAT!B22</f>
        <v>8.5000000000000006E-2</v>
      </c>
      <c r="G15" s="274"/>
      <c r="H15" s="274"/>
      <c r="I15" s="274"/>
      <c r="J15" s="375"/>
      <c r="K15" s="266"/>
      <c r="L15" s="272"/>
      <c r="N15" s="202">
        <f>C37</f>
        <v>0</v>
      </c>
      <c r="O15" s="203">
        <f>D37</f>
        <v>0</v>
      </c>
      <c r="P15" s="204">
        <f>E37</f>
        <v>0</v>
      </c>
      <c r="Q15" s="1204" t="s">
        <v>174</v>
      </c>
      <c r="R15" s="1205"/>
      <c r="S15" s="1206"/>
    </row>
    <row r="16" spans="1:20" ht="14.4" thickTop="1" x14ac:dyDescent="0.25">
      <c r="A16" s="265"/>
      <c r="B16" s="540" t="s">
        <v>185</v>
      </c>
      <c r="C16" s="810"/>
      <c r="D16" s="541"/>
      <c r="E16" s="554"/>
      <c r="F16" s="542">
        <f>ROUND(IFERROR(E16*(100%+$F$15),0),2)</f>
        <v>0</v>
      </c>
      <c r="G16" s="543">
        <f>ROUND(IFERROR(F16*40*13/3*12,0),2)</f>
        <v>0</v>
      </c>
      <c r="H16" s="543">
        <f>(E16*40*13/3*12*$H$13)+G16</f>
        <v>0</v>
      </c>
      <c r="I16" s="544">
        <f>H16*(100%+$I$13)</f>
        <v>0</v>
      </c>
      <c r="J16" s="545">
        <f>I16*(100%+$J$13)</f>
        <v>0</v>
      </c>
      <c r="K16" s="266"/>
      <c r="L16" s="272"/>
      <c r="T16" s="417"/>
    </row>
    <row r="17" spans="1:20" x14ac:dyDescent="0.25">
      <c r="A17" s="265"/>
      <c r="B17" s="548" t="s">
        <v>186</v>
      </c>
      <c r="C17" s="811"/>
      <c r="D17" s="549"/>
      <c r="E17" s="555">
        <f>ROUND(IFERROR(D17*(100%+$E$15),0),2)</f>
        <v>0</v>
      </c>
      <c r="F17" s="550">
        <f>ROUND(IFERROR(E17*(100%+$F$15),0),2)</f>
        <v>0</v>
      </c>
      <c r="G17" s="551">
        <f>ROUND(IFERROR(F17*40*13/3*12,0),2)</f>
        <v>0</v>
      </c>
      <c r="H17" s="551">
        <f>(E17*40*13/3*12*$H$13)+G17</f>
        <v>0</v>
      </c>
      <c r="I17" s="552">
        <f>H17*(100%+$I$13)</f>
        <v>0</v>
      </c>
      <c r="J17" s="553">
        <f>I17*(100%+$J$13)</f>
        <v>0</v>
      </c>
      <c r="K17" s="266"/>
      <c r="L17" s="272"/>
      <c r="N17" s="352"/>
      <c r="O17" s="205"/>
      <c r="P17" s="206"/>
      <c r="Q17" s="207"/>
      <c r="R17" s="207"/>
      <c r="S17" s="207"/>
      <c r="T17" s="417"/>
    </row>
    <row r="18" spans="1:20" ht="26.4" thickBot="1" x14ac:dyDescent="0.3">
      <c r="A18" s="265"/>
      <c r="B18" s="546" t="s">
        <v>187</v>
      </c>
      <c r="C18" s="793"/>
      <c r="D18" s="547"/>
      <c r="E18" s="555">
        <f>ROUND(IFERROR(D18*(100%+$E$15),0),2)</f>
        <v>0</v>
      </c>
      <c r="F18" s="550">
        <f>ROUND(IFERROR(E18*(100%+$F$15),0),2)</f>
        <v>0</v>
      </c>
      <c r="G18" s="551">
        <f>ROUND(IFERROR(F18*40*13/3*12,0),2)</f>
        <v>0</v>
      </c>
      <c r="H18" s="551">
        <f>(E18*40*13/3*12*$H$13)+G18</f>
        <v>0</v>
      </c>
      <c r="I18" s="552">
        <f>H18*(100%+$I$13)</f>
        <v>0</v>
      </c>
      <c r="J18" s="561">
        <f>I18*(100%+$J$13)</f>
        <v>0</v>
      </c>
      <c r="K18" s="266"/>
      <c r="L18" s="272"/>
      <c r="N18" s="416">
        <f>(ROUND(E16*(100%+F15),2)+(E16*$H$13))*(100%+$I$13)*(100%+$J$13)*40*13/3*12*C16</f>
        <v>0</v>
      </c>
      <c r="O18" s="205">
        <f>(ROUND(E17*(100%+F15),2)+(E17*$H$13))*(100%+$I$13)*(100%+$J$13)*C17*40*13/3*12</f>
        <v>0</v>
      </c>
      <c r="P18" s="206">
        <f>(ROUND(E18*(100%+F15),2)+(E18*$H$13))*(100%+$I$13)*(100%+$J$13)*40*13/3*12*C18</f>
        <v>0</v>
      </c>
      <c r="Q18" s="207" t="s">
        <v>440</v>
      </c>
      <c r="R18" s="207"/>
      <c r="S18" s="207"/>
      <c r="T18" s="417"/>
    </row>
    <row r="19" spans="1:20" ht="14.4" thickBot="1" x14ac:dyDescent="0.3">
      <c r="A19" s="265"/>
      <c r="B19" s="386" t="s">
        <v>439</v>
      </c>
      <c r="C19" s="794"/>
      <c r="D19" s="391"/>
      <c r="E19" s="559">
        <f>IF(C18&lt;0,"Fehler",ROUND(IFERROR(((E18*C18+C17*E17+E16*C16)/C19),0),2))</f>
        <v>0</v>
      </c>
      <c r="F19" s="392">
        <f>ROUND(IFERROR(E19*(100%+$F$21),0),2)</f>
        <v>0</v>
      </c>
      <c r="G19" s="377">
        <f>ROUND(IFERROR(F19*40*13/3*12,0),2)</f>
        <v>0</v>
      </c>
      <c r="H19" s="377">
        <f>(E19*40*13/3*12*$H$13)+G19</f>
        <v>0</v>
      </c>
      <c r="I19" s="393">
        <f>H19*(100%+$I$13)</f>
        <v>0</v>
      </c>
      <c r="J19" s="378">
        <f>I19*(100%+$J$13)</f>
        <v>0</v>
      </c>
      <c r="K19" s="266"/>
      <c r="L19" s="272"/>
      <c r="N19" s="416"/>
      <c r="O19" s="205"/>
      <c r="P19" s="206"/>
      <c r="Q19" s="207"/>
      <c r="R19" s="207"/>
      <c r="S19" s="207"/>
      <c r="T19" s="417"/>
    </row>
    <row r="20" spans="1:20" ht="14.4" thickTop="1" x14ac:dyDescent="0.25">
      <c r="A20" s="265"/>
      <c r="B20" s="481"/>
      <c r="C20" s="795"/>
      <c r="D20" s="482"/>
      <c r="E20" s="560"/>
      <c r="G20" s="483"/>
      <c r="H20" s="267"/>
      <c r="I20" s="267"/>
      <c r="J20" s="277"/>
      <c r="K20" s="266"/>
      <c r="L20" s="272"/>
      <c r="N20" s="352">
        <f>(ROUND(E22*(100%+F21),2)+(E22*$H$13))*(100%+$I$13)*(100%+$J$13)*C22*40*13/3*12</f>
        <v>0</v>
      </c>
      <c r="O20" s="205">
        <f>(ROUND(E23*(100%+F21),2)+(E23*$H$13))*(100%+$I$13)*(100%+$J$13)*40*13/3*12*C23</f>
        <v>0</v>
      </c>
      <c r="P20" s="206">
        <f>(ROUND(E24*(100%+F21),2)+(E24*$H$13))*(100%+$I$13)*(100%+$J$13)*40*13/3*12*C24</f>
        <v>0</v>
      </c>
      <c r="Q20" s="208" t="s">
        <v>441</v>
      </c>
      <c r="R20" s="208"/>
      <c r="S20" s="208"/>
    </row>
    <row r="21" spans="1:20" ht="14.4" thickBot="1" x14ac:dyDescent="0.3">
      <c r="A21" s="265"/>
      <c r="B21" s="389" t="s">
        <v>182</v>
      </c>
      <c r="C21" s="796"/>
      <c r="D21" s="415"/>
      <c r="E21" s="194"/>
      <c r="F21" s="379">
        <f>KAT!B23</f>
        <v>4.1500000000000002E-2</v>
      </c>
      <c r="G21" s="380"/>
      <c r="H21" s="380"/>
      <c r="I21" s="380"/>
      <c r="J21" s="381"/>
      <c r="K21" s="266"/>
      <c r="L21" s="272"/>
      <c r="N21" s="467">
        <f>SUM(N17:N20)</f>
        <v>0</v>
      </c>
      <c r="O21" s="468">
        <f>SUM(O17:O20)</f>
        <v>0</v>
      </c>
      <c r="P21" s="469">
        <f>SUM(P17:P20)</f>
        <v>0</v>
      </c>
      <c r="Q21" s="1211" t="s">
        <v>442</v>
      </c>
      <c r="R21" s="1212"/>
      <c r="S21" s="1213"/>
    </row>
    <row r="22" spans="1:20" ht="15" thickTop="1" thickBot="1" x14ac:dyDescent="0.3">
      <c r="A22" s="265"/>
      <c r="B22" s="382" t="s">
        <v>185</v>
      </c>
      <c r="C22" s="810"/>
      <c r="D22" s="412"/>
      <c r="E22" s="556">
        <f>ROUND(IFERROR(D22*(100%+$E$21),0),2)</f>
        <v>0</v>
      </c>
      <c r="F22" s="273"/>
      <c r="G22" s="267"/>
      <c r="H22" s="267"/>
      <c r="I22" s="267"/>
      <c r="J22" s="383"/>
      <c r="K22" s="266"/>
      <c r="L22" s="272"/>
      <c r="N22" s="465" t="e">
        <f>N21/N15</f>
        <v>#DIV/0!</v>
      </c>
      <c r="O22" s="470" t="e">
        <f>O21/O15</f>
        <v>#DIV/0!</v>
      </c>
      <c r="P22" s="466" t="e">
        <f>P21/P15</f>
        <v>#DIV/0!</v>
      </c>
      <c r="Q22" s="1208" t="s">
        <v>328</v>
      </c>
      <c r="R22" s="1209"/>
      <c r="S22" s="1210"/>
    </row>
    <row r="23" spans="1:20" ht="14.4" thickTop="1" x14ac:dyDescent="0.25">
      <c r="A23" s="265"/>
      <c r="B23" s="384" t="s">
        <v>186</v>
      </c>
      <c r="C23" s="811"/>
      <c r="D23" s="413"/>
      <c r="E23" s="557">
        <f>ROUND(IFERROR(D23*(100%+$E$21),0),2)</f>
        <v>0</v>
      </c>
      <c r="F23" s="273"/>
      <c r="G23" s="267"/>
      <c r="H23" s="267"/>
      <c r="I23" s="267"/>
      <c r="J23" s="383"/>
      <c r="K23" s="266"/>
      <c r="L23" s="272"/>
      <c r="N23" s="200"/>
      <c r="O23" s="200"/>
      <c r="P23" s="200"/>
      <c r="Q23" s="200"/>
      <c r="R23" s="200"/>
      <c r="S23" s="200"/>
    </row>
    <row r="24" spans="1:20" ht="26.4" thickBot="1" x14ac:dyDescent="0.3">
      <c r="A24" s="265"/>
      <c r="B24" s="385" t="s">
        <v>187</v>
      </c>
      <c r="C24" s="793">
        <f>C25-C22-C23</f>
        <v>0</v>
      </c>
      <c r="D24" s="414"/>
      <c r="E24" s="558">
        <f>ROUND(IFERROR(D24*(100%+$E$21),0),2)</f>
        <v>0</v>
      </c>
      <c r="F24" s="390"/>
      <c r="G24" s="376"/>
      <c r="H24" s="376"/>
      <c r="I24" s="376"/>
      <c r="J24" s="383"/>
      <c r="K24" s="266"/>
      <c r="L24" s="272"/>
      <c r="N24" s="200"/>
      <c r="O24" s="200"/>
      <c r="P24" s="200"/>
      <c r="Q24" s="200"/>
      <c r="R24" s="200"/>
      <c r="S24" s="200"/>
    </row>
    <row r="25" spans="1:20" ht="14.4" thickBot="1" x14ac:dyDescent="0.3">
      <c r="A25" s="265"/>
      <c r="B25" s="386" t="s">
        <v>201</v>
      </c>
      <c r="C25" s="794">
        <f>IFERROR(B_KZP_Kalkulation!J25,0)</f>
        <v>0</v>
      </c>
      <c r="D25" s="391"/>
      <c r="E25" s="559">
        <f>IF(C24&lt;0,"Fehler",ROUND(IFERROR(((E24*C24+C23*E23+E22*C22)/C25),0),2))</f>
        <v>0</v>
      </c>
      <c r="F25" s="392">
        <f>ROUND(IFERROR(E25*(100%+$F$21),0),2)</f>
        <v>0</v>
      </c>
      <c r="G25" s="377">
        <f>ROUND(IFERROR(F25*40*13/3*12,0),2)</f>
        <v>0</v>
      </c>
      <c r="H25" s="377">
        <f>(E25*40*13/3*12*$H$13)+G25</f>
        <v>0</v>
      </c>
      <c r="I25" s="393">
        <f>H25*(100%+$I$13)</f>
        <v>0</v>
      </c>
      <c r="J25" s="378">
        <f>I25*(100%+$J$13)</f>
        <v>0</v>
      </c>
      <c r="K25" s="266"/>
      <c r="L25" s="272"/>
      <c r="N25" s="200"/>
      <c r="O25" s="200"/>
      <c r="P25" s="200"/>
      <c r="Q25" s="200"/>
      <c r="R25" s="200"/>
      <c r="S25" s="200"/>
    </row>
    <row r="26" spans="1:20" ht="14.4" thickTop="1" x14ac:dyDescent="0.25">
      <c r="A26" s="265"/>
      <c r="B26" s="387"/>
      <c r="C26" s="388"/>
      <c r="D26" s="266"/>
      <c r="E26" s="266"/>
      <c r="F26" s="266"/>
      <c r="G26" s="266"/>
      <c r="H26" s="266"/>
      <c r="I26" s="266"/>
      <c r="J26" s="266"/>
      <c r="K26" s="266"/>
      <c r="L26" s="272"/>
      <c r="N26" s="200"/>
      <c r="O26" s="200"/>
      <c r="P26" s="200"/>
      <c r="Q26" s="200"/>
      <c r="R26" s="200"/>
      <c r="S26" s="200"/>
    </row>
    <row r="27" spans="1:20" x14ac:dyDescent="0.25">
      <c r="A27" s="265"/>
      <c r="B27" s="266"/>
      <c r="C27" s="266"/>
      <c r="D27" s="266"/>
      <c r="E27" s="266"/>
      <c r="F27" s="266"/>
      <c r="G27" s="266"/>
      <c r="H27" s="266"/>
      <c r="I27" s="266"/>
      <c r="J27" s="266"/>
      <c r="K27" s="266"/>
      <c r="L27" s="272"/>
      <c r="N27" s="200"/>
      <c r="O27" s="200"/>
      <c r="P27" s="200"/>
      <c r="Q27" s="200"/>
      <c r="R27" s="200"/>
      <c r="S27" s="200"/>
    </row>
    <row r="28" spans="1:20" x14ac:dyDescent="0.25">
      <c r="A28" s="265"/>
      <c r="B28" s="484" t="s">
        <v>397</v>
      </c>
      <c r="C28" s="266"/>
      <c r="D28" s="266"/>
      <c r="E28" s="479"/>
      <c r="F28" s="266"/>
      <c r="G28" s="266"/>
      <c r="H28" s="266"/>
      <c r="I28" s="266"/>
      <c r="J28" s="266"/>
      <c r="K28" s="266"/>
      <c r="L28" s="272"/>
      <c r="N28" s="200"/>
      <c r="O28" s="200"/>
      <c r="P28" s="200"/>
      <c r="Q28" s="200"/>
      <c r="R28" s="200"/>
      <c r="S28" s="200"/>
    </row>
    <row r="29" spans="1:20" s="127" customFormat="1" ht="14.4" thickBot="1" x14ac:dyDescent="0.3">
      <c r="A29" s="265"/>
      <c r="B29" s="485"/>
      <c r="C29" s="270"/>
      <c r="D29" s="270"/>
      <c r="E29" s="270"/>
      <c r="F29" s="270"/>
      <c r="G29" s="270"/>
      <c r="H29" s="266"/>
      <c r="I29" s="266"/>
      <c r="J29" s="266"/>
      <c r="K29" s="266"/>
      <c r="L29" s="272"/>
      <c r="N29" s="200"/>
      <c r="O29" s="200"/>
      <c r="P29" s="200"/>
      <c r="Q29" s="200"/>
      <c r="R29" s="200"/>
      <c r="S29" s="200"/>
    </row>
    <row r="30" spans="1:20" s="127" customFormat="1" x14ac:dyDescent="0.25">
      <c r="A30" s="265"/>
      <c r="B30" s="1196" t="s">
        <v>449</v>
      </c>
      <c r="C30" s="394" t="s">
        <v>221</v>
      </c>
      <c r="D30" s="394" t="s">
        <v>219</v>
      </c>
      <c r="E30" s="395" t="s">
        <v>220</v>
      </c>
      <c r="F30" s="270"/>
      <c r="G30" s="270"/>
      <c r="H30" s="486"/>
      <c r="I30" s="266"/>
      <c r="J30" s="266"/>
      <c r="K30" s="266"/>
      <c r="L30" s="272"/>
      <c r="N30" s="200"/>
      <c r="O30" s="200"/>
      <c r="P30" s="200"/>
      <c r="Q30" s="200"/>
      <c r="R30" s="200"/>
      <c r="S30" s="200"/>
    </row>
    <row r="31" spans="1:20" s="127" customFormat="1" ht="27" thickBot="1" x14ac:dyDescent="0.3">
      <c r="A31" s="265"/>
      <c r="B31" s="1197"/>
      <c r="C31" s="396" t="s">
        <v>222</v>
      </c>
      <c r="D31" s="397" t="s">
        <v>223</v>
      </c>
      <c r="E31" s="398" t="s">
        <v>224</v>
      </c>
      <c r="F31" s="270"/>
      <c r="G31" s="270"/>
      <c r="H31" s="266"/>
      <c r="I31" s="266"/>
      <c r="J31" s="266"/>
      <c r="K31" s="266"/>
      <c r="L31" s="272"/>
      <c r="N31" s="200"/>
      <c r="O31" s="200"/>
      <c r="P31" s="200"/>
      <c r="Q31" s="200"/>
      <c r="R31" s="200"/>
      <c r="S31" s="200"/>
    </row>
    <row r="32" spans="1:20" s="127" customFormat="1" ht="14.4" thickBot="1" x14ac:dyDescent="0.3">
      <c r="A32" s="265"/>
      <c r="B32" s="485"/>
      <c r="C32" s="1207"/>
      <c r="D32" s="1207"/>
      <c r="E32" s="1207"/>
      <c r="F32" s="1207"/>
      <c r="G32" s="487"/>
      <c r="H32" s="266"/>
      <c r="I32" s="266"/>
      <c r="J32" s="266"/>
      <c r="K32" s="266"/>
      <c r="L32" s="272"/>
      <c r="N32" s="200"/>
      <c r="O32" s="200"/>
      <c r="P32" s="200"/>
      <c r="Q32" s="200"/>
      <c r="R32" s="200"/>
      <c r="S32" s="200"/>
    </row>
    <row r="33" spans="1:23" s="127" customFormat="1" x14ac:dyDescent="0.25">
      <c r="A33" s="399"/>
      <c r="B33" s="495" t="s">
        <v>225</v>
      </c>
      <c r="C33" s="496">
        <f>IFERROR(((E22*C22+C16*E16)*40*13/3)/SUM(C16,C22),0)</f>
        <v>0</v>
      </c>
      <c r="D33" s="496">
        <f>IFERROR(((E23*C23+E17*C17)*40*13/3)/SUM(C17,C23),0)</f>
        <v>0</v>
      </c>
      <c r="E33" s="497">
        <f>IFERROR(((C18*E18+E24*C24)*40*13/3)/SUM(C18,C24),0)</f>
        <v>0</v>
      </c>
      <c r="F33" s="270"/>
      <c r="G33" s="270"/>
      <c r="H33" s="266"/>
      <c r="I33" s="266"/>
      <c r="J33" s="266"/>
      <c r="K33" s="266"/>
      <c r="L33" s="272"/>
      <c r="N33" s="200"/>
      <c r="O33" s="200"/>
      <c r="P33" s="200"/>
      <c r="Q33" s="200"/>
      <c r="R33" s="200"/>
      <c r="S33" s="200"/>
    </row>
    <row r="34" spans="1:23" ht="14.4" thickBot="1" x14ac:dyDescent="0.3">
      <c r="A34" s="399"/>
      <c r="B34" s="400" t="s">
        <v>226</v>
      </c>
      <c r="C34" s="401">
        <f>40*13/3</f>
        <v>173.33333333333334</v>
      </c>
      <c r="D34" s="401">
        <f t="shared" ref="D34:E34" si="0">40*13/3</f>
        <v>173.33333333333334</v>
      </c>
      <c r="E34" s="498">
        <f t="shared" si="0"/>
        <v>173.33333333333334</v>
      </c>
      <c r="F34" s="3"/>
      <c r="G34" s="3"/>
      <c r="H34" s="3"/>
      <c r="I34" s="3"/>
      <c r="J34" s="3"/>
      <c r="K34" s="3"/>
      <c r="L34" s="4"/>
      <c r="N34" s="200"/>
      <c r="O34" s="200"/>
      <c r="P34" s="200"/>
      <c r="Q34" s="200"/>
      <c r="R34" s="200"/>
      <c r="S34" s="200"/>
    </row>
    <row r="35" spans="1:23" ht="14.4" thickBot="1" x14ac:dyDescent="0.3">
      <c r="A35" s="2"/>
      <c r="B35" s="402" t="s">
        <v>233</v>
      </c>
      <c r="C35" s="403">
        <f>C33/C34</f>
        <v>0</v>
      </c>
      <c r="D35" s="404">
        <f t="shared" ref="D35:E35" si="1">D33/D34</f>
        <v>0</v>
      </c>
      <c r="E35" s="405">
        <f t="shared" si="1"/>
        <v>0</v>
      </c>
      <c r="F35" s="3"/>
      <c r="G35" s="3"/>
      <c r="H35" s="3"/>
      <c r="I35" s="3"/>
      <c r="J35" s="3"/>
      <c r="K35" s="3"/>
      <c r="L35" s="4"/>
      <c r="N35" s="200"/>
      <c r="O35" s="200"/>
      <c r="P35" s="200"/>
      <c r="Q35" s="200"/>
      <c r="R35" s="200"/>
      <c r="S35" s="200"/>
    </row>
    <row r="36" spans="1:23" ht="14.4" thickBot="1" x14ac:dyDescent="0.3">
      <c r="A36" s="2"/>
      <c r="B36" s="3"/>
      <c r="C36" s="3"/>
      <c r="D36" s="3"/>
      <c r="E36" s="3"/>
      <c r="F36" s="3"/>
      <c r="G36" s="3"/>
      <c r="H36" s="3"/>
      <c r="I36" s="3"/>
      <c r="J36" s="3"/>
      <c r="K36" s="3"/>
      <c r="L36" s="4"/>
      <c r="N36" s="200"/>
      <c r="O36" s="200"/>
      <c r="P36" s="200"/>
      <c r="Q36" s="200"/>
      <c r="R36" s="200"/>
      <c r="S36" s="200"/>
    </row>
    <row r="37" spans="1:23" x14ac:dyDescent="0.25">
      <c r="A37" s="2"/>
      <c r="B37" s="499" t="s">
        <v>174</v>
      </c>
      <c r="C37" s="500">
        <f>C16+C22</f>
        <v>0</v>
      </c>
      <c r="D37" s="500">
        <f>C17+C23</f>
        <v>0</v>
      </c>
      <c r="E37" s="501">
        <f>C18+C24</f>
        <v>0</v>
      </c>
      <c r="F37" s="3"/>
      <c r="G37" s="488"/>
      <c r="H37" s="3"/>
      <c r="I37" s="3"/>
      <c r="J37" s="3"/>
      <c r="K37" s="3"/>
      <c r="L37" s="4"/>
      <c r="N37" s="200"/>
      <c r="O37" s="200"/>
      <c r="P37" s="200"/>
      <c r="Q37" s="200"/>
      <c r="R37" s="200"/>
      <c r="S37" s="200"/>
    </row>
    <row r="38" spans="1:23" ht="14.4" thickBot="1" x14ac:dyDescent="0.3">
      <c r="A38" s="2"/>
      <c r="B38" s="400" t="s">
        <v>227</v>
      </c>
      <c r="C38" s="1191">
        <f>IFERROR(SUM(C37:E37),0)</f>
        <v>0</v>
      </c>
      <c r="D38" s="1191"/>
      <c r="E38" s="1192"/>
      <c r="F38" s="3"/>
      <c r="G38" s="3"/>
      <c r="H38" s="3"/>
      <c r="I38" s="3"/>
      <c r="J38" s="3"/>
      <c r="K38" s="3"/>
      <c r="L38" s="4"/>
      <c r="N38" s="200"/>
      <c r="O38" s="200"/>
      <c r="P38" s="200"/>
      <c r="Q38" s="200"/>
      <c r="R38" s="200"/>
      <c r="S38" s="200"/>
    </row>
    <row r="39" spans="1:23" ht="14.4" thickBot="1" x14ac:dyDescent="0.3">
      <c r="A39" s="2"/>
      <c r="B39" s="406" t="s">
        <v>228</v>
      </c>
      <c r="C39" s="407">
        <f>IFERROR(C37/C38,0)</f>
        <v>0</v>
      </c>
      <c r="D39" s="408">
        <f>IFERROR(D37/C38,0)</f>
        <v>0</v>
      </c>
      <c r="E39" s="409">
        <f>IFERROR(E37/C38,0)</f>
        <v>0</v>
      </c>
      <c r="F39" s="3"/>
      <c r="G39" s="3"/>
      <c r="H39" s="3"/>
      <c r="I39" s="3"/>
      <c r="J39" s="3"/>
      <c r="K39" s="3"/>
      <c r="L39" s="4"/>
      <c r="N39" s="200"/>
      <c r="O39" s="200"/>
      <c r="P39" s="200"/>
      <c r="Q39" s="200"/>
      <c r="R39" s="200"/>
      <c r="S39" s="200"/>
    </row>
    <row r="40" spans="1:23" ht="14.4" thickBot="1" x14ac:dyDescent="0.3">
      <c r="A40" s="2"/>
      <c r="B40" s="3"/>
      <c r="C40" s="3"/>
      <c r="D40" s="3"/>
      <c r="E40" s="3"/>
      <c r="F40" s="3"/>
      <c r="G40" s="3"/>
      <c r="H40" s="3"/>
      <c r="I40" s="3"/>
      <c r="J40" s="3"/>
      <c r="K40" s="3"/>
      <c r="L40" s="4"/>
      <c r="N40" s="200"/>
      <c r="O40" s="200"/>
      <c r="P40" s="200"/>
      <c r="Q40" s="200"/>
      <c r="R40" s="200"/>
      <c r="S40" s="200"/>
    </row>
    <row r="41" spans="1:23" ht="14.4" thickBot="1" x14ac:dyDescent="0.3">
      <c r="A41" s="2"/>
      <c r="B41" s="410" t="s">
        <v>229</v>
      </c>
      <c r="C41" s="1193">
        <f>IFERROR(C39*C35+D35*D39+E35*E39,0)</f>
        <v>0</v>
      </c>
      <c r="D41" s="1194"/>
      <c r="E41" s="1195"/>
      <c r="F41" s="489" t="str">
        <f>IF(C41&gt;KAT!$E$42*110%,"Forderung liegt mehr als 10% über dem regional üblichen Entgelt.","")</f>
        <v/>
      </c>
      <c r="G41" s="266"/>
      <c r="H41" s="3"/>
      <c r="I41" s="3"/>
      <c r="J41" s="3"/>
      <c r="K41" s="3"/>
      <c r="L41" s="4"/>
    </row>
    <row r="42" spans="1:23" ht="14.4" thickBot="1" x14ac:dyDescent="0.3">
      <c r="A42" s="2"/>
      <c r="B42" s="429"/>
      <c r="C42" s="1200"/>
      <c r="D42" s="1200"/>
      <c r="E42" s="1200"/>
      <c r="F42" s="266"/>
      <c r="G42" s="266"/>
      <c r="H42" s="3"/>
      <c r="I42" s="3"/>
      <c r="J42" s="3"/>
      <c r="K42" s="3"/>
      <c r="L42" s="411"/>
      <c r="N42" s="430" t="s">
        <v>305</v>
      </c>
      <c r="O42" s="430" t="s">
        <v>306</v>
      </c>
      <c r="P42" s="430" t="s">
        <v>307</v>
      </c>
      <c r="Q42" s="430" t="s">
        <v>308</v>
      </c>
      <c r="R42" s="430" t="s">
        <v>309</v>
      </c>
      <c r="S42" s="430" t="s">
        <v>310</v>
      </c>
      <c r="T42" s="430" t="s">
        <v>311</v>
      </c>
      <c r="U42" s="430" t="s">
        <v>312</v>
      </c>
      <c r="V42" s="430" t="s">
        <v>313</v>
      </c>
      <c r="W42" s="430" t="s">
        <v>314</v>
      </c>
    </row>
    <row r="43" spans="1:23" ht="14.4" thickBot="1" x14ac:dyDescent="0.3">
      <c r="A43" s="2"/>
      <c r="B43" s="492" t="s">
        <v>230</v>
      </c>
      <c r="C43" s="493">
        <f>IFERROR(N22,0)</f>
        <v>0</v>
      </c>
      <c r="D43" s="493">
        <f t="shared" ref="D43:E43" si="2">IFERROR(O22,0)</f>
        <v>0</v>
      </c>
      <c r="E43" s="494">
        <f t="shared" si="2"/>
        <v>0</v>
      </c>
      <c r="F43" s="3"/>
      <c r="G43" s="3"/>
      <c r="H43" s="3"/>
      <c r="I43" s="3"/>
      <c r="J43" s="3"/>
      <c r="K43" s="3"/>
      <c r="L43" s="411"/>
      <c r="N43" s="431">
        <f>C35</f>
        <v>0</v>
      </c>
      <c r="O43" s="431">
        <f>D35</f>
        <v>0</v>
      </c>
      <c r="P43" s="431">
        <f>E35</f>
        <v>0</v>
      </c>
      <c r="Q43" s="432">
        <f>C41</f>
        <v>0</v>
      </c>
      <c r="R43" s="433">
        <f>C37</f>
        <v>0</v>
      </c>
      <c r="S43" s="433">
        <f>D37</f>
        <v>0</v>
      </c>
      <c r="T43" s="433">
        <f>E37</f>
        <v>0</v>
      </c>
      <c r="U43" s="434">
        <f>C43</f>
        <v>0</v>
      </c>
      <c r="V43" s="434">
        <f>D43</f>
        <v>0</v>
      </c>
      <c r="W43" s="434">
        <f>E43</f>
        <v>0</v>
      </c>
    </row>
    <row r="44" spans="1:23" x14ac:dyDescent="0.25">
      <c r="A44" s="35"/>
      <c r="B44" s="490"/>
      <c r="C44" s="491"/>
      <c r="D44" s="491"/>
      <c r="E44" s="491"/>
      <c r="F44" s="36"/>
      <c r="G44" s="36"/>
      <c r="H44" s="36"/>
      <c r="I44" s="36"/>
      <c r="J44" s="36"/>
      <c r="K44" s="36"/>
      <c r="L44" s="210"/>
      <c r="N44" s="473"/>
      <c r="O44" s="473"/>
      <c r="P44" s="473"/>
      <c r="Q44" s="474"/>
      <c r="R44" s="475"/>
      <c r="S44" s="475"/>
      <c r="T44" s="475"/>
      <c r="U44" s="476"/>
      <c r="V44" s="476"/>
      <c r="W44" s="476"/>
    </row>
    <row r="45" spans="1:23" ht="14.4" thickBot="1" x14ac:dyDescent="0.3"/>
    <row r="46" spans="1:23" ht="15" customHeight="1" thickBot="1" x14ac:dyDescent="0.3">
      <c r="D46" s="1188" t="s">
        <v>446</v>
      </c>
      <c r="E46" s="1189"/>
      <c r="F46" s="1189"/>
      <c r="G46" s="1189"/>
      <c r="H46" s="1189"/>
      <c r="I46" s="1190"/>
    </row>
  </sheetData>
  <customSheetViews>
    <customSheetView guid="{9119B1A0-FD79-4FE4-B78E-10E0AEB8080B}" showPageBreaks="1" showGridLines="0" fitToPage="1" printArea="1" hiddenColumns="1" view="pageLayout" topLeftCell="I38">
      <selection activeCell="I7" sqref="I7"/>
      <pageMargins left="0.70866141732283472" right="0.70866141732283472" top="0.78740157480314965" bottom="0.78740157480314965" header="0.31496062992125984" footer="0.31496062992125984"/>
      <pageSetup paperSize="9" scale="60" orientation="landscape" r:id="rId1"/>
      <headerFooter>
        <oddHeader>&amp;CSeite 3</oddHeader>
        <oddFooter>&amp;LVersion: 21.06.2022&amp;CVerhandlungsunterlagen SGB XI (vereinfacht B1)&amp;RPSK-Beschluss Nr. 3-2022 vom 21.06.2022</oddFooter>
      </headerFooter>
    </customSheetView>
  </customSheetViews>
  <mergeCells count="16">
    <mergeCell ref="N12:P12"/>
    <mergeCell ref="Q15:S15"/>
    <mergeCell ref="C32:D32"/>
    <mergeCell ref="E32:F32"/>
    <mergeCell ref="C12:C13"/>
    <mergeCell ref="Q22:S22"/>
    <mergeCell ref="Q21:S21"/>
    <mergeCell ref="A1:K1"/>
    <mergeCell ref="B2:L2"/>
    <mergeCell ref="D46:I46"/>
    <mergeCell ref="C38:E38"/>
    <mergeCell ref="C41:E41"/>
    <mergeCell ref="B30:B31"/>
    <mergeCell ref="B12:B13"/>
    <mergeCell ref="C42:E42"/>
    <mergeCell ref="G12:G13"/>
  </mergeCells>
  <phoneticPr fontId="60" type="noConversion"/>
  <conditionalFormatting sqref="E17:E19 J17:J19">
    <cfRule type="expression" dxfId="15" priority="121">
      <formula>$C17=0</formula>
    </cfRule>
  </conditionalFormatting>
  <conditionalFormatting sqref="F17:I19">
    <cfRule type="expression" dxfId="13" priority="3">
      <formula>$C17=0</formula>
    </cfRule>
  </conditionalFormatting>
  <dataValidations xWindow="1013" yWindow="340" count="1">
    <dataValidation type="custom" allowBlank="1" showInputMessage="1" showErrorMessage="1" error="Maximale Steigerung um 10% " sqref="E15 E21" xr:uid="{00000000-0002-0000-0500-000001000000}">
      <formula1>E15&lt;=10%</formula1>
    </dataValidation>
  </dataValidations>
  <hyperlinks>
    <hyperlink ref="D46" location="'Anlage 1'!A1" display="Anlage 1" xr:uid="{00000000-0004-0000-0500-000000000000}"/>
    <hyperlink ref="D46:I46" location="B_KZP_Bewohnervertretung!A1" display="gehe weiter zu B_KZP_Bewohnervertretung" xr:uid="{00000000-0004-0000-0500-000001000000}"/>
  </hyperlinks>
  <pageMargins left="0.70866141732283472" right="0.70866141732283472" top="0.78740157480314965" bottom="0.78740157480314965" header="0.31496062992125984" footer="0.31496062992125984"/>
  <pageSetup paperSize="9" scale="59" orientation="landscape"/>
  <headerFooter>
    <oddHeader>&amp;CSeite 3</oddHeader>
    <oddFooter>&amp;LVersion: 25.11.2024&amp;CVerhandlungsunterlagen SGB XI (vereinfacht B1)&amp;RPSK-Beschluss vom 07.11.2024</oddFooter>
  </headerFooter>
  <extLst>
    <ext xmlns:x14="http://schemas.microsoft.com/office/spreadsheetml/2009/9/main" uri="{78C0D931-6437-407d-A8EE-F0AAD7539E65}">
      <x14:conditionalFormattings>
        <x14:conditionalFormatting xmlns:xm="http://schemas.microsoft.com/office/excel/2006/main">
          <x14:cfRule type="expression" priority="2" id="{16D72112-B707-48DB-82D4-3E7596C01A86}">
            <xm:f>'B_KZP_Allgemeine Angaben'!$N$58=0</xm:f>
            <x14:dxf>
              <font>
                <color theme="0" tint="-0.14996795556505021"/>
              </font>
              <fill>
                <patternFill>
                  <bgColor theme="0"/>
                </patternFill>
              </fill>
              <border>
                <left/>
                <right/>
                <top/>
                <bottom/>
                <vertical/>
                <horizontal/>
              </border>
            </x14:dxf>
          </x14:cfRule>
          <xm:sqref>B9:K13 B14:E14 G14:K14 B15:K19 B20:E20 G20:K20 B21:K43</xm:sqref>
        </x14:conditionalFormatting>
        <x14:conditionalFormatting xmlns:xm="http://schemas.microsoft.com/office/excel/2006/main">
          <x14:cfRule type="expression" priority="10" id="{5EE59F31-C23F-4B6F-B680-19FA1B8F0642}">
            <xm:f>KAT!$A$80="nein"</xm:f>
            <x14:dxf>
              <fill>
                <patternFill>
                  <bgColor theme="0"/>
                </patternFill>
              </fill>
            </x14:dxf>
          </x14:cfRule>
          <xm:sqref>F41</xm:sqref>
        </x14:conditionalFormatting>
      </x14:conditionalFormattings>
    </ext>
    <ext xmlns:x14="http://schemas.microsoft.com/office/spreadsheetml/2009/9/main" uri="{CCE6A557-97BC-4b89-ADB6-D9C93CAAB3DF}">
      <x14:dataValidations xmlns:xm="http://schemas.microsoft.com/office/excel/2006/main" xWindow="1013" yWindow="340" count="2">
        <x14:dataValidation type="list" allowBlank="1" showInputMessage="1" showErrorMessage="1" prompt="SV Beitrag ohne U1 Teilnahme = 20,335%_x000a_SV Beitrag mit U1 Teilnahme = 21,105 % " xr:uid="{00000000-0002-0000-0500-000002000000}">
          <x14:formula1>
            <xm:f>KAT!#REF!</xm:f>
          </x14:formula1>
          <xm:sqref>H14</xm:sqref>
        </x14:dataValidation>
        <x14:dataValidation type="list" allowBlank="1" showInputMessage="1" showErrorMessage="1" prompt="SV Beitrag ohne U1 Teilnahme =&gt; geringerer Wert_x000a_SV Beitrag mit U1 Teilnahme =&gt; höherer Wert" xr:uid="{00000000-0002-0000-0500-000003000000}">
          <x14:formula1>
            <xm:f>KAT!$C$37:$C$38</xm:f>
          </x14:formula1>
          <xm:sqref>H13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Q67"/>
  <sheetViews>
    <sheetView showGridLines="0" zoomScaleNormal="100" workbookViewId="0">
      <selection activeCell="H6" sqref="H6"/>
    </sheetView>
  </sheetViews>
  <sheetFormatPr baseColWidth="10" defaultRowHeight="13.8" x14ac:dyDescent="0.25"/>
  <cols>
    <col min="1" max="2" width="3.59765625" style="42" customWidth="1"/>
    <col min="3" max="3" width="3.19921875" style="42" customWidth="1"/>
    <col min="4" max="4" width="3.09765625" style="42" customWidth="1"/>
    <col min="5" max="5" width="3.5" style="42" customWidth="1"/>
    <col min="6" max="6" width="11" style="42"/>
    <col min="7" max="7" width="3.09765625" style="42" customWidth="1"/>
    <col min="8" max="8" width="3.5" style="42" customWidth="1"/>
    <col min="9" max="9" width="11" style="42"/>
    <col min="10" max="10" width="11.8984375" style="42" customWidth="1"/>
    <col min="11" max="11" width="3.09765625" style="42" customWidth="1"/>
    <col min="12" max="12" width="17.69921875" style="42" customWidth="1"/>
    <col min="13" max="13" width="18.8984375" style="42" customWidth="1"/>
    <col min="14" max="14" width="4" style="42" customWidth="1"/>
  </cols>
  <sheetData>
    <row r="1" spans="1:17" ht="15.6" x14ac:dyDescent="0.3">
      <c r="A1" s="1223" t="s">
        <v>77</v>
      </c>
      <c r="B1" s="1224"/>
      <c r="C1" s="1224"/>
      <c r="D1" s="1224"/>
      <c r="E1" s="1224"/>
      <c r="F1" s="1224"/>
      <c r="G1" s="1224"/>
      <c r="H1" s="1224"/>
      <c r="I1" s="1224"/>
      <c r="J1" s="1224"/>
      <c r="K1" s="1224"/>
      <c r="L1" s="1224"/>
      <c r="M1" s="1224"/>
      <c r="N1" s="1225"/>
      <c r="O1" s="87"/>
    </row>
    <row r="2" spans="1:17" ht="15" x14ac:dyDescent="0.25">
      <c r="A2" s="1226"/>
      <c r="B2" s="1227"/>
      <c r="C2" s="1227"/>
      <c r="D2" s="1227"/>
      <c r="E2" s="1227"/>
      <c r="F2" s="1227"/>
      <c r="G2" s="1227"/>
      <c r="H2" s="1227"/>
      <c r="I2" s="1227"/>
      <c r="J2" s="1227"/>
      <c r="K2" s="1227"/>
      <c r="L2" s="1227"/>
      <c r="M2" s="1227"/>
      <c r="N2" s="1228"/>
      <c r="O2" s="9"/>
    </row>
    <row r="3" spans="1:17" ht="15.6" x14ac:dyDescent="0.3">
      <c r="A3" s="1229" t="str">
        <f>'B_KZP_Allgemeine Angaben'!A3</f>
        <v/>
      </c>
      <c r="B3" s="1230"/>
      <c r="C3" s="1230"/>
      <c r="D3" s="1230"/>
      <c r="E3" s="1230"/>
      <c r="F3" s="1230"/>
      <c r="G3" s="1230"/>
      <c r="H3" s="1230"/>
      <c r="I3" s="1230"/>
      <c r="J3" s="1230"/>
      <c r="K3" s="1230"/>
      <c r="L3" s="1230"/>
      <c r="M3" s="1230"/>
      <c r="N3" s="1231"/>
    </row>
    <row r="4" spans="1:17" ht="15.6" x14ac:dyDescent="0.3">
      <c r="A4" s="1229" t="str">
        <f>'B_KZP_Allgemeine Angaben'!A4:N4</f>
        <v/>
      </c>
      <c r="B4" s="1230"/>
      <c r="C4" s="1230"/>
      <c r="D4" s="1230"/>
      <c r="E4" s="1230"/>
      <c r="F4" s="1230"/>
      <c r="G4" s="1230"/>
      <c r="H4" s="1230"/>
      <c r="I4" s="1230"/>
      <c r="J4" s="1230"/>
      <c r="K4" s="1230"/>
      <c r="L4" s="1230"/>
      <c r="M4" s="1230"/>
      <c r="N4" s="1231"/>
      <c r="O4" s="1"/>
      <c r="Q4" s="9"/>
    </row>
    <row r="5" spans="1:17" ht="16.2" thickBot="1" x14ac:dyDescent="0.35">
      <c r="A5" s="40"/>
      <c r="B5" s="41"/>
      <c r="N5" s="43"/>
      <c r="O5" s="42"/>
      <c r="Q5" s="9"/>
    </row>
    <row r="6" spans="1:17" s="71" customFormat="1" ht="16.2" thickBot="1" x14ac:dyDescent="0.35">
      <c r="A6" s="69"/>
      <c r="B6" s="1232" t="s">
        <v>78</v>
      </c>
      <c r="C6" s="1232"/>
      <c r="D6" s="1232"/>
      <c r="E6" s="1232"/>
      <c r="F6" s="1232"/>
      <c r="G6" s="1233"/>
      <c r="H6" s="70"/>
      <c r="J6" s="41"/>
      <c r="K6" s="70"/>
      <c r="L6" s="1234" t="s">
        <v>504</v>
      </c>
      <c r="M6" s="1232"/>
      <c r="N6" s="72"/>
      <c r="Q6" s="82"/>
    </row>
    <row r="7" spans="1:17" ht="14.25" customHeight="1" x14ac:dyDescent="0.25">
      <c r="A7" s="40"/>
      <c r="N7" s="43"/>
      <c r="O7" s="42"/>
    </row>
    <row r="8" spans="1:17" ht="27" customHeight="1" x14ac:dyDescent="0.25">
      <c r="A8" s="40"/>
      <c r="B8" s="1217" t="s">
        <v>111</v>
      </c>
      <c r="C8" s="1217"/>
      <c r="D8" s="1217"/>
      <c r="E8" s="1217"/>
      <c r="F8" s="1217"/>
      <c r="G8" s="1217"/>
      <c r="H8" s="1217"/>
      <c r="I8" s="1217"/>
      <c r="J8" s="1217"/>
      <c r="K8" s="1217"/>
      <c r="L8" s="1217"/>
      <c r="M8" s="1217"/>
      <c r="N8" s="43"/>
      <c r="O8" s="42"/>
    </row>
    <row r="9" spans="1:17" ht="15.6" x14ac:dyDescent="0.3">
      <c r="A9" s="40"/>
      <c r="B9" s="44"/>
      <c r="N9" s="43"/>
      <c r="O9" s="42"/>
      <c r="Q9" s="45"/>
    </row>
    <row r="10" spans="1:17" s="71" customFormat="1" ht="15" x14ac:dyDescent="0.25">
      <c r="A10" s="73"/>
      <c r="B10" s="74" t="s">
        <v>79</v>
      </c>
      <c r="C10" s="74" t="s">
        <v>80</v>
      </c>
      <c r="D10" s="74"/>
      <c r="E10" s="74"/>
      <c r="F10" s="74"/>
      <c r="G10" s="74"/>
      <c r="I10" s="74"/>
      <c r="J10" s="74"/>
      <c r="N10" s="75"/>
    </row>
    <row r="11" spans="1:17" ht="12.75" customHeight="1" thickBot="1" x14ac:dyDescent="0.35">
      <c r="A11" s="40"/>
      <c r="B11" s="44"/>
      <c r="N11" s="43"/>
      <c r="O11" s="42"/>
    </row>
    <row r="12" spans="1:17" ht="16.2" thickBot="1" x14ac:dyDescent="0.35">
      <c r="A12" s="40"/>
      <c r="D12" s="76"/>
      <c r="F12" s="41" t="s">
        <v>81</v>
      </c>
      <c r="G12" s="45"/>
      <c r="H12" s="45"/>
      <c r="I12" s="45"/>
      <c r="N12" s="43"/>
      <c r="O12" s="42"/>
    </row>
    <row r="13" spans="1:17" ht="15" x14ac:dyDescent="0.25">
      <c r="A13" s="40"/>
      <c r="F13" s="74" t="s">
        <v>82</v>
      </c>
      <c r="G13" s="46"/>
      <c r="H13" s="46"/>
      <c r="I13" s="46"/>
      <c r="J13" s="46"/>
      <c r="K13" s="46"/>
      <c r="N13" s="43"/>
      <c r="O13" s="42"/>
    </row>
    <row r="14" spans="1:17" ht="12.75" customHeight="1" thickBot="1" x14ac:dyDescent="0.3">
      <c r="A14" s="40"/>
      <c r="F14" s="46"/>
      <c r="G14" s="46"/>
      <c r="H14" s="46"/>
      <c r="I14" s="46"/>
      <c r="J14" s="46"/>
      <c r="K14" s="46"/>
      <c r="N14" s="43"/>
      <c r="O14" s="42"/>
    </row>
    <row r="15" spans="1:17" ht="16.2" thickBot="1" x14ac:dyDescent="0.35">
      <c r="A15" s="40"/>
      <c r="D15" s="76"/>
      <c r="F15" s="41" t="s">
        <v>83</v>
      </c>
      <c r="G15" s="45"/>
      <c r="H15" s="45"/>
      <c r="I15" s="45"/>
      <c r="N15" s="43"/>
      <c r="O15" s="42"/>
    </row>
    <row r="16" spans="1:17" ht="15" x14ac:dyDescent="0.25">
      <c r="A16" s="40"/>
      <c r="F16" s="74" t="s">
        <v>84</v>
      </c>
      <c r="N16" s="43"/>
      <c r="O16" s="42"/>
    </row>
    <row r="17" spans="1:15" x14ac:dyDescent="0.25">
      <c r="A17" s="40"/>
      <c r="F17" s="46"/>
      <c r="N17" s="43"/>
      <c r="O17" s="42"/>
    </row>
    <row r="18" spans="1:15" s="71" customFormat="1" ht="15" x14ac:dyDescent="0.25">
      <c r="A18" s="73"/>
      <c r="B18" s="74" t="s">
        <v>85</v>
      </c>
      <c r="C18" s="74" t="s">
        <v>86</v>
      </c>
      <c r="D18" s="74"/>
      <c r="E18" s="74"/>
      <c r="F18" s="74"/>
      <c r="G18" s="74"/>
      <c r="H18" s="74"/>
      <c r="I18" s="74"/>
      <c r="J18" s="74"/>
      <c r="L18" s="74"/>
      <c r="M18" s="74"/>
      <c r="N18" s="77"/>
    </row>
    <row r="19" spans="1:15" ht="12.75" customHeight="1" thickBot="1" x14ac:dyDescent="0.3">
      <c r="A19" s="40"/>
      <c r="C19" s="45"/>
      <c r="D19" s="45"/>
      <c r="E19" s="45"/>
      <c r="F19" s="45"/>
      <c r="G19" s="45"/>
      <c r="H19" s="45"/>
      <c r="I19" s="45"/>
      <c r="J19" s="45"/>
      <c r="K19" s="45"/>
      <c r="L19" s="45"/>
      <c r="M19" s="45"/>
      <c r="N19" s="47"/>
      <c r="O19" s="42"/>
    </row>
    <row r="20" spans="1:15" ht="14.4" thickBot="1" x14ac:dyDescent="0.3">
      <c r="A20" s="40"/>
      <c r="C20" s="45"/>
      <c r="D20" s="78"/>
      <c r="E20" s="18"/>
      <c r="F20" s="1218" t="s">
        <v>87</v>
      </c>
      <c r="G20" s="1218"/>
      <c r="H20" s="1218"/>
      <c r="I20" s="1218"/>
      <c r="J20" s="1218"/>
      <c r="K20" s="1218"/>
      <c r="L20" s="1218"/>
      <c r="M20" s="66"/>
      <c r="N20" s="62"/>
      <c r="O20" s="42"/>
    </row>
    <row r="21" spans="1:15" x14ac:dyDescent="0.25">
      <c r="A21" s="40"/>
      <c r="C21" s="45"/>
      <c r="D21" s="18"/>
      <c r="E21" s="18"/>
      <c r="F21" s="79" t="s">
        <v>505</v>
      </c>
      <c r="G21" s="79"/>
      <c r="H21" s="79"/>
      <c r="I21" s="79"/>
      <c r="J21" s="79"/>
      <c r="K21" s="79"/>
      <c r="L21" s="79"/>
      <c r="M21" s="66"/>
      <c r="N21" s="62"/>
      <c r="O21" s="88"/>
    </row>
    <row r="22" spans="1:15" x14ac:dyDescent="0.25">
      <c r="A22" s="40"/>
      <c r="C22" s="45"/>
      <c r="D22" s="18"/>
      <c r="E22" s="18"/>
      <c r="F22" s="1218"/>
      <c r="G22" s="1218"/>
      <c r="H22" s="1218"/>
      <c r="I22" s="1218"/>
      <c r="J22" s="1218"/>
      <c r="K22" s="1218"/>
      <c r="L22" s="1218"/>
      <c r="M22" s="66"/>
      <c r="N22" s="62"/>
      <c r="O22" s="42"/>
    </row>
    <row r="23" spans="1:15" ht="12.75" customHeight="1" thickBot="1" x14ac:dyDescent="0.3">
      <c r="A23" s="40"/>
      <c r="C23" s="45"/>
      <c r="D23" s="18"/>
      <c r="E23" s="18"/>
      <c r="F23" s="18"/>
      <c r="G23" s="18"/>
      <c r="H23" s="18"/>
      <c r="I23" s="18"/>
      <c r="J23" s="18"/>
      <c r="K23" s="18"/>
      <c r="L23" s="18"/>
      <c r="M23" s="18"/>
      <c r="N23" s="49"/>
      <c r="O23" s="42"/>
    </row>
    <row r="24" spans="1:15" ht="14.4" thickBot="1" x14ac:dyDescent="0.3">
      <c r="A24" s="40"/>
      <c r="C24" s="45"/>
      <c r="D24" s="78"/>
      <c r="E24" s="18"/>
      <c r="F24" s="1219" t="s">
        <v>506</v>
      </c>
      <c r="G24" s="1219"/>
      <c r="H24" s="1219"/>
      <c r="I24" s="1219"/>
      <c r="J24" s="1219"/>
      <c r="K24" s="1219"/>
      <c r="L24" s="1219"/>
      <c r="M24" s="67"/>
      <c r="N24" s="63"/>
      <c r="O24" s="48"/>
    </row>
    <row r="25" spans="1:15" x14ac:dyDescent="0.25">
      <c r="A25" s="40"/>
      <c r="C25" s="45"/>
      <c r="D25" s="18"/>
      <c r="E25" s="18"/>
      <c r="F25" s="18" t="s">
        <v>112</v>
      </c>
      <c r="G25" s="18"/>
      <c r="H25" s="18"/>
      <c r="I25" s="18"/>
      <c r="J25" s="18"/>
      <c r="K25" s="18"/>
      <c r="L25" s="18"/>
      <c r="M25" s="67"/>
      <c r="N25" s="63"/>
      <c r="O25" s="42"/>
    </row>
    <row r="26" spans="1:15" x14ac:dyDescent="0.25">
      <c r="A26" s="40"/>
      <c r="C26" s="45"/>
      <c r="D26" s="18"/>
      <c r="E26" s="18"/>
      <c r="F26" s="1219"/>
      <c r="G26" s="1219"/>
      <c r="H26" s="1219"/>
      <c r="I26" s="1219"/>
      <c r="J26" s="1219"/>
      <c r="K26" s="1219"/>
      <c r="L26" s="1219"/>
      <c r="M26" s="67"/>
      <c r="N26" s="63"/>
      <c r="O26" s="42"/>
    </row>
    <row r="27" spans="1:15" ht="14.85" customHeight="1" x14ac:dyDescent="0.25">
      <c r="A27" s="50"/>
      <c r="B27" s="51"/>
      <c r="C27" s="52"/>
      <c r="D27" s="53"/>
      <c r="E27" s="53"/>
      <c r="F27" s="53"/>
      <c r="G27" s="53"/>
      <c r="H27" s="53"/>
      <c r="I27" s="53"/>
      <c r="J27" s="53"/>
      <c r="K27" s="53"/>
      <c r="L27" s="53"/>
      <c r="M27" s="53"/>
      <c r="N27" s="54"/>
      <c r="O27" s="42"/>
    </row>
    <row r="28" spans="1:15" ht="14.85" customHeight="1" x14ac:dyDescent="0.25">
      <c r="A28" s="40"/>
      <c r="C28" s="45"/>
      <c r="D28" s="18"/>
      <c r="E28" s="18"/>
      <c r="F28" s="18"/>
      <c r="G28" s="18"/>
      <c r="H28" s="18"/>
      <c r="I28" s="18"/>
      <c r="J28" s="18"/>
      <c r="K28" s="18"/>
      <c r="L28" s="18"/>
      <c r="M28" s="18"/>
      <c r="N28" s="49"/>
      <c r="O28" s="42"/>
    </row>
    <row r="29" spans="1:15" s="71" customFormat="1" ht="15" x14ac:dyDescent="0.25">
      <c r="A29" s="73"/>
      <c r="B29" s="74" t="s">
        <v>88</v>
      </c>
      <c r="C29" s="74" t="s">
        <v>507</v>
      </c>
      <c r="D29" s="74"/>
      <c r="E29" s="74"/>
      <c r="F29" s="74"/>
      <c r="G29" s="74"/>
      <c r="H29" s="74"/>
      <c r="I29" s="74"/>
      <c r="J29" s="74"/>
      <c r="L29" s="74"/>
      <c r="M29" s="74"/>
      <c r="N29" s="77"/>
    </row>
    <row r="30" spans="1:15" ht="12.75" customHeight="1" x14ac:dyDescent="0.25">
      <c r="A30" s="40"/>
      <c r="C30" s="45"/>
      <c r="D30" s="18"/>
      <c r="E30" s="18"/>
      <c r="F30" s="18"/>
      <c r="G30" s="18"/>
      <c r="H30" s="18"/>
      <c r="I30" s="18"/>
      <c r="J30" s="18"/>
      <c r="K30" s="18"/>
      <c r="L30" s="18"/>
      <c r="M30" s="18"/>
      <c r="N30" s="49"/>
      <c r="O30" s="42"/>
    </row>
    <row r="31" spans="1:15" x14ac:dyDescent="0.25">
      <c r="A31" s="40"/>
      <c r="B31" t="s">
        <v>104</v>
      </c>
      <c r="N31" s="43"/>
      <c r="O31" s="42"/>
    </row>
    <row r="32" spans="1:15" x14ac:dyDescent="0.25">
      <c r="A32" s="40"/>
      <c r="B32" s="45" t="s">
        <v>421</v>
      </c>
      <c r="N32" s="43"/>
      <c r="O32" s="42"/>
    </row>
    <row r="33" spans="1:15" x14ac:dyDescent="0.25">
      <c r="A33" s="40"/>
      <c r="B33" s="45" t="s">
        <v>422</v>
      </c>
      <c r="N33" s="43"/>
      <c r="O33" s="42"/>
    </row>
    <row r="34" spans="1:15" x14ac:dyDescent="0.25">
      <c r="A34" s="40"/>
      <c r="B34" s="45" t="s">
        <v>423</v>
      </c>
      <c r="N34" s="43"/>
      <c r="O34" s="42"/>
    </row>
    <row r="35" spans="1:15" x14ac:dyDescent="0.25">
      <c r="A35" s="40"/>
      <c r="B35" s="45" t="s">
        <v>105</v>
      </c>
      <c r="N35" s="43"/>
      <c r="O35" s="42"/>
    </row>
    <row r="36" spans="1:15" x14ac:dyDescent="0.25">
      <c r="A36" s="40"/>
      <c r="B36"/>
      <c r="N36" s="43"/>
      <c r="O36" s="42"/>
    </row>
    <row r="37" spans="1:15" x14ac:dyDescent="0.25">
      <c r="A37" s="40"/>
      <c r="B37" s="45" t="s">
        <v>508</v>
      </c>
      <c r="C37" s="45"/>
      <c r="D37" s="45"/>
      <c r="E37" s="45"/>
      <c r="F37" s="45"/>
      <c r="G37" s="45"/>
      <c r="H37" s="45"/>
      <c r="I37" s="45"/>
      <c r="J37" s="45"/>
      <c r="K37" s="45"/>
      <c r="L37" s="45"/>
      <c r="M37" s="45"/>
      <c r="N37" s="43"/>
      <c r="O37" s="42"/>
    </row>
    <row r="38" spans="1:15" x14ac:dyDescent="0.25">
      <c r="A38" s="40"/>
      <c r="B38" s="1220"/>
      <c r="C38" s="1221"/>
      <c r="D38" s="1221"/>
      <c r="E38" s="1221"/>
      <c r="F38" s="1221"/>
      <c r="G38" s="1221"/>
      <c r="H38" s="1221"/>
      <c r="I38" s="1221"/>
      <c r="J38" s="1221"/>
      <c r="K38" s="1221"/>
      <c r="L38" s="1221"/>
      <c r="M38" s="1221"/>
      <c r="N38" s="43"/>
      <c r="O38" s="1"/>
    </row>
    <row r="39" spans="1:15" x14ac:dyDescent="0.25">
      <c r="A39" s="40"/>
      <c r="B39" s="1221"/>
      <c r="C39" s="1221"/>
      <c r="D39" s="1221"/>
      <c r="E39" s="1221"/>
      <c r="F39" s="1221"/>
      <c r="G39" s="1221"/>
      <c r="H39" s="1221"/>
      <c r="I39" s="1221"/>
      <c r="J39" s="1221"/>
      <c r="K39" s="1221"/>
      <c r="L39" s="1221"/>
      <c r="M39" s="1221"/>
      <c r="N39" s="43"/>
      <c r="O39" s="42"/>
    </row>
    <row r="40" spans="1:15" x14ac:dyDescent="0.25">
      <c r="A40" s="40"/>
      <c r="B40" s="1221"/>
      <c r="C40" s="1221"/>
      <c r="D40" s="1221"/>
      <c r="E40" s="1221"/>
      <c r="F40" s="1221"/>
      <c r="G40" s="1221"/>
      <c r="H40" s="1221"/>
      <c r="I40" s="1221"/>
      <c r="J40" s="1221"/>
      <c r="K40" s="1221"/>
      <c r="L40" s="1221"/>
      <c r="M40" s="1221"/>
      <c r="N40" s="43"/>
      <c r="O40" s="42"/>
    </row>
    <row r="41" spans="1:15" x14ac:dyDescent="0.25">
      <c r="A41" s="40"/>
      <c r="B41" s="1221"/>
      <c r="C41" s="1221"/>
      <c r="D41" s="1221"/>
      <c r="E41" s="1221"/>
      <c r="F41" s="1221"/>
      <c r="G41" s="1221"/>
      <c r="H41" s="1221"/>
      <c r="I41" s="1221"/>
      <c r="J41" s="1221"/>
      <c r="K41" s="1221"/>
      <c r="L41" s="1221"/>
      <c r="M41" s="1221"/>
      <c r="N41" s="43"/>
      <c r="O41" s="42"/>
    </row>
    <row r="42" spans="1:15" x14ac:dyDescent="0.25">
      <c r="A42" s="40"/>
      <c r="B42" s="1221"/>
      <c r="C42" s="1221"/>
      <c r="D42" s="1221"/>
      <c r="E42" s="1221"/>
      <c r="F42" s="1221"/>
      <c r="G42" s="1221"/>
      <c r="H42" s="1221"/>
      <c r="I42" s="1221"/>
      <c r="J42" s="1221"/>
      <c r="K42" s="1221"/>
      <c r="L42" s="1221"/>
      <c r="M42" s="1221"/>
      <c r="N42" s="43"/>
      <c r="O42" s="42"/>
    </row>
    <row r="43" spans="1:15" x14ac:dyDescent="0.25">
      <c r="A43" s="40"/>
      <c r="B43" s="1221"/>
      <c r="C43" s="1221"/>
      <c r="D43" s="1221"/>
      <c r="E43" s="1221"/>
      <c r="F43" s="1221"/>
      <c r="G43" s="1221"/>
      <c r="H43" s="1221"/>
      <c r="I43" s="1221"/>
      <c r="J43" s="1221"/>
      <c r="K43" s="1221"/>
      <c r="L43" s="1221"/>
      <c r="M43" s="1221"/>
      <c r="N43" s="43"/>
      <c r="O43" s="42"/>
    </row>
    <row r="44" spans="1:15" x14ac:dyDescent="0.25">
      <c r="A44" s="40"/>
      <c r="B44" s="1221"/>
      <c r="C44" s="1221"/>
      <c r="D44" s="1221"/>
      <c r="E44" s="1221"/>
      <c r="F44" s="1221"/>
      <c r="G44" s="1221"/>
      <c r="H44" s="1221"/>
      <c r="I44" s="1221"/>
      <c r="J44" s="1221"/>
      <c r="K44" s="1221"/>
      <c r="L44" s="1221"/>
      <c r="M44" s="1221"/>
      <c r="N44" s="43"/>
      <c r="O44" s="42"/>
    </row>
    <row r="45" spans="1:15" x14ac:dyDescent="0.25">
      <c r="A45" s="40"/>
      <c r="B45" s="1221"/>
      <c r="C45" s="1221"/>
      <c r="D45" s="1221"/>
      <c r="E45" s="1221"/>
      <c r="F45" s="1221"/>
      <c r="G45" s="1221"/>
      <c r="H45" s="1221"/>
      <c r="I45" s="1221"/>
      <c r="J45" s="1221"/>
      <c r="K45" s="1221"/>
      <c r="L45" s="1221"/>
      <c r="M45" s="1221"/>
      <c r="N45" s="43"/>
      <c r="O45" s="42"/>
    </row>
    <row r="46" spans="1:15" x14ac:dyDescent="0.25">
      <c r="A46" s="40"/>
      <c r="B46" s="1221"/>
      <c r="C46" s="1221"/>
      <c r="D46" s="1221"/>
      <c r="E46" s="1221"/>
      <c r="F46" s="1221"/>
      <c r="G46" s="1221"/>
      <c r="H46" s="1221"/>
      <c r="I46" s="1221"/>
      <c r="J46" s="1221"/>
      <c r="K46" s="1221"/>
      <c r="L46" s="1221"/>
      <c r="M46" s="1221"/>
      <c r="N46" s="43"/>
      <c r="O46" s="42"/>
    </row>
    <row r="47" spans="1:15" x14ac:dyDescent="0.25">
      <c r="A47" s="40"/>
      <c r="B47" s="1221"/>
      <c r="C47" s="1221"/>
      <c r="D47" s="1221"/>
      <c r="E47" s="1221"/>
      <c r="F47" s="1221"/>
      <c r="G47" s="1221"/>
      <c r="H47" s="1221"/>
      <c r="I47" s="1221"/>
      <c r="J47" s="1221"/>
      <c r="K47" s="1221"/>
      <c r="L47" s="1221"/>
      <c r="M47" s="1221"/>
      <c r="N47" s="43"/>
      <c r="O47" s="42"/>
    </row>
    <row r="48" spans="1:15" x14ac:dyDescent="0.25">
      <c r="A48" s="40"/>
      <c r="B48" s="1221"/>
      <c r="C48" s="1221"/>
      <c r="D48" s="1221"/>
      <c r="E48" s="1221"/>
      <c r="F48" s="1221"/>
      <c r="G48" s="1221"/>
      <c r="H48" s="1221"/>
      <c r="I48" s="1221"/>
      <c r="J48" s="1221"/>
      <c r="K48" s="1221"/>
      <c r="L48" s="1221"/>
      <c r="M48" s="1221"/>
      <c r="N48" s="43"/>
      <c r="O48" s="42"/>
    </row>
    <row r="49" spans="1:15" x14ac:dyDescent="0.25">
      <c r="A49" s="40"/>
      <c r="B49" s="1221"/>
      <c r="C49" s="1221"/>
      <c r="D49" s="1221"/>
      <c r="E49" s="1221"/>
      <c r="F49" s="1221"/>
      <c r="G49" s="1221"/>
      <c r="H49" s="1221"/>
      <c r="I49" s="1221"/>
      <c r="J49" s="1221"/>
      <c r="K49" s="1221"/>
      <c r="L49" s="1221"/>
      <c r="M49" s="1221"/>
      <c r="N49" s="43"/>
      <c r="O49" s="42"/>
    </row>
    <row r="50" spans="1:15" x14ac:dyDescent="0.25">
      <c r="A50" s="40"/>
      <c r="B50" s="1221"/>
      <c r="C50" s="1221"/>
      <c r="D50" s="1221"/>
      <c r="E50" s="1221"/>
      <c r="F50" s="1221"/>
      <c r="G50" s="1221"/>
      <c r="H50" s="1221"/>
      <c r="I50" s="1221"/>
      <c r="J50" s="1221"/>
      <c r="K50" s="1221"/>
      <c r="L50" s="1221"/>
      <c r="M50" s="1221"/>
      <c r="N50" s="43"/>
      <c r="O50" s="42"/>
    </row>
    <row r="51" spans="1:15" x14ac:dyDescent="0.25">
      <c r="A51" s="40"/>
      <c r="B51" s="1221"/>
      <c r="C51" s="1221"/>
      <c r="D51" s="1221"/>
      <c r="E51" s="1221"/>
      <c r="F51" s="1221"/>
      <c r="G51" s="1221"/>
      <c r="H51" s="1221"/>
      <c r="I51" s="1221"/>
      <c r="J51" s="1221"/>
      <c r="K51" s="1221"/>
      <c r="L51" s="1221"/>
      <c r="M51" s="1221"/>
      <c r="N51" s="43"/>
      <c r="O51" s="42"/>
    </row>
    <row r="52" spans="1:15" x14ac:dyDescent="0.25">
      <c r="A52" s="40"/>
      <c r="B52" s="1221"/>
      <c r="C52" s="1221"/>
      <c r="D52" s="1221"/>
      <c r="E52" s="1221"/>
      <c r="F52" s="1221"/>
      <c r="G52" s="1221"/>
      <c r="H52" s="1221"/>
      <c r="I52" s="1221"/>
      <c r="J52" s="1221"/>
      <c r="K52" s="1221"/>
      <c r="L52" s="1221"/>
      <c r="M52" s="1221"/>
      <c r="N52" s="43"/>
      <c r="O52" s="42"/>
    </row>
    <row r="53" spans="1:15" x14ac:dyDescent="0.25">
      <c r="A53" s="40"/>
      <c r="B53" s="1221"/>
      <c r="C53" s="1221"/>
      <c r="D53" s="1221"/>
      <c r="E53" s="1221"/>
      <c r="F53" s="1221"/>
      <c r="G53" s="1221"/>
      <c r="H53" s="1221"/>
      <c r="I53" s="1221"/>
      <c r="J53" s="1221"/>
      <c r="K53" s="1221"/>
      <c r="L53" s="1221"/>
      <c r="M53" s="1221"/>
      <c r="N53" s="43"/>
      <c r="O53" s="42"/>
    </row>
    <row r="54" spans="1:15" x14ac:dyDescent="0.25">
      <c r="A54" s="40"/>
      <c r="B54" s="1221"/>
      <c r="C54" s="1221"/>
      <c r="D54" s="1221"/>
      <c r="E54" s="1221"/>
      <c r="F54" s="1221"/>
      <c r="G54" s="1221"/>
      <c r="H54" s="1221"/>
      <c r="I54" s="1221"/>
      <c r="J54" s="1221"/>
      <c r="K54" s="1221"/>
      <c r="L54" s="1221"/>
      <c r="M54" s="1221"/>
      <c r="N54" s="43"/>
      <c r="O54" s="42"/>
    </row>
    <row r="55" spans="1:15" x14ac:dyDescent="0.25">
      <c r="A55" s="40"/>
      <c r="B55" s="1221"/>
      <c r="C55" s="1221"/>
      <c r="D55" s="1221"/>
      <c r="E55" s="1221"/>
      <c r="F55" s="1221"/>
      <c r="G55" s="1221"/>
      <c r="H55" s="1221"/>
      <c r="I55" s="1221"/>
      <c r="J55" s="1221"/>
      <c r="K55" s="1221"/>
      <c r="L55" s="1221"/>
      <c r="M55" s="1221"/>
      <c r="N55" s="43"/>
      <c r="O55" s="42"/>
    </row>
    <row r="56" spans="1:15" x14ac:dyDescent="0.25">
      <c r="A56" s="40"/>
      <c r="B56" s="1221"/>
      <c r="C56" s="1221"/>
      <c r="D56" s="1221"/>
      <c r="E56" s="1221"/>
      <c r="F56" s="1221"/>
      <c r="G56" s="1221"/>
      <c r="H56" s="1221"/>
      <c r="I56" s="1221"/>
      <c r="J56" s="1221"/>
      <c r="K56" s="1221"/>
      <c r="L56" s="1221"/>
      <c r="M56" s="1221"/>
      <c r="N56" s="43"/>
      <c r="O56" s="42"/>
    </row>
    <row r="57" spans="1:15" x14ac:dyDescent="0.25">
      <c r="A57" s="40"/>
      <c r="N57" s="43"/>
      <c r="O57" s="42"/>
    </row>
    <row r="58" spans="1:15" x14ac:dyDescent="0.25">
      <c r="A58" s="40"/>
      <c r="N58" s="43"/>
      <c r="O58" s="42"/>
    </row>
    <row r="59" spans="1:15" x14ac:dyDescent="0.25">
      <c r="A59" s="40"/>
      <c r="J59" s="1222"/>
      <c r="K59" s="1222"/>
      <c r="L59" s="1222"/>
      <c r="M59" s="68"/>
      <c r="N59" s="43"/>
      <c r="O59" s="42"/>
    </row>
    <row r="60" spans="1:15" x14ac:dyDescent="0.25">
      <c r="A60" s="40"/>
      <c r="I60" s="55"/>
      <c r="N60" s="43"/>
      <c r="O60" s="42"/>
    </row>
    <row r="61" spans="1:15" x14ac:dyDescent="0.25">
      <c r="A61" s="40"/>
      <c r="N61" s="43"/>
      <c r="O61" s="42"/>
    </row>
    <row r="62" spans="1:15" x14ac:dyDescent="0.25">
      <c r="A62" s="40"/>
      <c r="B62" s="1216"/>
      <c r="C62" s="1117"/>
      <c r="D62" s="1117"/>
      <c r="E62" s="1117"/>
      <c r="F62" s="1117"/>
      <c r="G62" s="1117"/>
      <c r="H62" s="1117"/>
      <c r="I62" s="1117"/>
      <c r="K62" s="1216"/>
      <c r="L62" s="1117"/>
      <c r="M62" s="1117"/>
      <c r="N62" s="43"/>
      <c r="O62" s="42"/>
    </row>
    <row r="63" spans="1:15" x14ac:dyDescent="0.25">
      <c r="A63" s="40"/>
      <c r="B63" s="45" t="s">
        <v>57</v>
      </c>
      <c r="C63"/>
      <c r="D63"/>
      <c r="E63"/>
      <c r="F63"/>
      <c r="G63"/>
      <c r="H63"/>
      <c r="I63"/>
      <c r="J63"/>
      <c r="K63" s="1214" t="s">
        <v>89</v>
      </c>
      <c r="L63" s="1214"/>
      <c r="M63" s="1214"/>
      <c r="N63" s="43"/>
      <c r="O63" s="42"/>
    </row>
    <row r="64" spans="1:15" x14ac:dyDescent="0.25">
      <c r="A64" s="56"/>
      <c r="B64" s="80"/>
      <c r="C64" s="80"/>
      <c r="D64" s="80"/>
      <c r="E64" s="80"/>
      <c r="F64" s="80"/>
      <c r="G64" s="80"/>
      <c r="H64" s="80"/>
      <c r="I64" s="80"/>
      <c r="J64" s="81"/>
      <c r="K64" s="1215" t="s">
        <v>509</v>
      </c>
      <c r="L64" s="1215"/>
      <c r="M64" s="1215"/>
      <c r="N64" s="57"/>
      <c r="O64" s="42"/>
    </row>
    <row r="65" spans="2:14" ht="14.4" thickBot="1" x14ac:dyDescent="0.3"/>
    <row r="66" spans="2:14" ht="14.4" customHeight="1" thickBot="1" x14ac:dyDescent="0.3">
      <c r="B66" s="1120" t="s">
        <v>424</v>
      </c>
      <c r="C66" s="1148"/>
      <c r="D66" s="1148"/>
      <c r="E66" s="1148"/>
      <c r="F66" s="1148"/>
      <c r="G66" s="1148"/>
      <c r="H66" s="1148"/>
      <c r="I66" s="1148"/>
      <c r="J66" s="1148"/>
      <c r="K66" s="1148"/>
      <c r="L66" s="1148"/>
      <c r="M66" s="1149"/>
      <c r="N66" s="1015"/>
    </row>
    <row r="67" spans="2:14" x14ac:dyDescent="0.25">
      <c r="M67" s="1015"/>
    </row>
  </sheetData>
  <sheetProtection algorithmName="SHA-512" hashValue="yCysqzv74w5maInSU9KC2I9ZUD/EY2PNUjfcXiIXJ1hqyFx2YsjTWZwBBGOnFS0bPnAY9to6dnxUvzsdCSTggw==" saltValue="2krqtHiFde9pwPXfq2FdiA==" spinCount="100000" sheet="1"/>
  <customSheetViews>
    <customSheetView guid="{9119B1A0-FD79-4FE4-B78E-10E0AEB8080B}" showPageBreaks="1" showGridLines="0" fitToPage="1" printArea="1" view="pageLayout" topLeftCell="A53">
      <selection activeCell="B62" sqref="B62:I62"/>
      <pageMargins left="0.70866141732283472" right="0.70866141732283472" top="0.78740157480314965" bottom="0.78740157480314965" header="0.31496062992125984" footer="0.31496062992125984"/>
      <pageSetup paperSize="9" scale="79" orientation="portrait" r:id="rId1"/>
      <headerFooter>
        <oddHeader>&amp;C&amp;9Bewohnervertretung</oddHeader>
        <oddFooter>&amp;L&amp;8Version: 21.06.2022&amp;C&amp;8Verhandlungsunterlagen SGB XI (vereinfacht B1)&amp;R&amp;8PSK-Beschluss Nr. 3-2022 vom 21.06.2022</oddFooter>
      </headerFooter>
    </customSheetView>
  </customSheetViews>
  <mergeCells count="18">
    <mergeCell ref="A1:N1"/>
    <mergeCell ref="A2:N2"/>
    <mergeCell ref="A3:N3"/>
    <mergeCell ref="A4:N4"/>
    <mergeCell ref="B6:G6"/>
    <mergeCell ref="L6:M6"/>
    <mergeCell ref="B8:M8"/>
    <mergeCell ref="F20:L20"/>
    <mergeCell ref="F24:L24"/>
    <mergeCell ref="B38:M56"/>
    <mergeCell ref="J59:L59"/>
    <mergeCell ref="F22:L22"/>
    <mergeCell ref="F26:L26"/>
    <mergeCell ref="B66:M66"/>
    <mergeCell ref="K63:M63"/>
    <mergeCell ref="K64:M64"/>
    <mergeCell ref="K62:M62"/>
    <mergeCell ref="B62:I62"/>
  </mergeCells>
  <hyperlinks>
    <hyperlink ref="B66" location="'Anlage 1'!A1" display="Anlage 1" xr:uid="{A7A07D3B-2085-454B-92CD-5764EBD7CE87}"/>
    <hyperlink ref="B66:J66" location="B_PH_Bewohnervertretung!Druckbereich" display="gehe weiter zu B_PH_Bewohnervertretung" xr:uid="{F36A631D-B979-4B8A-A9D8-20A4D727FCFB}"/>
    <hyperlink ref="B66:M66" location="B_KZP_Ergebnis!A1" display="gehe weiter zu B_KZP_Ergebnis" xr:uid="{C7696CF0-7D6F-4955-8283-A565ACC64057}"/>
  </hyperlinks>
  <pageMargins left="0.70866141732283472" right="0.70866141732283472" top="0.78740157480314965" bottom="0.78740157480314965" header="0.31496062992125984" footer="0.31496062992125984"/>
  <pageSetup paperSize="9" scale="79" orientation="portrait"/>
  <headerFooter>
    <oddHeader>&amp;C&amp;9&amp;A</oddHeader>
    <oddFooter>&amp;L&amp;8Version: 19.10.2026&amp;C&amp;8Verhandlungsunterlagen SGB XI (vereinfacht B_KZP)&amp;R&amp;8PSK-Beschluss vom 08.10.2026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B99B-60B5-4470-8979-FF2AC09E60FA}">
  <dimension ref="A1:P75"/>
  <sheetViews>
    <sheetView showGridLines="0" zoomScaleNormal="100" workbookViewId="0">
      <selection activeCell="A4" sqref="A4"/>
    </sheetView>
  </sheetViews>
  <sheetFormatPr baseColWidth="10" defaultColWidth="11" defaultRowHeight="13.8" x14ac:dyDescent="0.25"/>
  <cols>
    <col min="1" max="1" width="3.8984375" style="3" customWidth="1"/>
    <col min="2" max="2" width="24.09765625" style="3" customWidth="1"/>
    <col min="3" max="3" width="13.59765625" style="3" customWidth="1"/>
    <col min="4" max="4" width="1.19921875" style="3" customWidth="1"/>
    <col min="5" max="5" width="2.3984375" style="3" customWidth="1"/>
    <col min="6" max="6" width="12.69921875" style="3" customWidth="1"/>
    <col min="7" max="7" width="2.19921875" style="3" customWidth="1"/>
    <col min="8" max="10" width="12.69921875" style="3" customWidth="1"/>
    <col min="11" max="11" width="3.19921875" style="3" customWidth="1"/>
    <col min="12" max="12" width="12.69921875" style="3" customWidth="1"/>
    <col min="13" max="13" width="2.19921875" style="3" customWidth="1"/>
    <col min="14" max="14" width="12.69921875" style="3" customWidth="1"/>
    <col min="15" max="15" width="4.69921875" style="3" customWidth="1"/>
    <col min="16" max="16384" width="11" style="3"/>
  </cols>
  <sheetData>
    <row r="1" spans="1:15" ht="26.25" customHeight="1" x14ac:dyDescent="0.25">
      <c r="A1" s="1235" t="str">
        <f>'B_KZP_Allgemeine Angaben'!A1:N1</f>
        <v>Vereinfachtes Verfahren der Aufforderung zum Abschluss einer Pflegesatzvereinbarung gemäß § 84, 85 SGB XI - Kurzzeitpflegeeinrichtungen</v>
      </c>
      <c r="B1" s="1236"/>
      <c r="C1" s="1236"/>
      <c r="D1" s="1236"/>
      <c r="E1" s="1236"/>
      <c r="F1" s="1236"/>
      <c r="G1" s="1236"/>
      <c r="H1" s="1236"/>
      <c r="I1" s="1236"/>
      <c r="J1" s="1236"/>
      <c r="K1" s="1236"/>
      <c r="L1" s="1236"/>
      <c r="M1" s="1236"/>
      <c r="N1" s="1236"/>
      <c r="O1" s="1237"/>
    </row>
    <row r="2" spans="1:15" ht="15" customHeight="1" x14ac:dyDescent="0.25">
      <c r="A2" s="1240" t="s">
        <v>282</v>
      </c>
      <c r="B2" s="1241"/>
      <c r="C2" s="1241"/>
      <c r="D2" s="1241"/>
      <c r="E2" s="1241"/>
      <c r="F2" s="1241"/>
      <c r="G2" s="1241"/>
      <c r="H2" s="1241"/>
      <c r="I2" s="1241"/>
      <c r="J2" s="1241"/>
      <c r="K2" s="1241"/>
      <c r="L2" s="1241"/>
      <c r="M2" s="562"/>
      <c r="N2" s="562"/>
      <c r="O2" s="572"/>
    </row>
    <row r="3" spans="1:15" ht="15" customHeight="1" x14ac:dyDescent="0.25">
      <c r="A3" s="319"/>
      <c r="B3" s="320"/>
      <c r="C3" s="320"/>
      <c r="D3" s="320"/>
      <c r="E3" s="320"/>
      <c r="F3" s="320"/>
      <c r="G3" s="320"/>
      <c r="H3" s="320"/>
      <c r="I3" s="320"/>
      <c r="J3" s="38"/>
      <c r="K3" s="38"/>
      <c r="L3" s="565" t="s">
        <v>177</v>
      </c>
      <c r="M3" s="565"/>
      <c r="N3" s="564">
        <f>'B_KZP_Allgemeine Angaben'!L4</f>
        <v>0</v>
      </c>
      <c r="O3" s="572"/>
    </row>
    <row r="4" spans="1:15" ht="9.6" customHeight="1" x14ac:dyDescent="0.25">
      <c r="A4" s="1027"/>
      <c r="B4" s="266"/>
      <c r="C4" s="266"/>
      <c r="D4" s="266"/>
      <c r="E4" s="266"/>
      <c r="F4" s="266"/>
      <c r="G4" s="266"/>
      <c r="H4" s="266"/>
      <c r="I4" s="266"/>
      <c r="J4" s="266"/>
      <c r="K4" s="266"/>
      <c r="L4" s="266"/>
      <c r="M4" s="266"/>
      <c r="N4" s="266"/>
      <c r="O4" s="4"/>
    </row>
    <row r="5" spans="1:15" x14ac:dyDescent="0.25">
      <c r="A5" s="265"/>
      <c r="B5" s="1242" t="s">
        <v>194</v>
      </c>
      <c r="C5" s="1242"/>
      <c r="D5" s="1242"/>
      <c r="E5" s="267"/>
      <c r="F5" s="563" t="s">
        <v>188</v>
      </c>
      <c r="G5" s="563"/>
      <c r="H5" s="563"/>
      <c r="I5" s="563"/>
      <c r="J5" s="563"/>
      <c r="K5" s="266"/>
      <c r="L5" s="266"/>
      <c r="M5" s="266"/>
      <c r="N5" s="266"/>
      <c r="O5" s="4"/>
    </row>
    <row r="6" spans="1:15" x14ac:dyDescent="0.25">
      <c r="A6" s="265"/>
      <c r="B6" s="1243" t="str">
        <f>IF('B_KZP_Allgemeine Angaben'!D12&lt;&gt;0,'B_KZP_Allgemeine Angaben'!D12,"")</f>
        <v/>
      </c>
      <c r="C6" s="1243"/>
      <c r="D6" s="1243"/>
      <c r="E6" s="267"/>
      <c r="F6" s="268" t="str">
        <f>IF('B_KZP_Allgemeine Angaben'!D26&lt;&gt;0,'B_KZP_Allgemeine Angaben'!D26,"")</f>
        <v/>
      </c>
      <c r="G6" s="268"/>
      <c r="H6" s="268"/>
      <c r="I6" s="268"/>
      <c r="J6" s="268"/>
      <c r="K6" s="266"/>
      <c r="L6" s="266"/>
      <c r="M6" s="266"/>
      <c r="N6" s="266"/>
      <c r="O6" s="4"/>
    </row>
    <row r="7" spans="1:15" x14ac:dyDescent="0.25">
      <c r="A7" s="265"/>
      <c r="B7" s="1243" t="str">
        <f>IF('B_KZP_Allgemeine Angaben'!D14&lt;&gt;0,'B_KZP_Allgemeine Angaben'!D14,"")</f>
        <v/>
      </c>
      <c r="C7" s="1243"/>
      <c r="D7" s="1243"/>
      <c r="E7" s="267"/>
      <c r="F7" s="268" t="str">
        <f>IF('B_KZP_Allgemeine Angaben'!D28&lt;&gt;0,'B_KZP_Allgemeine Angaben'!D28,"")</f>
        <v/>
      </c>
      <c r="G7" s="268"/>
      <c r="H7" s="268"/>
      <c r="I7" s="268"/>
      <c r="J7" s="268"/>
      <c r="K7" s="266"/>
      <c r="L7" s="266"/>
      <c r="M7" s="266"/>
      <c r="N7" s="266"/>
      <c r="O7" s="4"/>
    </row>
    <row r="8" spans="1:15" x14ac:dyDescent="0.25">
      <c r="A8" s="265"/>
      <c r="B8" s="1243" t="str">
        <f>IF('B_KZP_Allgemeine Angaben'!D16&lt;&gt;0,'B_KZP_Allgemeine Angaben'!D16&amp;" "&amp;'B_KZP_Allgemeine Angaben'!J16,"")</f>
        <v/>
      </c>
      <c r="C8" s="1243"/>
      <c r="D8" s="1243"/>
      <c r="E8" s="267"/>
      <c r="F8" s="268" t="str">
        <f>IF('B_KZP_Allgemeine Angaben'!D30&lt;&gt;0,'B_KZP_Allgemeine Angaben'!D30&amp;" "&amp;'B_KZP_Allgemeine Angaben'!J30,"")</f>
        <v/>
      </c>
      <c r="G8" s="268"/>
      <c r="H8" s="268"/>
      <c r="I8" s="268"/>
      <c r="J8" s="268"/>
      <c r="K8" s="266"/>
      <c r="L8" s="266"/>
      <c r="M8" s="266"/>
      <c r="N8" s="266"/>
      <c r="O8" s="4"/>
    </row>
    <row r="9" spans="1:15" s="266" customFormat="1" ht="14.25" customHeight="1" x14ac:dyDescent="0.25">
      <c r="A9" s="265"/>
      <c r="B9" s="267" t="str">
        <f>'B_KZP_Allgemeine Angaben'!K6</f>
        <v>Institutionskennzeichen (IK):</v>
      </c>
      <c r="C9" s="1239">
        <f>'B_KZP_Allgemeine Angaben'!L6</f>
        <v>0</v>
      </c>
      <c r="D9" s="1239"/>
      <c r="E9" s="267"/>
      <c r="G9" s="270"/>
      <c r="O9" s="272"/>
    </row>
    <row r="10" spans="1:15" ht="10.199999999999999" customHeight="1" x14ac:dyDescent="0.25">
      <c r="A10" s="265"/>
      <c r="E10" s="267"/>
      <c r="K10" s="266"/>
      <c r="L10" s="266"/>
      <c r="M10" s="266"/>
      <c r="N10" s="266"/>
      <c r="O10" s="4"/>
    </row>
    <row r="11" spans="1:15" x14ac:dyDescent="0.25">
      <c r="A11" s="265"/>
      <c r="B11" s="5" t="s">
        <v>389</v>
      </c>
      <c r="E11" s="567"/>
      <c r="F11" s="608" t="str">
        <f>IF('B_KZP_Allgemeine Angaben'!H51&gt;0,'B_KZP_Allgemeine Angaben'!H51,"")</f>
        <v/>
      </c>
      <c r="H11" s="568" t="s">
        <v>189</v>
      </c>
      <c r="I11" s="608">
        <f>IFERROR('B_KZP_Allgemeine Angaben'!K51,"")</f>
        <v>0</v>
      </c>
      <c r="J11" s="266"/>
      <c r="K11" s="266"/>
      <c r="L11" s="266"/>
      <c r="M11" s="266"/>
      <c r="N11" s="266"/>
      <c r="O11" s="4"/>
    </row>
    <row r="12" spans="1:15" ht="13.95" customHeight="1" x14ac:dyDescent="0.25">
      <c r="A12" s="265"/>
      <c r="B12" s="5"/>
      <c r="J12" s="266"/>
      <c r="K12" s="266"/>
      <c r="L12" s="266"/>
      <c r="M12" s="266"/>
      <c r="N12" s="266"/>
      <c r="O12" s="4"/>
    </row>
    <row r="13" spans="1:15" ht="13.95" customHeight="1" x14ac:dyDescent="0.25">
      <c r="A13" s="265"/>
      <c r="B13" s="5"/>
      <c r="F13" s="266"/>
      <c r="G13" s="597"/>
      <c r="I13" s="266"/>
      <c r="J13" s="266"/>
      <c r="M13" s="266"/>
      <c r="N13" s="266"/>
      <c r="O13" s="4"/>
    </row>
    <row r="14" spans="1:15" x14ac:dyDescent="0.25">
      <c r="A14" s="265"/>
      <c r="B14" s="582" t="s">
        <v>379</v>
      </c>
      <c r="E14" s="567"/>
      <c r="F14" s="266"/>
      <c r="G14" s="598"/>
      <c r="I14" s="266"/>
      <c r="J14" s="266"/>
      <c r="M14" s="266"/>
      <c r="N14" s="266"/>
      <c r="O14" s="4"/>
    </row>
    <row r="15" spans="1:15" ht="10.199999999999999" customHeight="1" x14ac:dyDescent="0.25">
      <c r="A15" s="265"/>
      <c r="B15" s="5"/>
      <c r="E15" s="567"/>
      <c r="F15" s="583"/>
      <c r="G15" s="266"/>
      <c r="H15" s="266"/>
      <c r="I15" s="266"/>
      <c r="J15" s="266"/>
      <c r="M15" s="266"/>
      <c r="N15" s="266"/>
      <c r="O15" s="4"/>
    </row>
    <row r="16" spans="1:15" x14ac:dyDescent="0.25">
      <c r="A16" s="265"/>
      <c r="B16" s="580" t="s">
        <v>52</v>
      </c>
      <c r="C16" s="581"/>
      <c r="E16" s="567"/>
      <c r="F16" s="584">
        <f>B_KZP_Kalkulation!H18</f>
        <v>0</v>
      </c>
      <c r="G16" s="266"/>
      <c r="H16" s="266"/>
      <c r="I16" s="266"/>
      <c r="J16" s="266"/>
      <c r="M16" s="266"/>
      <c r="N16" s="266"/>
      <c r="O16" s="4"/>
    </row>
    <row r="17" spans="1:16" x14ac:dyDescent="0.25">
      <c r="A17" s="265"/>
      <c r="B17" s="580" t="s">
        <v>53</v>
      </c>
      <c r="C17" s="581"/>
      <c r="E17" s="567"/>
      <c r="F17" s="584">
        <f>B_KZP_Kalkulation!I18</f>
        <v>0</v>
      </c>
      <c r="G17" s="266"/>
      <c r="H17" s="266"/>
      <c r="I17" s="266"/>
      <c r="J17" s="266"/>
      <c r="M17" s="266"/>
      <c r="N17" s="266"/>
      <c r="O17" s="4"/>
    </row>
    <row r="18" spans="1:16" x14ac:dyDescent="0.25">
      <c r="A18" s="265"/>
      <c r="B18" s="580" t="s">
        <v>54</v>
      </c>
      <c r="C18" s="581"/>
      <c r="E18" s="567"/>
      <c r="F18" s="584">
        <f>B_KZP_Kalkulation!J18</f>
        <v>0</v>
      </c>
      <c r="G18" s="266"/>
      <c r="H18" s="266"/>
      <c r="I18" s="266"/>
      <c r="J18" s="266"/>
      <c r="M18" s="266"/>
      <c r="N18" s="266"/>
      <c r="O18" s="4"/>
    </row>
    <row r="19" spans="1:16" x14ac:dyDescent="0.25">
      <c r="A19" s="265"/>
      <c r="B19" s="580" t="s">
        <v>55</v>
      </c>
      <c r="C19" s="581"/>
      <c r="E19" s="567"/>
      <c r="F19" s="584">
        <f>B_KZP_Kalkulation!K18</f>
        <v>0</v>
      </c>
      <c r="G19" s="266"/>
      <c r="H19" s="266"/>
      <c r="I19" s="266"/>
      <c r="J19" s="266"/>
      <c r="M19" s="266"/>
      <c r="N19" s="266"/>
      <c r="O19" s="4"/>
    </row>
    <row r="20" spans="1:16" x14ac:dyDescent="0.25">
      <c r="A20" s="265"/>
      <c r="B20" s="580" t="s">
        <v>56</v>
      </c>
      <c r="C20" s="581"/>
      <c r="E20" s="567"/>
      <c r="F20" s="584">
        <f>B_KZP_Kalkulation!L18</f>
        <v>0</v>
      </c>
      <c r="G20" s="266"/>
      <c r="H20" s="266"/>
      <c r="I20" s="266"/>
      <c r="J20" s="266"/>
      <c r="M20" s="266"/>
      <c r="N20" s="266"/>
      <c r="O20" s="4"/>
    </row>
    <row r="21" spans="1:16" ht="6" customHeight="1" x14ac:dyDescent="0.25">
      <c r="A21" s="265"/>
      <c r="B21" s="569"/>
      <c r="E21" s="567"/>
      <c r="F21" s="583"/>
      <c r="G21" s="266"/>
      <c r="H21" s="266"/>
      <c r="I21" s="266"/>
      <c r="J21" s="266"/>
      <c r="M21" s="266"/>
      <c r="N21" s="266"/>
      <c r="O21" s="4"/>
    </row>
    <row r="22" spans="1:16" x14ac:dyDescent="0.25">
      <c r="A22" s="265"/>
      <c r="B22" s="580" t="s">
        <v>362</v>
      </c>
      <c r="C22" s="581"/>
      <c r="E22" s="567"/>
      <c r="F22" s="584">
        <f>B_KZP_Kalkulation!L16</f>
        <v>0</v>
      </c>
      <c r="G22" s="266"/>
      <c r="H22" s="266"/>
      <c r="I22" s="266"/>
      <c r="J22" s="266"/>
      <c r="M22" s="266"/>
      <c r="N22" s="266"/>
      <c r="O22" s="4"/>
    </row>
    <row r="23" spans="1:16" x14ac:dyDescent="0.25">
      <c r="A23" s="265"/>
      <c r="B23" s="569"/>
      <c r="E23" s="567"/>
      <c r="F23" s="644"/>
      <c r="G23" s="266"/>
      <c r="H23" s="266"/>
      <c r="I23" s="266"/>
      <c r="J23" s="266"/>
      <c r="M23" s="266"/>
      <c r="N23" s="266"/>
      <c r="O23" s="4"/>
      <c r="P23" s="2"/>
    </row>
    <row r="24" spans="1:16" x14ac:dyDescent="0.25">
      <c r="A24" s="265"/>
      <c r="B24" s="5" t="s">
        <v>359</v>
      </c>
      <c r="E24" s="567"/>
      <c r="F24" s="644"/>
      <c r="G24" s="266"/>
      <c r="H24" s="266"/>
      <c r="I24" s="266"/>
      <c r="J24" s="266"/>
      <c r="M24" s="266"/>
      <c r="N24" s="266"/>
      <c r="O24" s="4"/>
      <c r="P24" s="2"/>
    </row>
    <row r="25" spans="1:16" ht="10.199999999999999" customHeight="1" x14ac:dyDescent="0.25">
      <c r="A25" s="265"/>
      <c r="H25" s="266"/>
      <c r="J25" s="266"/>
      <c r="K25" s="266"/>
      <c r="L25" s="266"/>
      <c r="M25" s="266"/>
      <c r="N25" s="266"/>
      <c r="O25" s="4"/>
      <c r="P25" s="2"/>
    </row>
    <row r="26" spans="1:16" ht="40.200000000000003" customHeight="1" x14ac:dyDescent="0.25">
      <c r="A26" s="265"/>
      <c r="F26" s="639" t="s">
        <v>360</v>
      </c>
      <c r="I26" s="797" t="s">
        <v>361</v>
      </c>
      <c r="J26" s="643" t="s">
        <v>386</v>
      </c>
      <c r="O26" s="4"/>
      <c r="P26" s="2"/>
    </row>
    <row r="27" spans="1:16" x14ac:dyDescent="0.25">
      <c r="A27" s="265"/>
      <c r="B27" s="573"/>
      <c r="E27" s="267"/>
      <c r="F27" s="269"/>
      <c r="G27" s="566"/>
      <c r="I27" s="798"/>
      <c r="K27" s="217"/>
      <c r="O27" s="4"/>
      <c r="P27" s="2"/>
    </row>
    <row r="28" spans="1:16" x14ac:dyDescent="0.25">
      <c r="A28" s="265"/>
      <c r="B28" s="569" t="s">
        <v>333</v>
      </c>
      <c r="E28" s="267"/>
      <c r="F28" s="585">
        <f>IF(B_KZP_Kalkulation!J22&gt;0,B_KZP_Kalkulation!J22,0)</f>
        <v>0</v>
      </c>
      <c r="G28" s="586"/>
      <c r="H28" s="478" t="s">
        <v>363</v>
      </c>
      <c r="I28" s="799" t="str">
        <f>B_KZP_Kalkulation!I22</f>
        <v/>
      </c>
      <c r="J28" s="638">
        <f>IF(B_KZP_Kalkulation!L22&gt;0,B_KZP_Kalkulation!L22,0)</f>
        <v>0</v>
      </c>
      <c r="K28" s="266"/>
      <c r="L28" s="340" t="str">
        <f>IF(AND(F28&gt;0,J28=0),"Bitte Angaben prüfen!","")</f>
        <v/>
      </c>
      <c r="M28" s="266"/>
      <c r="O28" s="4"/>
      <c r="P28" s="2"/>
    </row>
    <row r="29" spans="1:16" ht="10.199999999999999" customHeight="1" x14ac:dyDescent="0.25">
      <c r="A29" s="265"/>
      <c r="E29" s="267"/>
      <c r="F29" s="269"/>
      <c r="G29" s="566"/>
      <c r="I29" s="800"/>
      <c r="K29" s="266"/>
      <c r="L29" s="266"/>
      <c r="M29" s="266"/>
      <c r="O29" s="4"/>
      <c r="P29" s="2"/>
    </row>
    <row r="30" spans="1:16" x14ac:dyDescent="0.25">
      <c r="A30" s="265"/>
      <c r="B30" s="636" t="s">
        <v>322</v>
      </c>
      <c r="E30" s="267"/>
      <c r="F30" s="587">
        <f>IF(B_KZP_Kalkulation!J23&gt;0,B_KZP_Kalkulation!J23,0)</f>
        <v>0</v>
      </c>
      <c r="G30" s="566"/>
      <c r="H30" s="478" t="s">
        <v>363</v>
      </c>
      <c r="I30" s="799" t="e">
        <f>B_KZP_Kalkulation!I23</f>
        <v>#DIV/0!</v>
      </c>
      <c r="J30" s="638">
        <f>IF(B_KZP_Kalkulation!L23&gt;0,B_KZP_Kalkulation!L23,0)</f>
        <v>0</v>
      </c>
      <c r="K30" s="266"/>
      <c r="L30" s="599" t="str">
        <f>IF(AND(F30&gt;0,J30=0),"Bitte Angaben prüfen!","")</f>
        <v/>
      </c>
      <c r="M30" s="266"/>
      <c r="O30" s="4"/>
    </row>
    <row r="31" spans="1:16" ht="10.199999999999999" customHeight="1" x14ac:dyDescent="0.25">
      <c r="A31" s="265"/>
      <c r="B31" s="569"/>
      <c r="C31" s="569"/>
      <c r="D31" s="569"/>
      <c r="E31" s="267"/>
      <c r="F31" s="269"/>
      <c r="G31" s="566"/>
      <c r="I31" s="800"/>
      <c r="K31" s="266"/>
      <c r="M31" s="266"/>
      <c r="O31" s="4"/>
    </row>
    <row r="32" spans="1:16" s="579" customFormat="1" ht="25.95" customHeight="1" x14ac:dyDescent="0.25">
      <c r="A32" s="575"/>
      <c r="B32" s="1244" t="s">
        <v>385</v>
      </c>
      <c r="C32" s="1244"/>
      <c r="D32" s="1244"/>
      <c r="E32" s="576"/>
      <c r="F32" s="585">
        <f>IF(B_KZP_Kalkulation!J25&gt;0,B_KZP_Kalkulation!J25,0)</f>
        <v>0</v>
      </c>
      <c r="G32" s="576"/>
      <c r="H32" s="478" t="s">
        <v>363</v>
      </c>
      <c r="I32" s="799">
        <f>B_KZP_Kalkulation!I25</f>
        <v>20</v>
      </c>
      <c r="J32" s="638">
        <f>IF(B_KZP_Kalkulation!L25&gt;0,B_KZP_Kalkulation!L25,0)</f>
        <v>0</v>
      </c>
      <c r="L32" s="604" t="str">
        <f>IF(AND(F32&gt;0,J32=0),"Angaben prüfen!","")</f>
        <v/>
      </c>
      <c r="M32" s="577"/>
      <c r="O32" s="578"/>
    </row>
    <row r="33" spans="1:15" ht="10.199999999999999" customHeight="1" x14ac:dyDescent="0.25">
      <c r="A33" s="265"/>
      <c r="B33" s="595"/>
      <c r="C33" s="595"/>
      <c r="D33" s="595"/>
      <c r="E33" s="267"/>
      <c r="F33" s="589"/>
      <c r="G33" s="566"/>
      <c r="H33" s="266"/>
      <c r="I33" s="800"/>
      <c r="L33" s="577"/>
      <c r="M33" s="266"/>
      <c r="O33" s="4"/>
    </row>
    <row r="34" spans="1:15" x14ac:dyDescent="0.25">
      <c r="A34" s="265"/>
      <c r="B34" s="640" t="s">
        <v>425</v>
      </c>
      <c r="C34" s="595"/>
      <c r="D34" s="595"/>
      <c r="E34" s="267"/>
      <c r="F34" s="585">
        <f>IF(B_KZP_Kalkulation!J26&gt;0,B_KZP_Kalkulation!J26,0)</f>
        <v>0</v>
      </c>
      <c r="G34" s="566"/>
      <c r="H34" s="478" t="s">
        <v>363</v>
      </c>
      <c r="I34" s="799">
        <f>B_KZP_Kalkulation!I26</f>
        <v>0</v>
      </c>
      <c r="J34" s="638">
        <f>IF(B_KZP_Kalkulation!L26&gt;0,B_KZP_Kalkulation!L26,0)</f>
        <v>0</v>
      </c>
      <c r="L34" s="604" t="str">
        <f>IF(AND(F34&gt;0,J34=0),"Angaben prüfen!","")</f>
        <v/>
      </c>
      <c r="M34" s="266"/>
      <c r="O34" s="4"/>
    </row>
    <row r="35" spans="1:15" ht="10.199999999999999" customHeight="1" x14ac:dyDescent="0.25">
      <c r="A35" s="265"/>
      <c r="B35" s="595"/>
      <c r="C35" s="595"/>
      <c r="D35" s="595"/>
      <c r="E35" s="267"/>
      <c r="F35" s="589"/>
      <c r="G35" s="566"/>
      <c r="H35" s="266"/>
      <c r="I35" s="800"/>
      <c r="L35" s="579"/>
      <c r="M35" s="266"/>
      <c r="O35" s="4"/>
    </row>
    <row r="36" spans="1:15" x14ac:dyDescent="0.25">
      <c r="A36" s="265"/>
      <c r="B36" s="636" t="s">
        <v>411</v>
      </c>
      <c r="C36" s="595"/>
      <c r="D36" s="595"/>
      <c r="E36" s="267"/>
      <c r="F36" s="585">
        <f>IF(B_KZP_Kalkulation!J27&gt;0,B_KZP_Kalkulation!J27,0)</f>
        <v>0</v>
      </c>
      <c r="G36" s="566"/>
      <c r="H36" s="478" t="s">
        <v>363</v>
      </c>
      <c r="I36" s="799">
        <f>B_KZP_Kalkulation!I27</f>
        <v>0</v>
      </c>
      <c r="J36" s="638">
        <f>IF(B_KZP_Kalkulation!L27&gt;0,B_KZP_Kalkulation!L27,0)</f>
        <v>0</v>
      </c>
      <c r="L36" s="604" t="str">
        <f>IF(AND(F36&gt;0,J36=0),"Angaben prüfen!","")</f>
        <v/>
      </c>
      <c r="M36" s="266"/>
      <c r="O36" s="4"/>
    </row>
    <row r="37" spans="1:15" ht="10.199999999999999" customHeight="1" x14ac:dyDescent="0.25">
      <c r="A37" s="265"/>
      <c r="B37" s="595"/>
      <c r="C37" s="595"/>
      <c r="D37" s="595"/>
      <c r="E37" s="267"/>
      <c r="F37" s="589"/>
      <c r="G37" s="566"/>
      <c r="K37" s="579"/>
      <c r="L37" s="266"/>
      <c r="M37" s="266"/>
      <c r="O37" s="4"/>
    </row>
    <row r="38" spans="1:15" x14ac:dyDescent="0.25">
      <c r="A38" s="265"/>
      <c r="E38" s="267"/>
      <c r="F38" s="589" t="s">
        <v>365</v>
      </c>
      <c r="G38" s="566"/>
      <c r="J38" s="617" t="s">
        <v>366</v>
      </c>
      <c r="K38" s="577"/>
      <c r="L38" s="266"/>
      <c r="M38" s="266"/>
      <c r="O38" s="4"/>
    </row>
    <row r="39" spans="1:15" x14ac:dyDescent="0.25">
      <c r="A39" s="265"/>
      <c r="B39" s="569" t="s">
        <v>364</v>
      </c>
      <c r="E39" s="267"/>
      <c r="F39" s="588">
        <f>IF(B_KZP_Kalkulation!J30&gt;0,B_KZP_Kalkulation!J30,0)</f>
        <v>0</v>
      </c>
      <c r="G39" s="566"/>
      <c r="J39" s="638">
        <f>IF(B_KZP_Kalkulation!L30&gt;0,B_KZP_Kalkulation!L30,0)</f>
        <v>0</v>
      </c>
      <c r="L39" s="604" t="str">
        <f>IF(AND(F39&gt;0,J39=0),"Angaben prüfen!","")</f>
        <v/>
      </c>
      <c r="M39" s="266"/>
      <c r="O39" s="4"/>
    </row>
    <row r="40" spans="1:15" ht="10.199999999999999" customHeight="1" x14ac:dyDescent="0.25">
      <c r="A40" s="265"/>
      <c r="E40" s="267"/>
      <c r="F40" s="269"/>
      <c r="G40" s="566"/>
      <c r="H40" s="267"/>
      <c r="I40" s="267"/>
      <c r="J40" s="266"/>
      <c r="K40" s="266"/>
      <c r="L40" s="266"/>
      <c r="M40" s="266"/>
      <c r="N40" s="266"/>
      <c r="O40" s="4"/>
    </row>
    <row r="41" spans="1:15" x14ac:dyDescent="0.25">
      <c r="A41" s="265"/>
      <c r="B41" s="5" t="s">
        <v>388</v>
      </c>
      <c r="E41" s="267"/>
      <c r="F41" s="269"/>
      <c r="G41" s="566"/>
      <c r="H41" s="267"/>
      <c r="I41" s="271" t="s">
        <v>387</v>
      </c>
      <c r="J41" s="266"/>
      <c r="K41" s="266"/>
      <c r="L41" s="266"/>
      <c r="M41" s="266"/>
      <c r="N41" s="266"/>
      <c r="O41" s="4"/>
    </row>
    <row r="42" spans="1:15" ht="10.199999999999999" customHeight="1" x14ac:dyDescent="0.25">
      <c r="A42" s="265"/>
      <c r="E42" s="267"/>
      <c r="F42" s="269"/>
      <c r="G42" s="566"/>
      <c r="H42" s="267"/>
      <c r="I42" s="267"/>
      <c r="J42" s="266"/>
      <c r="K42" s="266"/>
      <c r="L42" s="266"/>
      <c r="M42" s="266"/>
      <c r="N42" s="266"/>
      <c r="O42" s="4"/>
    </row>
    <row r="43" spans="1:15" x14ac:dyDescent="0.25">
      <c r="A43" s="265"/>
      <c r="B43" s="569" t="s">
        <v>367</v>
      </c>
      <c r="E43" s="267"/>
      <c r="F43" s="571">
        <f>B_KZP_Gesamtkalkulation!D22</f>
        <v>0</v>
      </c>
      <c r="G43" s="566"/>
      <c r="H43" s="267"/>
      <c r="I43" s="570" t="s">
        <v>370</v>
      </c>
      <c r="J43" s="266"/>
      <c r="K43" s="266"/>
      <c r="L43" s="596">
        <f>B_KZP_Gesamtkalkulation!D34</f>
        <v>0</v>
      </c>
      <c r="M43" s="486"/>
      <c r="N43" s="266"/>
      <c r="O43" s="4"/>
    </row>
    <row r="44" spans="1:15" x14ac:dyDescent="0.25">
      <c r="A44" s="265"/>
      <c r="B44" s="569" t="s">
        <v>368</v>
      </c>
      <c r="E44" s="267"/>
      <c r="F44" s="571">
        <f>B_KZP_Gesamtkalkulation!D23</f>
        <v>0</v>
      </c>
      <c r="G44" s="566"/>
      <c r="H44" s="267"/>
      <c r="I44" s="570" t="s">
        <v>371</v>
      </c>
      <c r="J44" s="266"/>
      <c r="K44" s="266"/>
      <c r="L44" s="596">
        <f>B_KZP_Gesamtkalkulation!D35</f>
        <v>0</v>
      </c>
      <c r="M44" s="486"/>
      <c r="N44" s="266"/>
      <c r="O44" s="4"/>
    </row>
    <row r="45" spans="1:15" x14ac:dyDescent="0.25">
      <c r="A45" s="265"/>
      <c r="B45" s="569" t="s">
        <v>369</v>
      </c>
      <c r="E45" s="267"/>
      <c r="F45" s="571">
        <f>B_KZP_Gesamtkalkulation!D24</f>
        <v>0</v>
      </c>
      <c r="G45" s="566"/>
      <c r="H45" s="267"/>
      <c r="I45" s="570" t="s">
        <v>372</v>
      </c>
      <c r="J45" s="266"/>
      <c r="K45" s="266"/>
      <c r="L45" s="596">
        <f>B_KZP_Gesamtkalkulation!D36</f>
        <v>0</v>
      </c>
      <c r="M45" s="486"/>
      <c r="N45" s="266"/>
      <c r="O45" s="4"/>
    </row>
    <row r="46" spans="1:15" x14ac:dyDescent="0.25">
      <c r="A46" s="265"/>
      <c r="B46" s="640" t="s">
        <v>417</v>
      </c>
      <c r="E46" s="267"/>
      <c r="F46" s="571">
        <f>B_KZP_Gesamtkalkulation!D25</f>
        <v>0</v>
      </c>
      <c r="G46" s="566"/>
      <c r="H46" s="267"/>
      <c r="I46" s="570" t="s">
        <v>373</v>
      </c>
      <c r="J46" s="266"/>
      <c r="K46" s="266"/>
      <c r="L46" s="596">
        <f>B_KZP_Gesamtkalkulation!D37</f>
        <v>0</v>
      </c>
      <c r="M46" s="486"/>
      <c r="N46" s="266"/>
      <c r="O46" s="4"/>
    </row>
    <row r="47" spans="1:15" x14ac:dyDescent="0.25">
      <c r="A47" s="265"/>
      <c r="B47" s="640" t="s">
        <v>418</v>
      </c>
      <c r="E47" s="267"/>
      <c r="F47" s="571">
        <f>B_KZP_Gesamtkalkulation!D26</f>
        <v>0</v>
      </c>
      <c r="G47" s="566"/>
      <c r="H47" s="267"/>
      <c r="I47" s="570" t="s">
        <v>374</v>
      </c>
      <c r="J47" s="266"/>
      <c r="K47" s="266"/>
      <c r="L47" s="596">
        <f>B_KZP_Gesamtkalkulation!D38</f>
        <v>0</v>
      </c>
      <c r="M47" s="486"/>
      <c r="N47" s="266"/>
      <c r="O47" s="4"/>
    </row>
    <row r="48" spans="1:15" x14ac:dyDescent="0.25">
      <c r="A48" s="265"/>
      <c r="B48" s="640" t="s">
        <v>412</v>
      </c>
      <c r="E48" s="267"/>
      <c r="F48" s="571">
        <f>B_KZP_Gesamtkalkulation!D27</f>
        <v>0</v>
      </c>
      <c r="G48" s="566"/>
      <c r="H48" s="267"/>
      <c r="I48" s="570" t="str">
        <f>"3.6. "&amp;IF(B_KZP_Kalkulation!C52&lt;&gt;"",B_KZP_Kalkulation!C52,"")</f>
        <v xml:space="preserve">3.6. </v>
      </c>
      <c r="J48" s="266"/>
      <c r="K48" s="266"/>
      <c r="L48" s="596">
        <f>B_KZP_Gesamtkalkulation!D39</f>
        <v>0</v>
      </c>
      <c r="M48" s="486"/>
      <c r="N48" s="266"/>
      <c r="O48" s="4"/>
    </row>
    <row r="49" spans="1:16" x14ac:dyDescent="0.25">
      <c r="A49" s="265"/>
      <c r="B49" s="640" t="s">
        <v>413</v>
      </c>
      <c r="E49" s="267"/>
      <c r="F49" s="571">
        <f>B_KZP_Gesamtkalkulation!D28</f>
        <v>0</v>
      </c>
      <c r="G49" s="566"/>
      <c r="H49" s="267"/>
      <c r="I49" s="570" t="str">
        <f>"3.7. "&amp;IF(B_KZP_Kalkulation!C53&lt;&gt;"",B_KZP_Kalkulation!C53,"")</f>
        <v xml:space="preserve">3.7. </v>
      </c>
      <c r="J49" s="266"/>
      <c r="K49" s="266"/>
      <c r="L49" s="596">
        <f>B_KZP_Gesamtkalkulation!D40</f>
        <v>0</v>
      </c>
      <c r="M49" s="266"/>
      <c r="N49" s="266"/>
      <c r="O49" s="4"/>
    </row>
    <row r="50" spans="1:16" x14ac:dyDescent="0.25">
      <c r="A50" s="265"/>
      <c r="B50" s="640" t="s">
        <v>414</v>
      </c>
      <c r="E50" s="267"/>
      <c r="F50" s="571">
        <f>B_KZP_Gesamtkalkulation!D29</f>
        <v>0</v>
      </c>
      <c r="G50" s="566"/>
      <c r="H50" s="267"/>
      <c r="I50" s="570"/>
      <c r="J50" s="266"/>
      <c r="K50" s="266"/>
      <c r="L50" s="637"/>
      <c r="M50" s="266"/>
      <c r="N50" s="266"/>
      <c r="O50" s="4"/>
    </row>
    <row r="51" spans="1:16" x14ac:dyDescent="0.25">
      <c r="A51" s="265"/>
      <c r="B51" s="640" t="s">
        <v>415</v>
      </c>
      <c r="E51" s="267"/>
      <c r="F51" s="571">
        <f>B_KZP_Gesamtkalkulation!D30</f>
        <v>0</v>
      </c>
      <c r="G51" s="566"/>
      <c r="H51" s="267"/>
      <c r="I51" s="570"/>
      <c r="J51" s="266"/>
      <c r="K51" s="266"/>
      <c r="L51" s="637"/>
      <c r="M51" s="266"/>
      <c r="N51" s="266"/>
      <c r="O51" s="4"/>
    </row>
    <row r="52" spans="1:16" x14ac:dyDescent="0.25">
      <c r="A52" s="265"/>
      <c r="B52" s="640" t="s">
        <v>416</v>
      </c>
      <c r="E52" s="267"/>
      <c r="F52" s="571">
        <f>B_KZP_Gesamtkalkulation!D31</f>
        <v>0</v>
      </c>
      <c r="G52" s="566"/>
      <c r="H52" s="267"/>
      <c r="I52" s="267"/>
      <c r="J52" s="266"/>
      <c r="K52" s="266"/>
      <c r="L52" s="266"/>
      <c r="M52" s="266"/>
      <c r="N52" s="266"/>
      <c r="O52" s="4"/>
      <c r="P52" s="2"/>
    </row>
    <row r="53" spans="1:16" ht="4.95" customHeight="1" x14ac:dyDescent="0.25">
      <c r="A53" s="265"/>
      <c r="B53" s="569"/>
      <c r="E53" s="267"/>
      <c r="F53" s="267"/>
      <c r="G53" s="267"/>
      <c r="H53" s="267"/>
      <c r="I53" s="267"/>
      <c r="J53" s="266"/>
      <c r="K53" s="266"/>
      <c r="L53" s="266"/>
      <c r="M53" s="266"/>
      <c r="N53" s="266"/>
      <c r="O53" s="4"/>
      <c r="P53" s="2"/>
    </row>
    <row r="54" spans="1:16" x14ac:dyDescent="0.25">
      <c r="A54" s="265"/>
      <c r="B54" s="569" t="s">
        <v>362</v>
      </c>
      <c r="E54" s="267"/>
      <c r="F54" s="571">
        <f>B_KZP_Gesamtkalkulation!D21</f>
        <v>0</v>
      </c>
      <c r="G54" s="566"/>
      <c r="H54" s="267"/>
      <c r="I54" s="570" t="s">
        <v>362</v>
      </c>
      <c r="J54" s="266"/>
      <c r="K54" s="266"/>
      <c r="L54" s="596">
        <f>B_KZP_Gesamtkalkulation!D33</f>
        <v>0</v>
      </c>
      <c r="M54" s="486"/>
      <c r="N54" s="266"/>
      <c r="O54" s="4"/>
      <c r="P54" s="2"/>
    </row>
    <row r="55" spans="1:16" ht="10.199999999999999" customHeight="1" x14ac:dyDescent="0.25">
      <c r="A55" s="265"/>
      <c r="E55" s="267"/>
      <c r="F55" s="269"/>
      <c r="G55" s="566"/>
      <c r="H55" s="267"/>
      <c r="I55" s="267"/>
      <c r="J55" s="266"/>
      <c r="K55" s="266"/>
      <c r="L55" s="266"/>
      <c r="M55" s="266"/>
      <c r="N55" s="266"/>
      <c r="O55" s="4"/>
      <c r="P55" s="2"/>
    </row>
    <row r="56" spans="1:16" x14ac:dyDescent="0.25">
      <c r="A56" s="265"/>
      <c r="B56" s="5" t="s">
        <v>420</v>
      </c>
      <c r="E56" s="267"/>
      <c r="F56" s="269"/>
      <c r="G56" s="566"/>
      <c r="H56" s="267"/>
      <c r="I56" s="267"/>
      <c r="J56" s="266"/>
      <c r="K56" s="266"/>
      <c r="L56" s="266"/>
      <c r="M56" s="266"/>
      <c r="N56" s="266"/>
      <c r="O56" s="4"/>
      <c r="P56" s="2"/>
    </row>
    <row r="57" spans="1:16" ht="10.199999999999999" customHeight="1" x14ac:dyDescent="0.25">
      <c r="A57" s="265"/>
      <c r="E57" s="267"/>
      <c r="F57" s="269"/>
      <c r="G57" s="566"/>
      <c r="H57" s="267"/>
      <c r="I57" s="267"/>
      <c r="J57" s="266"/>
      <c r="K57" s="266"/>
      <c r="L57" s="266"/>
      <c r="M57" s="266"/>
      <c r="N57" s="266"/>
      <c r="O57" s="4"/>
      <c r="P57" s="2"/>
    </row>
    <row r="58" spans="1:16" x14ac:dyDescent="0.25">
      <c r="A58" s="265"/>
      <c r="B58" s="573" t="s">
        <v>419</v>
      </c>
      <c r="E58" s="267"/>
      <c r="F58" s="574"/>
      <c r="G58" s="566"/>
      <c r="H58" s="267"/>
      <c r="I58" s="84"/>
      <c r="J58" s="266"/>
      <c r="K58" s="266"/>
      <c r="M58" s="266"/>
      <c r="N58" s="266"/>
      <c r="O58" s="4"/>
      <c r="P58" s="2"/>
    </row>
    <row r="59" spans="1:16" ht="10.199999999999999" customHeight="1" x14ac:dyDescent="0.25">
      <c r="A59" s="265"/>
      <c r="E59" s="267"/>
      <c r="F59" s="269"/>
      <c r="G59" s="566"/>
      <c r="H59" s="267"/>
      <c r="I59" s="267"/>
      <c r="J59" s="266"/>
      <c r="K59" s="266"/>
      <c r="M59" s="266"/>
      <c r="N59" s="266"/>
      <c r="O59" s="4"/>
      <c r="P59" s="2"/>
    </row>
    <row r="60" spans="1:16" x14ac:dyDescent="0.25">
      <c r="A60" s="265"/>
      <c r="B60" s="1247" t="s">
        <v>390</v>
      </c>
      <c r="C60" s="1248"/>
      <c r="E60" s="267"/>
      <c r="F60" s="590" t="str">
        <f>IFERROR(B_KZP_Gesamtkalkulation!H46,"")</f>
        <v/>
      </c>
      <c r="G60" s="566"/>
      <c r="H60" s="570" t="s">
        <v>375</v>
      </c>
      <c r="I60" s="1245"/>
      <c r="J60" s="1246"/>
      <c r="K60" s="266"/>
      <c r="L60" s="642"/>
      <c r="M60" s="266"/>
      <c r="N60" s="641"/>
      <c r="O60" s="1051"/>
      <c r="P60" s="2"/>
    </row>
    <row r="61" spans="1:16" ht="10.199999999999999" customHeight="1" x14ac:dyDescent="0.25">
      <c r="A61" s="273"/>
      <c r="J61" s="266"/>
      <c r="K61" s="266"/>
      <c r="M61" s="266"/>
      <c r="N61" s="266"/>
      <c r="O61" s="4"/>
      <c r="P61" s="2"/>
    </row>
    <row r="62" spans="1:16" x14ac:dyDescent="0.25">
      <c r="A62" s="273"/>
      <c r="B62" s="573" t="s">
        <v>381</v>
      </c>
      <c r="F62" s="590" t="str">
        <f>IFERROR(B_KZP_Gesamtkalkulation!K46,"")</f>
        <v/>
      </c>
      <c r="G62" s="566"/>
      <c r="H62" s="570" t="s">
        <v>375</v>
      </c>
      <c r="I62" s="573"/>
      <c r="J62" s="266"/>
      <c r="K62" s="266"/>
      <c r="L62" s="642"/>
      <c r="M62" s="566"/>
      <c r="N62" s="570"/>
      <c r="O62" s="4"/>
      <c r="P62" s="2"/>
    </row>
    <row r="63" spans="1:16" ht="10.199999999999999" customHeight="1" x14ac:dyDescent="0.25">
      <c r="A63" s="273"/>
      <c r="J63" s="266"/>
      <c r="K63" s="266"/>
      <c r="M63" s="266"/>
      <c r="N63" s="266"/>
      <c r="O63" s="4"/>
      <c r="P63" s="2"/>
    </row>
    <row r="64" spans="1:16" x14ac:dyDescent="0.25">
      <c r="A64" s="273"/>
      <c r="B64" s="573" t="s">
        <v>376</v>
      </c>
      <c r="F64" s="574"/>
      <c r="G64" s="566"/>
      <c r="H64" s="267"/>
      <c r="I64" s="84"/>
      <c r="J64" s="266"/>
      <c r="K64" s="266"/>
      <c r="M64" s="266"/>
      <c r="N64" s="266"/>
      <c r="O64" s="4"/>
      <c r="P64" s="2"/>
    </row>
    <row r="65" spans="1:16" ht="10.199999999999999" customHeight="1" x14ac:dyDescent="0.25">
      <c r="A65" s="273"/>
      <c r="J65" s="266"/>
      <c r="K65" s="266"/>
      <c r="M65" s="266"/>
      <c r="N65" s="266"/>
      <c r="O65" s="4"/>
      <c r="P65" s="2"/>
    </row>
    <row r="66" spans="1:16" x14ac:dyDescent="0.25">
      <c r="A66" s="273"/>
      <c r="B66" s="580" t="s">
        <v>377</v>
      </c>
      <c r="C66" s="581"/>
      <c r="F66" s="590" t="str">
        <f>IFERROR(B_KZP_Gesamtkalkulation!I46,"")</f>
        <v/>
      </c>
      <c r="G66" s="566"/>
      <c r="H66" s="570" t="s">
        <v>375</v>
      </c>
      <c r="I66" s="569"/>
      <c r="J66" s="266"/>
      <c r="K66" s="266"/>
      <c r="L66" s="642"/>
      <c r="M66" s="266"/>
      <c r="N66" s="641"/>
      <c r="O66" s="4"/>
      <c r="P66" s="2"/>
    </row>
    <row r="67" spans="1:16" ht="10.199999999999999" customHeight="1" x14ac:dyDescent="0.25">
      <c r="A67" s="273"/>
      <c r="J67" s="266"/>
      <c r="K67" s="266"/>
      <c r="M67" s="266"/>
      <c r="N67" s="266"/>
      <c r="O67" s="4"/>
      <c r="P67" s="2"/>
    </row>
    <row r="68" spans="1:16" x14ac:dyDescent="0.25">
      <c r="A68" s="273"/>
      <c r="B68" s="580" t="s">
        <v>378</v>
      </c>
      <c r="C68" s="581"/>
      <c r="F68" s="590" t="str">
        <f>IFERROR(B_KZP_Gesamtkalkulation!J46,"")</f>
        <v/>
      </c>
      <c r="G68" s="566"/>
      <c r="H68" s="570" t="s">
        <v>375</v>
      </c>
      <c r="I68" s="569"/>
      <c r="J68" s="266"/>
      <c r="K68" s="266"/>
      <c r="L68" s="642"/>
      <c r="M68" s="266"/>
      <c r="N68" s="641"/>
      <c r="O68" s="4"/>
      <c r="P68" s="2"/>
    </row>
    <row r="69" spans="1:16" ht="10.199999999999999" customHeight="1" x14ac:dyDescent="0.25">
      <c r="A69" s="273"/>
      <c r="J69" s="266"/>
      <c r="K69" s="266"/>
      <c r="M69" s="266"/>
      <c r="N69" s="266"/>
      <c r="O69" s="4"/>
    </row>
    <row r="70" spans="1:16" x14ac:dyDescent="0.25">
      <c r="A70" s="273"/>
      <c r="B70" s="1238"/>
      <c r="C70" s="1238"/>
      <c r="D70" s="1238"/>
      <c r="E70" s="1238"/>
      <c r="F70" s="1238"/>
      <c r="G70" s="1238"/>
      <c r="H70" s="1238"/>
      <c r="J70" s="266"/>
      <c r="K70" s="266"/>
      <c r="L70" s="266"/>
      <c r="M70" s="266"/>
      <c r="N70" s="266"/>
      <c r="O70" s="4"/>
    </row>
    <row r="71" spans="1:16" ht="14.25" customHeight="1" x14ac:dyDescent="0.25">
      <c r="A71" s="265"/>
      <c r="B71" s="612"/>
      <c r="C71" s="217"/>
      <c r="D71" s="217"/>
      <c r="E71" s="217"/>
      <c r="F71" s="217"/>
      <c r="H71" s="613"/>
      <c r="I71" s="594"/>
      <c r="J71" s="594"/>
      <c r="K71" s="594"/>
      <c r="L71" s="275"/>
      <c r="M71" s="275"/>
      <c r="N71" s="275"/>
      <c r="O71" s="4"/>
    </row>
    <row r="72" spans="1:16" x14ac:dyDescent="0.25">
      <c r="A72" s="265"/>
      <c r="B72" s="614"/>
      <c r="C72" s="614"/>
      <c r="D72" s="615"/>
      <c r="E72" s="615"/>
      <c r="F72" s="616"/>
      <c r="G72" s="616"/>
      <c r="H72" s="616"/>
      <c r="I72" s="276"/>
      <c r="J72" s="276"/>
      <c r="K72" s="276"/>
      <c r="L72" s="276"/>
      <c r="M72" s="276"/>
      <c r="N72" s="276"/>
      <c r="O72" s="4"/>
    </row>
    <row r="73" spans="1:16" x14ac:dyDescent="0.25">
      <c r="A73" s="265"/>
      <c r="B73" s="1020"/>
      <c r="C73" s="37"/>
      <c r="J73" s="1021"/>
      <c r="K73" s="1022"/>
      <c r="L73" s="1022"/>
      <c r="M73" s="1022"/>
      <c r="N73" s="1022"/>
      <c r="O73" s="4"/>
    </row>
    <row r="74" spans="1:16" x14ac:dyDescent="0.25">
      <c r="A74" s="265"/>
      <c r="B74" s="618" t="s">
        <v>467</v>
      </c>
      <c r="C74" s="569"/>
      <c r="D74" s="569"/>
      <c r="E74" s="569"/>
      <c r="F74" s="612"/>
      <c r="G74" s="569"/>
      <c r="H74" s="569"/>
      <c r="J74" s="570" t="s">
        <v>292</v>
      </c>
      <c r="K74" s="593"/>
      <c r="L74" s="593"/>
      <c r="M74" s="593"/>
      <c r="N74" s="274"/>
      <c r="O74" s="4"/>
    </row>
    <row r="75" spans="1:16" x14ac:dyDescent="0.25">
      <c r="A75" s="35"/>
      <c r="B75" s="279"/>
      <c r="C75" s="278"/>
      <c r="D75" s="278"/>
      <c r="E75" s="278"/>
      <c r="F75" s="278"/>
      <c r="G75" s="278"/>
      <c r="H75" s="278"/>
      <c r="I75" s="278"/>
      <c r="J75" s="278"/>
      <c r="K75" s="278"/>
      <c r="L75" s="278"/>
      <c r="M75" s="278"/>
      <c r="N75" s="278"/>
      <c r="O75" s="210"/>
    </row>
  </sheetData>
  <sheetProtection algorithmName="SHA-512" hashValue="9/SNYvZB6rOKt5knDX8n8Z1I0l6IzSNN4MTYcmLZxhbxPm5K9oxt5FlPLDs6KSdbftrj8sGbnU69PDBLUDplyg==" saltValue="7n4pghMPhisDJgan8WxyGQ==" spinCount="100000" sheet="1" selectLockedCells="1"/>
  <mergeCells count="11">
    <mergeCell ref="A1:O1"/>
    <mergeCell ref="B70:H70"/>
    <mergeCell ref="C9:D9"/>
    <mergeCell ref="A2:L2"/>
    <mergeCell ref="B5:D5"/>
    <mergeCell ref="B6:D6"/>
    <mergeCell ref="B7:D7"/>
    <mergeCell ref="B8:D8"/>
    <mergeCell ref="B32:D32"/>
    <mergeCell ref="I60:J60"/>
    <mergeCell ref="B60:C60"/>
  </mergeCells>
  <pageMargins left="0.70866141732283472" right="0.70866141732283472" top="0.78740157480314965" bottom="0.78740157480314965" header="0.31496062992125984" footer="0.31496062992125984"/>
  <pageSetup paperSize="9" scale="50" orientation="portrait"/>
  <headerFooter>
    <oddHeader>&amp;C&amp;A</oddHeader>
    <oddFooter>&amp;LVersion: 19.10.2026&amp;CVerhandlungsunterlagen SGB XI (vereinfacht B_KZP)&amp;RPSK-Beschluss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3E4D79F0-B928-439F-8CCC-CF30121BB4DF}">
            <xm:f>KAT!#REF!=3</xm:f>
            <x14:dxf>
              <font>
                <color theme="0"/>
              </font>
              <fill>
                <patternFill patternType="none">
                  <bgColor auto="1"/>
                </patternFill>
              </fill>
              <border>
                <left/>
                <right/>
                <top/>
                <bottom/>
                <vertical/>
                <horizontal/>
              </border>
            </x14:dxf>
          </x14:cfRule>
          <xm:sqref>B60:C60</xm:sqref>
        </x14:conditionalFormatting>
        <x14:conditionalFormatting xmlns:xm="http://schemas.microsoft.com/office/excel/2006/main">
          <x14:cfRule type="expression" priority="16" id="{EE78BD91-132F-4BAF-B0C3-98A8D2E976D6}">
            <xm:f>'B_KZP_Berechnung rüE'!$O$11=1</xm:f>
            <x14:dxf>
              <font>
                <color theme="0" tint="-4.9989318521683403E-2"/>
              </font>
              <fill>
                <patternFill>
                  <bgColor theme="0" tint="-0.14996795556505021"/>
                </patternFill>
              </fill>
            </x14:dxf>
          </x14:cfRule>
          <xm:sqref>B72:K72 B73:H73 J73:L73</xm:sqref>
        </x14:conditionalFormatting>
        <x14:conditionalFormatting xmlns:xm="http://schemas.microsoft.com/office/excel/2006/main">
          <x14:cfRule type="expression" priority="152" id="{0C12F5F8-799F-4E8C-A8D5-CC99B22DC256}">
            <xm:f>'B_KZP_Allgemeine Angaben'!#REF!=0</xm:f>
            <x14:dxf>
              <font>
                <color theme="0"/>
              </font>
              <fill>
                <patternFill>
                  <bgColor theme="0"/>
                </patternFill>
              </fill>
              <border>
                <left/>
                <right/>
                <top/>
                <bottom/>
                <vertical/>
                <horizontal/>
              </border>
            </x14:dxf>
          </x14:cfRule>
          <xm:sqref>F9:G9</xm:sqref>
        </x14:conditionalFormatting>
        <x14:conditionalFormatting xmlns:xm="http://schemas.microsoft.com/office/excel/2006/main">
          <x14:cfRule type="expression" priority="160" id="{124BC53A-D6F6-481D-80A0-02E8A2BB8F3A}">
            <xm:f>KAT!#REF!=3</xm:f>
            <x14:dxf>
              <font>
                <color theme="0"/>
              </font>
              <fill>
                <patternFill patternType="none">
                  <bgColor auto="1"/>
                </patternFill>
              </fill>
              <border>
                <left/>
                <right/>
                <top/>
                <bottom/>
                <vertical/>
                <horizontal/>
              </border>
            </x14:dxf>
          </x14:cfRule>
          <xm:sqref>I58:L58 I60:J60 L60 N60 I62:L62 N62 I64:K64 I66:J66 L66 N66 I68:J68 L68 N68</xm:sqref>
        </x14:conditionalFormatting>
        <x14:conditionalFormatting xmlns:xm="http://schemas.microsoft.com/office/excel/2006/main">
          <x14:cfRule type="expression" priority="2" id="{E46681C3-B4BF-465E-A8AD-B1F74A39020F}">
            <xm:f>KAT!$A$80="nein"</xm:f>
            <x14:dxf>
              <fill>
                <patternFill patternType="none">
                  <bgColor auto="1"/>
                </patternFill>
              </fill>
            </x14:dxf>
          </x14:cfRule>
          <xm:sqref>L28 L30 L32 L34 L36 L39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A0DDBB2-4805-49BA-92FF-77E8F743EF9A}">
          <x14:formula1>
            <xm:f>KAT!$H$2:$H$4</xm:f>
          </x14:formula1>
          <xm:sqref>B73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A7A1-F646-4E79-AE0B-C3C7717D97C5}">
  <sheetPr>
    <pageSetUpPr fitToPage="1"/>
  </sheetPr>
  <dimension ref="A1:AH52"/>
  <sheetViews>
    <sheetView showGridLines="0" zoomScaleNormal="100" workbookViewId="0">
      <selection activeCell="A5" sqref="A5"/>
    </sheetView>
  </sheetViews>
  <sheetFormatPr baseColWidth="10" defaultColWidth="11" defaultRowHeight="13.8" x14ac:dyDescent="0.25"/>
  <cols>
    <col min="1" max="1" width="2.09765625" style="3" customWidth="1"/>
    <col min="2" max="2" width="5.59765625" style="3" customWidth="1"/>
    <col min="3" max="3" width="43.59765625" style="3" customWidth="1"/>
    <col min="4" max="4" width="16.59765625" style="3" customWidth="1"/>
    <col min="5" max="6" width="11.59765625" style="3" hidden="1" customWidth="1"/>
    <col min="7" max="7" width="12.59765625" style="3" hidden="1" customWidth="1"/>
    <col min="8" max="12" width="13.59765625" style="3" customWidth="1"/>
    <col min="13" max="13" width="12.59765625" style="657" hidden="1" customWidth="1"/>
    <col min="14" max="15" width="12.59765625" style="658" hidden="1" customWidth="1"/>
    <col min="16" max="16" width="2.09765625" style="3" customWidth="1"/>
    <col min="17" max="16384" width="11" style="3"/>
  </cols>
  <sheetData>
    <row r="1" spans="1:18" ht="15" customHeight="1" x14ac:dyDescent="0.25">
      <c r="A1" s="1252" t="str">
        <f>'B_KZP_Allgemeine Angaben'!A1</f>
        <v>Vereinfachtes Verfahren der Aufforderung zum Abschluss einer Pflegesatzvereinbarung gemäß § 84, 85 SGB XI - Kurzzeitpflegeeinrichtungen</v>
      </c>
      <c r="B1" s="1253"/>
      <c r="C1" s="1253"/>
      <c r="D1" s="1253"/>
      <c r="E1" s="1253"/>
      <c r="F1" s="1253"/>
      <c r="G1" s="1253"/>
      <c r="H1" s="1253"/>
      <c r="I1" s="1254"/>
      <c r="J1" s="1254"/>
      <c r="K1" s="1254"/>
      <c r="L1" s="1254"/>
      <c r="M1" s="1254"/>
      <c r="N1" s="1254"/>
      <c r="O1" s="1255"/>
      <c r="P1" s="1256"/>
      <c r="Q1" s="218"/>
      <c r="R1" s="653"/>
    </row>
    <row r="2" spans="1:18" ht="15" customHeight="1" x14ac:dyDescent="0.25">
      <c r="A2" s="1104" t="s">
        <v>58</v>
      </c>
      <c r="B2" s="1105"/>
      <c r="C2" s="1105"/>
      <c r="D2" s="1105"/>
      <c r="E2" s="1105"/>
      <c r="F2" s="1105"/>
      <c r="G2" s="1105"/>
      <c r="H2" s="1105"/>
      <c r="I2" s="1257"/>
      <c r="J2" s="1257"/>
      <c r="K2" s="1257"/>
      <c r="L2" s="1257"/>
      <c r="M2" s="1257"/>
      <c r="N2" s="1257"/>
      <c r="O2" s="1054"/>
      <c r="P2" s="1258"/>
      <c r="Q2" s="211"/>
    </row>
    <row r="3" spans="1:18" ht="15" customHeight="1" x14ac:dyDescent="0.25">
      <c r="A3" s="1259" t="str">
        <f>'B_KZP_Allgemeine Angaben'!A3</f>
        <v/>
      </c>
      <c r="B3" s="1260"/>
      <c r="C3" s="1260"/>
      <c r="D3" s="1260"/>
      <c r="E3" s="1260"/>
      <c r="F3" s="1260"/>
      <c r="G3" s="1260"/>
      <c r="H3" s="1260"/>
      <c r="I3" s="1257"/>
      <c r="J3" s="1257"/>
      <c r="K3" s="1257"/>
      <c r="L3" s="1257"/>
      <c r="M3" s="1257"/>
      <c r="N3" s="1257"/>
      <c r="O3" s="1054"/>
      <c r="P3" s="1258"/>
      <c r="Q3" s="231"/>
    </row>
    <row r="4" spans="1:18" ht="15" customHeight="1" x14ac:dyDescent="0.25">
      <c r="A4" s="1259"/>
      <c r="B4" s="1260"/>
      <c r="C4" s="1260"/>
      <c r="D4" s="1260"/>
      <c r="E4" s="1260"/>
      <c r="F4" s="1260"/>
      <c r="G4" s="1260"/>
      <c r="H4" s="1260"/>
      <c r="I4" s="1257"/>
      <c r="J4" s="1257"/>
      <c r="K4" s="1257"/>
      <c r="L4" s="1257"/>
      <c r="M4" s="1257"/>
      <c r="N4" s="1257"/>
      <c r="O4" s="1054"/>
      <c r="P4" s="1258"/>
      <c r="Q4" s="263"/>
    </row>
    <row r="5" spans="1:18" ht="14.25" customHeight="1" x14ac:dyDescent="0.25">
      <c r="A5" s="654"/>
      <c r="B5" s="232"/>
      <c r="C5" s="233"/>
      <c r="D5" s="233"/>
      <c r="E5" s="655" t="s">
        <v>59</v>
      </c>
      <c r="F5" s="255"/>
      <c r="I5" s="656" t="s">
        <v>92</v>
      </c>
      <c r="J5" s="656" t="s">
        <v>93</v>
      </c>
      <c r="K5" s="656" t="s">
        <v>426</v>
      </c>
      <c r="L5" s="656" t="s">
        <v>62</v>
      </c>
      <c r="P5" s="4"/>
      <c r="Q5" s="231"/>
    </row>
    <row r="6" spans="1:18" ht="18" customHeight="1" x14ac:dyDescent="0.25">
      <c r="A6" s="2"/>
      <c r="C6" s="235" t="s">
        <v>60</v>
      </c>
      <c r="D6" s="659">
        <f>IF('B_KZP_Allgemeine Angaben'!L47&gt;0,'B_KZP_Allgemeine Angaben'!L47,0)</f>
        <v>0</v>
      </c>
      <c r="E6" s="660" t="s">
        <v>61</v>
      </c>
      <c r="F6" s="660"/>
      <c r="G6" s="661"/>
      <c r="H6" s="34"/>
      <c r="I6" s="662">
        <f>B_KZP_Kalkulation!I7</f>
        <v>365</v>
      </c>
      <c r="J6" s="663" t="str">
        <f>IF(B_KZP_Kalkulation!D7&gt;0,B_KZP_Kalkulation!D7,"")</f>
        <v/>
      </c>
      <c r="K6" s="664" t="str">
        <f>IFERROR(I6*J6*'B_KZP_Allgemeine Angaben'!L47/100,"")</f>
        <v/>
      </c>
      <c r="L6" s="664">
        <f>IFERROR(ROUND(I6/12,2),"")</f>
        <v>30.42</v>
      </c>
      <c r="M6" s="665"/>
      <c r="N6" s="666"/>
      <c r="O6" s="667"/>
      <c r="P6" s="4"/>
    </row>
    <row r="7" spans="1:18" ht="18" customHeight="1" x14ac:dyDescent="0.25">
      <c r="A7" s="2"/>
      <c r="C7" s="235"/>
      <c r="D7" s="235"/>
      <c r="E7" s="668"/>
      <c r="F7" s="236"/>
      <c r="G7" s="234"/>
      <c r="I7" s="235"/>
      <c r="J7" s="235"/>
      <c r="K7" s="235"/>
      <c r="M7" s="669"/>
      <c r="N7" s="669"/>
      <c r="O7" s="670"/>
      <c r="P7" s="4"/>
    </row>
    <row r="8" spans="1:18" ht="18" customHeight="1" x14ac:dyDescent="0.25">
      <c r="A8" s="2"/>
      <c r="C8" s="37"/>
      <c r="D8" s="235"/>
      <c r="E8" s="671" t="s">
        <v>63</v>
      </c>
      <c r="F8" s="671"/>
      <c r="G8" s="234"/>
      <c r="I8" s="672" t="s">
        <v>103</v>
      </c>
      <c r="J8" s="663">
        <v>100</v>
      </c>
      <c r="K8" s="664">
        <f>IFERROR('B_KZP_Allgemeine Angaben'!L47*I6*J8/100,"")</f>
        <v>0</v>
      </c>
      <c r="M8" s="665"/>
      <c r="N8" s="666"/>
      <c r="O8" s="667"/>
      <c r="P8" s="4"/>
      <c r="Q8" s="217"/>
    </row>
    <row r="9" spans="1:18" ht="9.9" customHeight="1" x14ac:dyDescent="0.25">
      <c r="A9" s="2"/>
      <c r="C9" s="37"/>
      <c r="D9" s="235"/>
      <c r="E9" s="234"/>
      <c r="F9" s="234"/>
      <c r="G9" s="234"/>
      <c r="I9" s="235"/>
      <c r="J9" s="235"/>
      <c r="K9" s="673"/>
      <c r="O9" s="670"/>
      <c r="P9" s="4"/>
    </row>
    <row r="10" spans="1:18" ht="9.9" customHeight="1" x14ac:dyDescent="0.25">
      <c r="A10" s="2"/>
      <c r="E10" s="234"/>
      <c r="F10" s="237"/>
      <c r="G10" s="238"/>
      <c r="P10" s="4"/>
    </row>
    <row r="11" spans="1:18" ht="55.5" customHeight="1" x14ac:dyDescent="0.25">
      <c r="A11" s="2"/>
      <c r="C11" s="217"/>
      <c r="D11" s="239"/>
      <c r="E11" s="240"/>
      <c r="F11" s="240"/>
      <c r="G11" s="674" t="s">
        <v>427</v>
      </c>
      <c r="H11" s="675" t="s">
        <v>428</v>
      </c>
      <c r="I11" s="676" t="s">
        <v>106</v>
      </c>
      <c r="J11" s="675" t="s">
        <v>107</v>
      </c>
      <c r="K11" s="675" t="s">
        <v>429</v>
      </c>
      <c r="M11" s="677" t="s">
        <v>64</v>
      </c>
      <c r="N11" s="677" t="s">
        <v>65</v>
      </c>
      <c r="O11" s="677" t="s">
        <v>430</v>
      </c>
      <c r="P11" s="4"/>
    </row>
    <row r="12" spans="1:18" x14ac:dyDescent="0.25">
      <c r="A12" s="2"/>
      <c r="B12" s="241"/>
      <c r="C12" s="241"/>
      <c r="D12" s="678" t="s">
        <v>66</v>
      </c>
      <c r="E12" s="679" t="s">
        <v>67</v>
      </c>
      <c r="F12" s="242" t="s">
        <v>102</v>
      </c>
      <c r="G12" s="680" t="s">
        <v>68</v>
      </c>
      <c r="H12" s="681" t="s">
        <v>291</v>
      </c>
      <c r="I12" s="682" t="s">
        <v>291</v>
      </c>
      <c r="J12" s="683" t="s">
        <v>291</v>
      </c>
      <c r="K12" s="681" t="s">
        <v>291</v>
      </c>
      <c r="L12" s="656"/>
      <c r="M12" s="684" t="s">
        <v>68</v>
      </c>
      <c r="N12" s="684" t="s">
        <v>68</v>
      </c>
      <c r="O12" s="684" t="s">
        <v>68</v>
      </c>
      <c r="P12" s="4"/>
    </row>
    <row r="13" spans="1:18" x14ac:dyDescent="0.25">
      <c r="A13" s="2"/>
      <c r="B13" s="250" t="s">
        <v>69</v>
      </c>
      <c r="C13" s="250" t="s">
        <v>195</v>
      </c>
      <c r="D13" s="243">
        <f>SUM(D14:D19)</f>
        <v>0</v>
      </c>
      <c r="E13" s="685">
        <f>G13+M13+O13</f>
        <v>0</v>
      </c>
      <c r="F13" s="686"/>
      <c r="G13" s="687">
        <f>SUM(G14:G19)</f>
        <v>0</v>
      </c>
      <c r="H13" s="245" t="e">
        <f>SUM(H14:H19)</f>
        <v>#VALUE!</v>
      </c>
      <c r="I13" s="244" t="e">
        <f>SUM(I17:I19)</f>
        <v>#VALUE!</v>
      </c>
      <c r="J13" s="688"/>
      <c r="K13" s="245" t="e">
        <f>SUM(K16)</f>
        <v>#DIV/0!</v>
      </c>
      <c r="L13" s="689"/>
      <c r="M13" s="690">
        <f>SUM(M17:M19)</f>
        <v>0</v>
      </c>
      <c r="N13" s="691"/>
      <c r="O13" s="690">
        <f>SUM(O16)</f>
        <v>0</v>
      </c>
      <c r="P13" s="4"/>
    </row>
    <row r="14" spans="1:18" x14ac:dyDescent="0.25">
      <c r="A14" s="2"/>
      <c r="B14" s="692" t="s">
        <v>431</v>
      </c>
      <c r="C14" s="693" t="str">
        <f>B_KZP_Kalkulation!H22</f>
        <v>PDL/stellv. PDL</v>
      </c>
      <c r="D14" s="694">
        <f>B_KZP_Kalkulation!L22*B_KZP_Kalkulation!J22</f>
        <v>0</v>
      </c>
      <c r="E14" s="695">
        <f>G14+M14+N14+O14</f>
        <v>0</v>
      </c>
      <c r="F14" s="696">
        <v>1</v>
      </c>
      <c r="G14" s="697">
        <f>D14*F14</f>
        <v>0</v>
      </c>
      <c r="H14" s="698" t="e">
        <f>G14/$K$6</f>
        <v>#VALUE!</v>
      </c>
      <c r="I14" s="699"/>
      <c r="J14" s="700"/>
      <c r="K14" s="701"/>
      <c r="L14" s="700"/>
      <c r="M14" s="702"/>
      <c r="N14" s="691"/>
      <c r="O14" s="691"/>
      <c r="P14" s="4"/>
    </row>
    <row r="15" spans="1:18" x14ac:dyDescent="0.25">
      <c r="A15" s="2"/>
      <c r="B15" s="692" t="s">
        <v>432</v>
      </c>
      <c r="C15" s="693" t="str">
        <f>B_KZP_Kalkulation!H23</f>
        <v>Pflege / Betreuung</v>
      </c>
      <c r="D15" s="694">
        <f>B_KZP_Kalkulation!L23*B_KZP_Kalkulation!J23</f>
        <v>0</v>
      </c>
      <c r="E15" s="695">
        <f>G15+M15+N15+O15</f>
        <v>0</v>
      </c>
      <c r="F15" s="696">
        <v>1</v>
      </c>
      <c r="G15" s="697">
        <f>D15*F15</f>
        <v>0</v>
      </c>
      <c r="H15" s="698" t="e">
        <f>G15/$K$6</f>
        <v>#VALUE!</v>
      </c>
      <c r="I15" s="703"/>
      <c r="J15" s="700"/>
      <c r="K15" s="704"/>
      <c r="L15" s="700"/>
      <c r="M15" s="702"/>
      <c r="N15" s="691"/>
      <c r="O15" s="691"/>
      <c r="P15" s="4"/>
    </row>
    <row r="16" spans="1:18" x14ac:dyDescent="0.25">
      <c r="A16" s="2"/>
      <c r="B16" s="692" t="s">
        <v>70</v>
      </c>
      <c r="C16" s="693" t="str">
        <f>B_KZP_Kalkulation!H25</f>
        <v>zusätzliche Betreuung und Aktivierung nach 
§ 43 b SGB XI</v>
      </c>
      <c r="D16" s="694">
        <f>B_KZP_Kalkulation!L25*B_KZP_Kalkulation!J25</f>
        <v>0</v>
      </c>
      <c r="E16" s="695">
        <f t="shared" ref="E16:E18" si="0">G16+M16+N16+O16</f>
        <v>0</v>
      </c>
      <c r="F16" s="696"/>
      <c r="G16" s="697"/>
      <c r="H16" s="695"/>
      <c r="I16" s="704"/>
      <c r="J16" s="705"/>
      <c r="K16" s="698" t="e">
        <f>D16/$K$8</f>
        <v>#DIV/0!</v>
      </c>
      <c r="L16" s="700"/>
      <c r="M16" s="706"/>
      <c r="N16" s="691"/>
      <c r="O16" s="707">
        <f>D16</f>
        <v>0</v>
      </c>
      <c r="P16" s="4"/>
    </row>
    <row r="17" spans="1:17" x14ac:dyDescent="0.25">
      <c r="A17" s="2"/>
      <c r="B17" s="692" t="s">
        <v>71</v>
      </c>
      <c r="C17" s="693" t="str">
        <f>B_KZP_Kalkulation!H26</f>
        <v>Leitung / Verwaltung</v>
      </c>
      <c r="D17" s="694">
        <f>B_KZP_Kalkulation!L26*B_KZP_Kalkulation!J26</f>
        <v>0</v>
      </c>
      <c r="E17" s="695">
        <f t="shared" si="0"/>
        <v>0</v>
      </c>
      <c r="F17" s="696">
        <v>0.5</v>
      </c>
      <c r="G17" s="697">
        <f>D17*F17</f>
        <v>0</v>
      </c>
      <c r="H17" s="708" t="e">
        <f>G17/$K$6</f>
        <v>#VALUE!</v>
      </c>
      <c r="I17" s="698" t="e">
        <f t="shared" ref="I17:I19" si="1">M17/$K$6</f>
        <v>#VALUE!</v>
      </c>
      <c r="J17" s="700"/>
      <c r="K17" s="700"/>
      <c r="L17" s="700"/>
      <c r="M17" s="707">
        <f t="shared" ref="M17:M19" si="2">D17*F17</f>
        <v>0</v>
      </c>
      <c r="N17" s="691"/>
      <c r="O17" s="691"/>
      <c r="P17" s="4"/>
    </row>
    <row r="18" spans="1:17" x14ac:dyDescent="0.25">
      <c r="A18" s="2"/>
      <c r="B18" s="709" t="s">
        <v>72</v>
      </c>
      <c r="C18" s="693" t="str">
        <f>B_KZP_Kalkulation!H27</f>
        <v>Hauswirtschaft/ Küche/ Haustechnik</v>
      </c>
      <c r="D18" s="694">
        <f>B_KZP_Kalkulation!L27*B_KZP_Kalkulation!J27</f>
        <v>0</v>
      </c>
      <c r="E18" s="695">
        <f t="shared" si="0"/>
        <v>0</v>
      </c>
      <c r="F18" s="696">
        <v>0.5</v>
      </c>
      <c r="G18" s="697">
        <f t="shared" ref="G18:G19" si="3">D18*F18</f>
        <v>0</v>
      </c>
      <c r="H18" s="708" t="e">
        <f t="shared" ref="H18:H19" si="4">G18/$K$6</f>
        <v>#VALUE!</v>
      </c>
      <c r="I18" s="698" t="e">
        <f t="shared" si="1"/>
        <v>#VALUE!</v>
      </c>
      <c r="J18" s="700"/>
      <c r="K18" s="700"/>
      <c r="L18" s="700"/>
      <c r="M18" s="707">
        <f t="shared" si="2"/>
        <v>0</v>
      </c>
      <c r="N18" s="691"/>
      <c r="O18" s="691"/>
      <c r="P18" s="4"/>
      <c r="Q18" s="247"/>
    </row>
    <row r="19" spans="1:17" x14ac:dyDescent="0.25">
      <c r="A19" s="2"/>
      <c r="B19" s="692" t="s">
        <v>73</v>
      </c>
      <c r="C19" s="693" t="str">
        <f>B_KZP_Kalkulation!H30</f>
        <v>Freiwillige Dienste/FSJ Einsatz</v>
      </c>
      <c r="D19" s="694">
        <f>B_KZP_Kalkulation!L30*B_KZP_Kalkulation!J30</f>
        <v>0</v>
      </c>
      <c r="E19" s="695">
        <f>G19+M19+N19+O19</f>
        <v>0</v>
      </c>
      <c r="F19" s="696">
        <v>0.5</v>
      </c>
      <c r="G19" s="697">
        <f t="shared" si="3"/>
        <v>0</v>
      </c>
      <c r="H19" s="708" t="e">
        <f t="shared" si="4"/>
        <v>#VALUE!</v>
      </c>
      <c r="I19" s="698" t="e">
        <f t="shared" si="1"/>
        <v>#VALUE!</v>
      </c>
      <c r="J19" s="703"/>
      <c r="K19" s="700"/>
      <c r="L19" s="700"/>
      <c r="M19" s="707">
        <f t="shared" si="2"/>
        <v>0</v>
      </c>
      <c r="N19" s="691"/>
      <c r="O19" s="691"/>
      <c r="P19" s="4"/>
      <c r="Q19" s="222"/>
    </row>
    <row r="20" spans="1:17" x14ac:dyDescent="0.25">
      <c r="A20" s="2"/>
      <c r="C20" s="248"/>
      <c r="D20" s="249"/>
      <c r="E20" s="710"/>
      <c r="F20" s="710"/>
      <c r="G20" s="700"/>
      <c r="H20" s="246"/>
      <c r="I20" s="246"/>
      <c r="J20" s="246"/>
      <c r="K20" s="246"/>
      <c r="L20" s="246"/>
      <c r="M20" s="711"/>
      <c r="N20" s="691"/>
      <c r="O20" s="691"/>
      <c r="P20" s="4"/>
    </row>
    <row r="21" spans="1:17" x14ac:dyDescent="0.25">
      <c r="A21" s="2"/>
      <c r="B21" s="712" t="s">
        <v>27</v>
      </c>
      <c r="C21" s="250" t="s">
        <v>74</v>
      </c>
      <c r="D21" s="243">
        <f>SUM(D22:D31)</f>
        <v>0</v>
      </c>
      <c r="E21" s="685">
        <f>G21+M21+N21+O21</f>
        <v>0</v>
      </c>
      <c r="F21" s="686"/>
      <c r="G21" s="687">
        <f>SUM(G23:G31)</f>
        <v>0</v>
      </c>
      <c r="H21" s="713" t="e">
        <f>SUM(H23:H31)</f>
        <v>#VALUE!</v>
      </c>
      <c r="I21" s="713" t="e">
        <f>SUM(I23:I31)</f>
        <v>#VALUE!</v>
      </c>
      <c r="J21" s="244" t="e">
        <f>J22</f>
        <v>#VALUE!</v>
      </c>
      <c r="K21" s="714"/>
      <c r="L21" s="252"/>
      <c r="M21" s="715">
        <f>SUM(M22:M31)</f>
        <v>0</v>
      </c>
      <c r="N21" s="715">
        <f>SUM(N22:N31)</f>
        <v>0</v>
      </c>
      <c r="O21" s="690"/>
      <c r="P21" s="4"/>
    </row>
    <row r="22" spans="1:17" x14ac:dyDescent="0.25">
      <c r="A22" s="2"/>
      <c r="B22" s="716" t="s">
        <v>32</v>
      </c>
      <c r="C22" s="717" t="str">
        <f>B_KZP_Kalkulation!I34</f>
        <v>Lebensmittel</v>
      </c>
      <c r="D22" s="694">
        <f>B_KZP_Kalkulation!L34</f>
        <v>0</v>
      </c>
      <c r="E22" s="695">
        <f>G22+M22+N22+O22</f>
        <v>0</v>
      </c>
      <c r="F22" s="695"/>
      <c r="G22" s="718"/>
      <c r="H22" s="700"/>
      <c r="I22" s="700"/>
      <c r="J22" s="698" t="e">
        <f>N22/$K$6</f>
        <v>#VALUE!</v>
      </c>
      <c r="K22" s="703"/>
      <c r="L22" s="700"/>
      <c r="M22" s="719"/>
      <c r="N22" s="707">
        <f>D22</f>
        <v>0</v>
      </c>
      <c r="O22" s="711"/>
      <c r="P22" s="4"/>
    </row>
    <row r="23" spans="1:17" x14ac:dyDescent="0.25">
      <c r="A23" s="2"/>
      <c r="B23" s="716" t="s">
        <v>34</v>
      </c>
      <c r="C23" s="717" t="str">
        <f>B_KZP_Kalkulation!I35</f>
        <v>pflegerischer Sachbedarf</v>
      </c>
      <c r="D23" s="694">
        <f>B_KZP_Kalkulation!L35</f>
        <v>0</v>
      </c>
      <c r="E23" s="695">
        <f t="shared" ref="E23:E31" si="5">G23+M23+N23+O23</f>
        <v>0</v>
      </c>
      <c r="F23" s="696">
        <v>1</v>
      </c>
      <c r="G23" s="697">
        <f>D23*F23</f>
        <v>0</v>
      </c>
      <c r="H23" s="698" t="e">
        <f>G23/$K$6</f>
        <v>#VALUE!</v>
      </c>
      <c r="I23" s="698" t="e">
        <f>M23/$K$6</f>
        <v>#VALUE!</v>
      </c>
      <c r="J23" s="700"/>
      <c r="K23" s="700"/>
      <c r="L23" s="700"/>
      <c r="M23" s="706"/>
      <c r="N23" s="720"/>
      <c r="O23" s="691"/>
      <c r="P23" s="4"/>
    </row>
    <row r="24" spans="1:17" x14ac:dyDescent="0.25">
      <c r="A24" s="2"/>
      <c r="B24" s="716" t="s">
        <v>35</v>
      </c>
      <c r="C24" s="717" t="str">
        <f>B_KZP_Kalkulation!I36</f>
        <v>Wasser, Energie, Brennstoffe</v>
      </c>
      <c r="D24" s="694">
        <f>B_KZP_Kalkulation!L36</f>
        <v>0</v>
      </c>
      <c r="E24" s="695">
        <f t="shared" si="5"/>
        <v>0</v>
      </c>
      <c r="F24" s="696">
        <v>0.5</v>
      </c>
      <c r="G24" s="697">
        <f>D24*F24</f>
        <v>0</v>
      </c>
      <c r="H24" s="708" t="e">
        <f>G24/$K$6</f>
        <v>#VALUE!</v>
      </c>
      <c r="I24" s="698" t="e">
        <f>M24/$K$6</f>
        <v>#VALUE!</v>
      </c>
      <c r="J24" s="700"/>
      <c r="K24" s="700"/>
      <c r="L24" s="700"/>
      <c r="M24" s="707">
        <f>D24*F24</f>
        <v>0</v>
      </c>
      <c r="N24" s="691"/>
      <c r="O24" s="691"/>
      <c r="P24" s="4"/>
    </row>
    <row r="25" spans="1:17" x14ac:dyDescent="0.25">
      <c r="A25" s="2"/>
      <c r="B25" s="716" t="s">
        <v>433</v>
      </c>
      <c r="C25" s="717" t="str">
        <f>B_KZP_Kalkulation!I37</f>
        <v>Verwaltungsbedarf</v>
      </c>
      <c r="D25" s="694">
        <f>B_KZP_Kalkulation!L37</f>
        <v>0</v>
      </c>
      <c r="E25" s="695">
        <f t="shared" si="5"/>
        <v>0</v>
      </c>
      <c r="F25" s="696">
        <v>0.5</v>
      </c>
      <c r="G25" s="697">
        <f>D25*F25</f>
        <v>0</v>
      </c>
      <c r="H25" s="708" t="e">
        <f t="shared" ref="H25:H31" si="6">G25/$K$6</f>
        <v>#VALUE!</v>
      </c>
      <c r="I25" s="698" t="e">
        <f t="shared" ref="I25:I31" si="7">M25/$K$6</f>
        <v>#VALUE!</v>
      </c>
      <c r="J25" s="700"/>
      <c r="K25" s="700"/>
      <c r="L25" s="700"/>
      <c r="M25" s="707">
        <f>D25*F25</f>
        <v>0</v>
      </c>
      <c r="N25" s="691"/>
      <c r="O25" s="691"/>
      <c r="P25" s="4"/>
    </row>
    <row r="26" spans="1:17" x14ac:dyDescent="0.25">
      <c r="A26" s="2"/>
      <c r="B26" s="716" t="s">
        <v>434</v>
      </c>
      <c r="C26" s="717" t="str">
        <f>B_KZP_Kalkulation!I38</f>
        <v>Zentrale Verwaltungsdienste</v>
      </c>
      <c r="D26" s="694">
        <f>B_KZP_Kalkulation!L38</f>
        <v>0</v>
      </c>
      <c r="E26" s="695">
        <f t="shared" si="5"/>
        <v>0</v>
      </c>
      <c r="F26" s="696">
        <v>0.5</v>
      </c>
      <c r="G26" s="697">
        <f t="shared" ref="G26:G31" si="8">D26*F26</f>
        <v>0</v>
      </c>
      <c r="H26" s="708" t="e">
        <f t="shared" si="6"/>
        <v>#VALUE!</v>
      </c>
      <c r="I26" s="698" t="e">
        <f t="shared" si="7"/>
        <v>#VALUE!</v>
      </c>
      <c r="J26" s="700"/>
      <c r="K26" s="700"/>
      <c r="L26" s="700"/>
      <c r="M26" s="707">
        <f t="shared" ref="M26:M31" si="9">D26*F26</f>
        <v>0</v>
      </c>
      <c r="N26" s="691"/>
      <c r="O26" s="691"/>
      <c r="P26" s="4"/>
    </row>
    <row r="27" spans="1:17" x14ac:dyDescent="0.25">
      <c r="A27" s="2"/>
      <c r="B27" s="716" t="s">
        <v>36</v>
      </c>
      <c r="C27" s="717" t="str">
        <f>B_KZP_Kalkulation!I39</f>
        <v>Betreuungsaufwand</v>
      </c>
      <c r="D27" s="694">
        <f>B_KZP_Kalkulation!L39</f>
        <v>0</v>
      </c>
      <c r="E27" s="695">
        <f t="shared" si="5"/>
        <v>0</v>
      </c>
      <c r="F27" s="696">
        <v>1</v>
      </c>
      <c r="G27" s="697">
        <f>D27*F27</f>
        <v>0</v>
      </c>
      <c r="H27" s="708" t="e">
        <f>G27/$K$6</f>
        <v>#VALUE!</v>
      </c>
      <c r="I27" s="698" t="e">
        <f>M27/$K$6</f>
        <v>#VALUE!</v>
      </c>
      <c r="J27" s="700"/>
      <c r="K27" s="700"/>
      <c r="L27" s="700"/>
      <c r="M27" s="721"/>
      <c r="N27" s="691"/>
      <c r="O27" s="691"/>
      <c r="P27" s="4"/>
    </row>
    <row r="28" spans="1:17" x14ac:dyDescent="0.25">
      <c r="A28" s="2"/>
      <c r="B28" s="716" t="s">
        <v>38</v>
      </c>
      <c r="C28" s="717" t="str">
        <f>B_KZP_Kalkulation!I40</f>
        <v>Wirtschaftsbedarf</v>
      </c>
      <c r="D28" s="694">
        <f>B_KZP_Kalkulation!L40</f>
        <v>0</v>
      </c>
      <c r="E28" s="695">
        <f t="shared" si="5"/>
        <v>0</v>
      </c>
      <c r="F28" s="696">
        <v>0.5</v>
      </c>
      <c r="G28" s="697">
        <f t="shared" si="8"/>
        <v>0</v>
      </c>
      <c r="H28" s="708" t="e">
        <f t="shared" si="6"/>
        <v>#VALUE!</v>
      </c>
      <c r="I28" s="698" t="e">
        <f t="shared" si="7"/>
        <v>#VALUE!</v>
      </c>
      <c r="J28" s="700"/>
      <c r="K28" s="700"/>
      <c r="L28" s="700"/>
      <c r="M28" s="707">
        <f t="shared" si="9"/>
        <v>0</v>
      </c>
      <c r="N28" s="691"/>
      <c r="O28" s="691"/>
      <c r="P28" s="4"/>
    </row>
    <row r="29" spans="1:17" x14ac:dyDescent="0.25">
      <c r="A29" s="2"/>
      <c r="B29" s="716" t="s">
        <v>40</v>
      </c>
      <c r="C29" s="717" t="str">
        <f>B_KZP_Kalkulation!I41</f>
        <v>Steuern/Abgaben/Versicherungen</v>
      </c>
      <c r="D29" s="694">
        <f>B_KZP_Kalkulation!L41</f>
        <v>0</v>
      </c>
      <c r="E29" s="695">
        <f t="shared" si="5"/>
        <v>0</v>
      </c>
      <c r="F29" s="696">
        <v>0.5</v>
      </c>
      <c r="G29" s="697">
        <f t="shared" si="8"/>
        <v>0</v>
      </c>
      <c r="H29" s="708" t="e">
        <f t="shared" si="6"/>
        <v>#VALUE!</v>
      </c>
      <c r="I29" s="698" t="e">
        <f t="shared" si="7"/>
        <v>#VALUE!</v>
      </c>
      <c r="J29" s="700"/>
      <c r="K29" s="700"/>
      <c r="L29" s="700"/>
      <c r="M29" s="707">
        <f t="shared" si="9"/>
        <v>0</v>
      </c>
      <c r="N29" s="691"/>
      <c r="O29" s="691"/>
      <c r="P29" s="4"/>
    </row>
    <row r="30" spans="1:17" x14ac:dyDescent="0.25">
      <c r="A30" s="2"/>
      <c r="B30" s="716" t="s">
        <v>42</v>
      </c>
      <c r="C30" s="717" t="str">
        <f>B_KZP_Kalkulation!I42</f>
        <v>Wartung (keine Instandhaltung)</v>
      </c>
      <c r="D30" s="694">
        <f>B_KZP_Kalkulation!L42</f>
        <v>0</v>
      </c>
      <c r="E30" s="695">
        <f t="shared" si="5"/>
        <v>0</v>
      </c>
      <c r="F30" s="696">
        <v>0.5</v>
      </c>
      <c r="G30" s="697">
        <f t="shared" si="8"/>
        <v>0</v>
      </c>
      <c r="H30" s="708" t="e">
        <f t="shared" si="6"/>
        <v>#VALUE!</v>
      </c>
      <c r="I30" s="698" t="e">
        <f t="shared" si="7"/>
        <v>#VALUE!</v>
      </c>
      <c r="J30" s="700"/>
      <c r="K30" s="700"/>
      <c r="L30" s="700"/>
      <c r="M30" s="707">
        <f t="shared" si="9"/>
        <v>0</v>
      </c>
      <c r="N30" s="691"/>
      <c r="O30" s="691"/>
      <c r="P30" s="4"/>
    </row>
    <row r="31" spans="1:17" x14ac:dyDescent="0.25">
      <c r="A31" s="2"/>
      <c r="B31" s="716" t="s">
        <v>44</v>
      </c>
      <c r="C31" s="717" t="str">
        <f>B_KZP_Kalkulation!I43</f>
        <v>sonstige Aufwendungen</v>
      </c>
      <c r="D31" s="694">
        <f>B_KZP_Kalkulation!L43</f>
        <v>0</v>
      </c>
      <c r="E31" s="695">
        <f t="shared" si="5"/>
        <v>0</v>
      </c>
      <c r="F31" s="696">
        <v>0.5</v>
      </c>
      <c r="G31" s="697">
        <f t="shared" si="8"/>
        <v>0</v>
      </c>
      <c r="H31" s="708" t="e">
        <f t="shared" si="6"/>
        <v>#VALUE!</v>
      </c>
      <c r="I31" s="698" t="e">
        <f t="shared" si="7"/>
        <v>#VALUE!</v>
      </c>
      <c r="J31" s="700"/>
      <c r="K31" s="700"/>
      <c r="L31" s="700"/>
      <c r="M31" s="707">
        <f t="shared" si="9"/>
        <v>0</v>
      </c>
      <c r="N31" s="691"/>
      <c r="O31" s="691"/>
      <c r="P31" s="4"/>
    </row>
    <row r="32" spans="1:17" x14ac:dyDescent="0.25">
      <c r="A32" s="2"/>
      <c r="D32" s="249"/>
      <c r="E32" s="710"/>
      <c r="F32" s="710"/>
      <c r="G32" s="700"/>
      <c r="H32" s="246"/>
      <c r="I32" s="246"/>
      <c r="J32" s="700"/>
      <c r="K32" s="700"/>
      <c r="L32" s="700"/>
      <c r="M32" s="711"/>
      <c r="N32" s="691"/>
      <c r="O32" s="691"/>
      <c r="P32" s="4"/>
    </row>
    <row r="33" spans="1:34" x14ac:dyDescent="0.25">
      <c r="A33" s="2"/>
      <c r="B33" s="250" t="s">
        <v>75</v>
      </c>
      <c r="C33" s="722" t="s">
        <v>76</v>
      </c>
      <c r="D33" s="243">
        <f>SUM(D34:D40)</f>
        <v>0</v>
      </c>
      <c r="E33" s="685">
        <f>G33+M33+N33</f>
        <v>0</v>
      </c>
      <c r="F33" s="686"/>
      <c r="G33" s="687">
        <f t="shared" ref="G33:I33" si="10">SUM(G34:G40)</f>
        <v>0</v>
      </c>
      <c r="H33" s="244" t="e">
        <f t="shared" si="10"/>
        <v>#VALUE!</v>
      </c>
      <c r="I33" s="713" t="e">
        <f t="shared" si="10"/>
        <v>#VALUE!</v>
      </c>
      <c r="J33" s="252"/>
      <c r="K33" s="252"/>
      <c r="L33" s="252"/>
      <c r="M33" s="715">
        <f>SUM(M34:M40)</f>
        <v>0</v>
      </c>
      <c r="N33" s="690"/>
      <c r="O33" s="691"/>
      <c r="P33" s="4"/>
    </row>
    <row r="34" spans="1:34" x14ac:dyDescent="0.25">
      <c r="A34" s="2"/>
      <c r="B34" s="709" t="s">
        <v>458</v>
      </c>
      <c r="C34" s="723" t="str">
        <f>B_KZP_Kalkulation!C47</f>
        <v>Küche</v>
      </c>
      <c r="D34" s="694">
        <f>B_KZP_Kalkulation!L47</f>
        <v>0</v>
      </c>
      <c r="E34" s="695">
        <f>G34+M34+N34+O34</f>
        <v>0</v>
      </c>
      <c r="F34" s="696">
        <v>0.5</v>
      </c>
      <c r="G34" s="697">
        <f>D34*F34</f>
        <v>0</v>
      </c>
      <c r="H34" s="708" t="e">
        <f t="shared" ref="H34:H40" si="11">G34/$K$6</f>
        <v>#VALUE!</v>
      </c>
      <c r="I34" s="698" t="e">
        <f>M34/$K$6</f>
        <v>#VALUE!</v>
      </c>
      <c r="J34" s="700"/>
      <c r="K34" s="700"/>
      <c r="L34" s="700"/>
      <c r="M34" s="707">
        <f>D34*F34</f>
        <v>0</v>
      </c>
      <c r="N34" s="724"/>
      <c r="O34" s="725"/>
      <c r="P34" s="4"/>
    </row>
    <row r="35" spans="1:34" x14ac:dyDescent="0.25">
      <c r="A35" s="2"/>
      <c r="B35" s="709" t="s">
        <v>459</v>
      </c>
      <c r="C35" s="723" t="str">
        <f>B_KZP_Kalkulation!C48</f>
        <v>Wäscherei</v>
      </c>
      <c r="D35" s="694">
        <f>B_KZP_Kalkulation!L48</f>
        <v>0</v>
      </c>
      <c r="E35" s="695">
        <f t="shared" ref="E35:E40" si="12">G35+M35+N35+O35</f>
        <v>0</v>
      </c>
      <c r="F35" s="696">
        <v>0.5</v>
      </c>
      <c r="G35" s="697">
        <f t="shared" ref="G35:G40" si="13">D35*F35</f>
        <v>0</v>
      </c>
      <c r="H35" s="708" t="e">
        <f t="shared" si="11"/>
        <v>#VALUE!</v>
      </c>
      <c r="I35" s="698" t="e">
        <f t="shared" ref="I35:I40" si="14">M35/$K$6</f>
        <v>#VALUE!</v>
      </c>
      <c r="J35" s="700"/>
      <c r="K35" s="700"/>
      <c r="L35" s="700"/>
      <c r="M35" s="707">
        <f t="shared" ref="M35:M40" si="15">D35*F35</f>
        <v>0</v>
      </c>
      <c r="N35" s="725"/>
      <c r="O35" s="725"/>
      <c r="P35" s="251"/>
    </row>
    <row r="36" spans="1:34" x14ac:dyDescent="0.25">
      <c r="A36" s="2"/>
      <c r="B36" s="709" t="s">
        <v>460</v>
      </c>
      <c r="C36" s="723" t="str">
        <f>B_KZP_Kalkulation!C49</f>
        <v>Reinigung</v>
      </c>
      <c r="D36" s="694">
        <f>B_KZP_Kalkulation!L49</f>
        <v>0</v>
      </c>
      <c r="E36" s="695">
        <f t="shared" si="12"/>
        <v>0</v>
      </c>
      <c r="F36" s="696">
        <v>0.5</v>
      </c>
      <c r="G36" s="697">
        <f t="shared" si="13"/>
        <v>0</v>
      </c>
      <c r="H36" s="708" t="e">
        <f t="shared" si="11"/>
        <v>#VALUE!</v>
      </c>
      <c r="I36" s="698" t="e">
        <f t="shared" si="14"/>
        <v>#VALUE!</v>
      </c>
      <c r="J36" s="700"/>
      <c r="K36" s="700"/>
      <c r="L36" s="700"/>
      <c r="M36" s="707">
        <f t="shared" si="15"/>
        <v>0</v>
      </c>
      <c r="N36" s="726"/>
      <c r="O36" s="725"/>
      <c r="P36" s="4"/>
    </row>
    <row r="37" spans="1:34" x14ac:dyDescent="0.25">
      <c r="A37" s="2"/>
      <c r="B37" s="709" t="s">
        <v>461</v>
      </c>
      <c r="C37" s="723" t="str">
        <f>B_KZP_Kalkulation!C50</f>
        <v>Haustechnik</v>
      </c>
      <c r="D37" s="694">
        <f>B_KZP_Kalkulation!L50</f>
        <v>0</v>
      </c>
      <c r="E37" s="695">
        <f t="shared" si="12"/>
        <v>0</v>
      </c>
      <c r="F37" s="696">
        <v>0.5</v>
      </c>
      <c r="G37" s="697">
        <f t="shared" si="13"/>
        <v>0</v>
      </c>
      <c r="H37" s="708" t="e">
        <f t="shared" si="11"/>
        <v>#VALUE!</v>
      </c>
      <c r="I37" s="698" t="e">
        <f t="shared" si="14"/>
        <v>#VALUE!</v>
      </c>
      <c r="J37" s="700"/>
      <c r="K37" s="700"/>
      <c r="L37" s="700"/>
      <c r="M37" s="707">
        <f t="shared" si="15"/>
        <v>0</v>
      </c>
      <c r="N37" s="727"/>
      <c r="O37" s="728"/>
      <c r="P37" s="4"/>
    </row>
    <row r="38" spans="1:34" x14ac:dyDescent="0.25">
      <c r="A38" s="2"/>
      <c r="B38" s="709" t="s">
        <v>462</v>
      </c>
      <c r="C38" s="723" t="str">
        <f>B_KZP_Kalkulation!C51</f>
        <v>Verwaltung</v>
      </c>
      <c r="D38" s="694">
        <f>B_KZP_Kalkulation!L51</f>
        <v>0</v>
      </c>
      <c r="E38" s="695">
        <f t="shared" si="12"/>
        <v>0</v>
      </c>
      <c r="F38" s="696">
        <v>0.5</v>
      </c>
      <c r="G38" s="697">
        <f t="shared" si="13"/>
        <v>0</v>
      </c>
      <c r="H38" s="708" t="e">
        <f t="shared" si="11"/>
        <v>#VALUE!</v>
      </c>
      <c r="I38" s="698" t="e">
        <f t="shared" si="14"/>
        <v>#VALUE!</v>
      </c>
      <c r="J38" s="700"/>
      <c r="K38" s="700"/>
      <c r="L38" s="700"/>
      <c r="M38" s="707">
        <f t="shared" si="15"/>
        <v>0</v>
      </c>
      <c r="N38" s="691"/>
      <c r="O38" s="691"/>
      <c r="P38" s="4"/>
    </row>
    <row r="39" spans="1:34" x14ac:dyDescent="0.25">
      <c r="A39" s="2"/>
      <c r="B39" s="709" t="s">
        <v>463</v>
      </c>
      <c r="C39" s="723" t="str">
        <f>IF(B_KZP_Kalkulation!C52&lt;&gt;"",B_KZP_Kalkulation!C52,"")</f>
        <v/>
      </c>
      <c r="D39" s="694">
        <f>B_KZP_Kalkulation!L52</f>
        <v>0</v>
      </c>
      <c r="E39" s="695">
        <f t="shared" si="12"/>
        <v>0</v>
      </c>
      <c r="F39" s="696">
        <v>0.5</v>
      </c>
      <c r="G39" s="697">
        <f t="shared" si="13"/>
        <v>0</v>
      </c>
      <c r="H39" s="708" t="e">
        <f>G39/$K$6</f>
        <v>#VALUE!</v>
      </c>
      <c r="I39" s="698" t="e">
        <f t="shared" si="14"/>
        <v>#VALUE!</v>
      </c>
      <c r="J39" s="700"/>
      <c r="K39" s="700"/>
      <c r="L39" s="700"/>
      <c r="M39" s="707">
        <f t="shared" si="15"/>
        <v>0</v>
      </c>
      <c r="N39" s="691"/>
      <c r="O39" s="691"/>
      <c r="P39" s="4"/>
    </row>
    <row r="40" spans="1:34" x14ac:dyDescent="0.25">
      <c r="A40" s="2"/>
      <c r="B40" s="709" t="s">
        <v>464</v>
      </c>
      <c r="C40" s="723" t="str">
        <f>IF(B_KZP_Kalkulation!C53&lt;&gt;"",B_KZP_Kalkulation!C53,"")</f>
        <v/>
      </c>
      <c r="D40" s="694">
        <f>B_KZP_Kalkulation!L53</f>
        <v>0</v>
      </c>
      <c r="E40" s="701">
        <f t="shared" si="12"/>
        <v>0</v>
      </c>
      <c r="F40" s="729">
        <v>0.5</v>
      </c>
      <c r="G40" s="699">
        <f t="shared" si="13"/>
        <v>0</v>
      </c>
      <c r="H40" s="730" t="e">
        <f t="shared" si="11"/>
        <v>#VALUE!</v>
      </c>
      <c r="I40" s="731" t="e">
        <f t="shared" si="14"/>
        <v>#VALUE!</v>
      </c>
      <c r="J40" s="700"/>
      <c r="K40" s="700"/>
      <c r="L40" s="700"/>
      <c r="M40" s="732">
        <f t="shared" si="15"/>
        <v>0</v>
      </c>
      <c r="N40" s="691"/>
      <c r="O40" s="691"/>
      <c r="P40" s="4"/>
      <c r="Q40" s="2"/>
    </row>
    <row r="41" spans="1:34" s="734" customFormat="1" ht="13.2" x14ac:dyDescent="0.25">
      <c r="A41" s="733"/>
      <c r="D41" s="735"/>
      <c r="E41" s="736"/>
      <c r="F41" s="736"/>
      <c r="G41" s="736"/>
      <c r="H41" s="735"/>
      <c r="I41" s="735"/>
      <c r="J41" s="737"/>
      <c r="K41" s="737"/>
      <c r="L41" s="737"/>
      <c r="M41" s="719"/>
      <c r="N41" s="711"/>
      <c r="O41" s="711"/>
      <c r="P41" s="738"/>
      <c r="Q41" s="739"/>
      <c r="R41" s="640"/>
      <c r="S41" s="640"/>
      <c r="T41" s="640"/>
      <c r="U41" s="640"/>
      <c r="V41" s="640"/>
      <c r="W41" s="640"/>
      <c r="X41" s="640"/>
      <c r="Y41" s="640"/>
      <c r="Z41" s="640"/>
      <c r="AA41" s="640"/>
      <c r="AB41" s="640"/>
      <c r="AC41" s="640"/>
      <c r="AD41" s="640"/>
      <c r="AE41" s="640"/>
      <c r="AF41" s="640"/>
      <c r="AG41" s="640"/>
      <c r="AH41" s="640"/>
    </row>
    <row r="42" spans="1:34" s="640" customFormat="1" ht="13.2" x14ac:dyDescent="0.25">
      <c r="A42" s="739"/>
      <c r="D42" s="252"/>
      <c r="E42" s="689"/>
      <c r="F42" s="689"/>
      <c r="G42" s="689"/>
      <c r="H42" s="252"/>
      <c r="I42" s="252"/>
      <c r="J42" s="737"/>
      <c r="K42" s="737"/>
      <c r="L42" s="737"/>
      <c r="M42" s="711"/>
      <c r="N42" s="711"/>
      <c r="O42" s="711"/>
      <c r="P42" s="738"/>
    </row>
    <row r="43" spans="1:34" x14ac:dyDescent="0.25">
      <c r="A43" s="2"/>
      <c r="B43" s="740"/>
      <c r="C43" s="673"/>
      <c r="D43" s="741"/>
      <c r="E43" s="700"/>
      <c r="F43" s="742"/>
      <c r="G43" s="700"/>
      <c r="H43" s="1261"/>
      <c r="I43" s="1262"/>
      <c r="J43" s="1262"/>
      <c r="K43" s="1263"/>
      <c r="L43" s="743"/>
      <c r="M43" s="744"/>
      <c r="N43" s="711"/>
      <c r="O43" s="690"/>
      <c r="P43" s="4"/>
    </row>
    <row r="44" spans="1:34" x14ac:dyDescent="0.25">
      <c r="A44" s="2"/>
      <c r="B44" s="740"/>
      <c r="C44" s="673"/>
      <c r="D44" s="741"/>
      <c r="E44" s="745"/>
      <c r="F44" s="746"/>
      <c r="G44" s="745"/>
      <c r="H44" s="1249" t="s">
        <v>351</v>
      </c>
      <c r="I44" s="1250"/>
      <c r="J44" s="1250"/>
      <c r="K44" s="1251"/>
      <c r="L44" s="743"/>
      <c r="M44" s="744"/>
      <c r="N44" s="711"/>
      <c r="O44" s="690"/>
      <c r="P44" s="4"/>
    </row>
    <row r="45" spans="1:34" x14ac:dyDescent="0.25">
      <c r="A45" s="2"/>
      <c r="G45" s="236"/>
      <c r="H45" s="747" t="s">
        <v>435</v>
      </c>
      <c r="I45" s="748" t="s">
        <v>170</v>
      </c>
      <c r="J45" s="748" t="s">
        <v>393</v>
      </c>
      <c r="K45" s="748" t="s">
        <v>436</v>
      </c>
      <c r="L45" s="471"/>
      <c r="M45" s="670"/>
      <c r="N45" s="657"/>
      <c r="O45" s="670"/>
      <c r="P45" s="4"/>
    </row>
    <row r="46" spans="1:34" x14ac:dyDescent="0.25">
      <c r="A46" s="2"/>
      <c r="D46" s="6" t="s">
        <v>437</v>
      </c>
      <c r="F46" s="673"/>
      <c r="G46" s="254"/>
      <c r="H46" s="749" t="e">
        <f>ROUND(H33+H21+H13,2)</f>
        <v>#VALUE!</v>
      </c>
      <c r="I46" s="750" t="e">
        <f>ROUND(I33+I21+I13,2)</f>
        <v>#VALUE!</v>
      </c>
      <c r="J46" s="749" t="e">
        <f>ROUND(J21,2)</f>
        <v>#VALUE!</v>
      </c>
      <c r="K46" s="749" t="e">
        <f>ROUND(K13,2)</f>
        <v>#DIV/0!</v>
      </c>
      <c r="L46" s="751"/>
      <c r="M46" s="752"/>
      <c r="N46" s="752"/>
      <c r="O46" s="753"/>
      <c r="P46" s="4"/>
      <c r="Q46" s="640"/>
      <c r="R46" s="218"/>
    </row>
    <row r="47" spans="1:34" ht="15.75" customHeight="1" x14ac:dyDescent="0.25">
      <c r="A47" s="2"/>
      <c r="D47" s="6"/>
      <c r="E47" s="673"/>
      <c r="F47" s="253"/>
      <c r="G47" s="255"/>
      <c r="H47" s="253"/>
      <c r="I47" s="235"/>
      <c r="J47" s="235"/>
      <c r="K47" s="253"/>
      <c r="L47" s="253"/>
      <c r="M47" s="670"/>
      <c r="N47" s="670"/>
      <c r="O47" s="670"/>
      <c r="P47" s="4"/>
      <c r="Q47" s="256"/>
      <c r="R47" s="257"/>
    </row>
    <row r="48" spans="1:34" x14ac:dyDescent="0.25">
      <c r="A48" s="2"/>
      <c r="C48" s="5"/>
      <c r="G48" s="6"/>
      <c r="H48" s="258"/>
      <c r="I48" s="258"/>
      <c r="J48" s="258"/>
      <c r="K48" s="258"/>
      <c r="L48" s="258"/>
      <c r="M48" s="752"/>
      <c r="N48" s="752"/>
      <c r="P48" s="4"/>
      <c r="R48" s="257"/>
    </row>
    <row r="49" spans="1:18" x14ac:dyDescent="0.25">
      <c r="A49" s="35"/>
      <c r="B49" s="36"/>
      <c r="C49" s="259"/>
      <c r="D49" s="36"/>
      <c r="E49" s="36"/>
      <c r="F49" s="36"/>
      <c r="G49" s="260"/>
      <c r="H49" s="36"/>
      <c r="I49" s="36"/>
      <c r="J49" s="754"/>
      <c r="K49" s="754"/>
      <c r="L49" s="754"/>
      <c r="M49" s="755"/>
      <c r="N49" s="755"/>
      <c r="O49" s="756"/>
      <c r="P49" s="757"/>
      <c r="R49" s="257"/>
    </row>
    <row r="50" spans="1:18" x14ac:dyDescent="0.25">
      <c r="C50" s="5"/>
      <c r="G50" s="6"/>
      <c r="J50" s="640"/>
      <c r="K50" s="640"/>
      <c r="L50" s="640"/>
      <c r="M50" s="752"/>
      <c r="N50" s="752"/>
      <c r="R50" s="257"/>
    </row>
    <row r="51" spans="1:18" ht="14.4" customHeight="1" x14ac:dyDescent="0.25">
      <c r="D51" s="261"/>
      <c r="E51" s="758"/>
      <c r="F51" s="262"/>
      <c r="G51" s="262"/>
      <c r="Q51" s="263"/>
    </row>
    <row r="52" spans="1:18" x14ac:dyDescent="0.25">
      <c r="H52" s="264"/>
    </row>
  </sheetData>
  <sheetProtection algorithmName="SHA-512" hashValue="1bYeCwkW0j9XhtEyT/y5rWmLnRdGUws3ITy78DbdHxfUHViiEZV27GW78o3NxZfa+v28EgAenRaQbhVVc6lb8A==" saltValue="SsjudxOD9efpIOqZDv7aEQ==" spinCount="100000" sheet="1" selectLockedCells="1"/>
  <mergeCells count="6">
    <mergeCell ref="H44:K44"/>
    <mergeCell ref="A1:P1"/>
    <mergeCell ref="A2:P2"/>
    <mergeCell ref="A3:P3"/>
    <mergeCell ref="A4:P4"/>
    <mergeCell ref="H43:K43"/>
  </mergeCells>
  <conditionalFormatting sqref="D19:D31">
    <cfRule type="cellIs" dxfId="7" priority="5" operator="between">
      <formula>0</formula>
      <formula>0</formula>
    </cfRule>
  </conditionalFormatting>
  <conditionalFormatting sqref="D33:D40">
    <cfRule type="cellIs" dxfId="6" priority="4" operator="between">
      <formula>0</formula>
      <formula>0</formula>
    </cfRule>
  </conditionalFormatting>
  <conditionalFormatting sqref="D13:P42 D43:H43 L43:P44 D44:G44 D45:P47">
    <cfRule type="containsErrors" dxfId="5" priority="8">
      <formula>ISERROR(D13)</formula>
    </cfRule>
  </conditionalFormatting>
  <conditionalFormatting sqref="G48:G50">
    <cfRule type="containsErrors" dxfId="4" priority="3">
      <formula>ISERROR(G48)</formula>
    </cfRule>
  </conditionalFormatting>
  <conditionalFormatting sqref="J46:L46">
    <cfRule type="containsText" dxfId="3" priority="6" operator="containsText" text="FALSCH">
      <formula>NOT(ISERROR(SEARCH("FALSCH",J46)))</formula>
    </cfRule>
  </conditionalFormatting>
  <conditionalFormatting sqref="K6">
    <cfRule type="cellIs" dxfId="2" priority="7" operator="between">
      <formula>0</formula>
      <formula>0</formula>
    </cfRule>
  </conditionalFormatting>
  <conditionalFormatting sqref="M48:N50">
    <cfRule type="containsErrors" dxfId="1" priority="2">
      <formula>ISERROR(M48)</formula>
    </cfRule>
  </conditionalFormatting>
  <conditionalFormatting sqref="R47:R50">
    <cfRule type="containsErrors" dxfId="0" priority="1">
      <formula>ISERROR(R47)</formula>
    </cfRule>
  </conditionalFormatting>
  <pageMargins left="0.70866141732283472" right="0.70866141732283472" top="0.78740157480314965" bottom="0.78740157480314965" header="0.31496062992125984" footer="0.31496062992125984"/>
  <pageSetup paperSize="9" scale="67" orientation="landscape"/>
  <headerFooter>
    <oddHeader>&amp;C&amp;9&amp;A</oddHeader>
    <oddFooter>&amp;L&amp;8Version:&amp;K000000 19.10.2026&amp;C&amp;8Verhandlungsunterlagen SGB XI (vereinfacht B_KZP)&amp;R&amp;8PSK-Beschluss vom 08.10.2026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62"/>
  <sheetViews>
    <sheetView zoomScaleNormal="100" workbookViewId="0">
      <selection activeCell="B5" sqref="B5"/>
    </sheetView>
  </sheetViews>
  <sheetFormatPr baseColWidth="10" defaultColWidth="10" defaultRowHeight="13.8" x14ac:dyDescent="0.25"/>
  <cols>
    <col min="1" max="3" width="10" style="322"/>
    <col min="4" max="4" width="10.09765625" style="322" customWidth="1"/>
    <col min="5" max="5" width="2.8984375" style="322" customWidth="1"/>
    <col min="6" max="6" width="2" style="322" customWidth="1"/>
    <col min="7" max="7" width="10.59765625" style="322" customWidth="1"/>
    <col min="8" max="8" width="10" style="322"/>
    <col min="9" max="9" width="18" style="322" customWidth="1"/>
    <col min="10" max="14" width="10" style="322" customWidth="1"/>
    <col min="15" max="16384" width="10" style="322"/>
  </cols>
  <sheetData>
    <row r="1" spans="1:19" x14ac:dyDescent="0.25">
      <c r="A1" s="1264" t="s">
        <v>113</v>
      </c>
      <c r="B1" s="1265"/>
      <c r="C1" s="1265"/>
      <c r="D1" s="1265"/>
      <c r="E1" s="1265"/>
      <c r="F1" s="1265"/>
      <c r="G1" s="1265"/>
      <c r="H1" s="1265"/>
      <c r="I1" s="1266"/>
      <c r="J1" s="331"/>
    </row>
    <row r="2" spans="1:19" x14ac:dyDescent="0.25">
      <c r="A2" s="1267"/>
      <c r="B2" s="1268"/>
      <c r="C2" s="1268"/>
      <c r="D2" s="1268"/>
      <c r="E2" s="1268"/>
      <c r="F2" s="1268"/>
      <c r="G2" s="1268"/>
      <c r="H2" s="1268"/>
      <c r="I2" s="1269"/>
      <c r="J2" s="335"/>
    </row>
    <row r="3" spans="1:19" x14ac:dyDescent="0.25">
      <c r="A3" s="1267"/>
      <c r="B3" s="1268"/>
      <c r="C3" s="1268"/>
      <c r="D3" s="1268"/>
      <c r="E3" s="1268"/>
      <c r="F3" s="1268"/>
      <c r="G3" s="1268"/>
      <c r="H3" s="1268"/>
      <c r="I3" s="1269"/>
      <c r="J3" s="336"/>
    </row>
    <row r="4" spans="1:19" x14ac:dyDescent="0.25">
      <c r="A4" s="1270"/>
      <c r="B4" s="1271"/>
      <c r="C4" s="1271"/>
      <c r="D4" s="1271"/>
      <c r="E4" s="1271"/>
      <c r="F4" s="1271"/>
      <c r="G4" s="1271"/>
      <c r="H4" s="1271"/>
      <c r="I4" s="1272"/>
    </row>
    <row r="5" spans="1:19" x14ac:dyDescent="0.25">
      <c r="A5" s="323" t="s">
        <v>114</v>
      </c>
      <c r="I5" s="324"/>
      <c r="J5" s="323"/>
    </row>
    <row r="6" spans="1:19" x14ac:dyDescent="0.25">
      <c r="A6" s="141" t="s">
        <v>347</v>
      </c>
      <c r="I6" s="324"/>
      <c r="J6" s="323"/>
      <c r="K6" s="325"/>
      <c r="L6" s="325"/>
      <c r="M6" s="325"/>
      <c r="N6" s="325"/>
      <c r="O6" s="325"/>
      <c r="P6" s="325"/>
      <c r="Q6" s="325"/>
      <c r="R6" s="325"/>
      <c r="S6" s="325"/>
    </row>
    <row r="7" spans="1:19" x14ac:dyDescent="0.25">
      <c r="A7" s="141" t="s">
        <v>348</v>
      </c>
      <c r="E7" s="518" t="str">
        <f>IF('B_KZP_Allgemeine Angaben'!K63&gt;5,"x","")</f>
        <v/>
      </c>
      <c r="G7" s="90"/>
      <c r="I7" s="324"/>
      <c r="J7" s="323"/>
    </row>
    <row r="8" spans="1:19" x14ac:dyDescent="0.25">
      <c r="A8" s="928" t="s">
        <v>349</v>
      </c>
      <c r="I8" s="324"/>
      <c r="J8" s="323"/>
    </row>
    <row r="9" spans="1:19" x14ac:dyDescent="0.25">
      <c r="A9" s="323" t="s">
        <v>115</v>
      </c>
      <c r="G9" s="512" t="s">
        <v>278</v>
      </c>
      <c r="I9" s="324"/>
      <c r="J9" s="323"/>
    </row>
    <row r="10" spans="1:19" x14ac:dyDescent="0.25">
      <c r="A10" s="323" t="s">
        <v>116</v>
      </c>
      <c r="I10" s="324"/>
      <c r="J10" s="323"/>
    </row>
    <row r="11" spans="1:19" x14ac:dyDescent="0.25">
      <c r="A11" s="323"/>
      <c r="I11" s="324"/>
      <c r="J11" s="323"/>
    </row>
    <row r="12" spans="1:19" x14ac:dyDescent="0.25">
      <c r="A12" s="323" t="s">
        <v>117</v>
      </c>
      <c r="E12" s="518" t="str">
        <f>IF('B_KZP_Allgemeine Angaben'!K66&gt;5,"x","")</f>
        <v/>
      </c>
      <c r="G12" s="422" t="s">
        <v>337</v>
      </c>
      <c r="I12" s="324"/>
    </row>
    <row r="13" spans="1:19" x14ac:dyDescent="0.25">
      <c r="A13" s="323" t="s">
        <v>118</v>
      </c>
      <c r="I13" s="324"/>
    </row>
    <row r="14" spans="1:19" x14ac:dyDescent="0.25">
      <c r="A14" s="323" t="s">
        <v>119</v>
      </c>
      <c r="I14" s="324"/>
    </row>
    <row r="15" spans="1:19" x14ac:dyDescent="0.25">
      <c r="A15" s="323"/>
      <c r="I15" s="324"/>
    </row>
    <row r="16" spans="1:19" x14ac:dyDescent="0.25">
      <c r="A16" s="323" t="s">
        <v>120</v>
      </c>
      <c r="E16" s="518" t="str">
        <f>IF('B_KZP_Allgemeine Angaben'!K67&gt;5,"x","")</f>
        <v/>
      </c>
      <c r="G16" s="422" t="s">
        <v>338</v>
      </c>
      <c r="I16" s="324"/>
    </row>
    <row r="17" spans="1:10" x14ac:dyDescent="0.25">
      <c r="A17" s="323" t="s">
        <v>121</v>
      </c>
      <c r="I17" s="324"/>
    </row>
    <row r="18" spans="1:10" x14ac:dyDescent="0.25">
      <c r="A18" s="323" t="s">
        <v>122</v>
      </c>
      <c r="I18" s="324"/>
    </row>
    <row r="19" spans="1:10" x14ac:dyDescent="0.25">
      <c r="A19" s="323" t="s">
        <v>123</v>
      </c>
      <c r="I19" s="324"/>
    </row>
    <row r="20" spans="1:10" x14ac:dyDescent="0.25">
      <c r="A20" s="323"/>
      <c r="I20" s="324"/>
    </row>
    <row r="21" spans="1:10" x14ac:dyDescent="0.25">
      <c r="A21" s="323" t="s">
        <v>124</v>
      </c>
      <c r="E21" s="518" t="str">
        <f>IF('B_KZP_Allgemeine Angaben'!K71&gt;5,"x","")</f>
        <v/>
      </c>
      <c r="G21" s="90" t="s">
        <v>144</v>
      </c>
      <c r="I21" s="324"/>
      <c r="J21" s="91"/>
    </row>
    <row r="22" spans="1:10" x14ac:dyDescent="0.25">
      <c r="A22" s="323" t="s">
        <v>142</v>
      </c>
      <c r="I22" s="324"/>
      <c r="J22" s="172"/>
    </row>
    <row r="23" spans="1:10" x14ac:dyDescent="0.25">
      <c r="A23" s="141" t="s">
        <v>143</v>
      </c>
      <c r="I23" s="324"/>
      <c r="J23" s="172"/>
    </row>
    <row r="24" spans="1:10" x14ac:dyDescent="0.25">
      <c r="A24" s="323"/>
      <c r="I24" s="324"/>
    </row>
    <row r="25" spans="1:10" x14ac:dyDescent="0.25">
      <c r="A25" s="327" t="s">
        <v>125</v>
      </c>
      <c r="I25" s="324"/>
    </row>
    <row r="26" spans="1:10" x14ac:dyDescent="0.25">
      <c r="A26" s="323"/>
      <c r="I26" s="324"/>
    </row>
    <row r="27" spans="1:10" x14ac:dyDescent="0.25">
      <c r="A27" s="323" t="s">
        <v>126</v>
      </c>
      <c r="E27" s="518" t="str">
        <f>IF('B_KZP_Allgemeine Angaben'!K65&gt;5,"x","")</f>
        <v/>
      </c>
      <c r="G27" s="422" t="s">
        <v>339</v>
      </c>
      <c r="I27" s="324"/>
    </row>
    <row r="28" spans="1:10" x14ac:dyDescent="0.25">
      <c r="A28" s="323" t="s">
        <v>127</v>
      </c>
      <c r="I28" s="324"/>
    </row>
    <row r="29" spans="1:10" x14ac:dyDescent="0.25">
      <c r="A29" s="323" t="s">
        <v>128</v>
      </c>
      <c r="I29" s="324"/>
    </row>
    <row r="30" spans="1:10" x14ac:dyDescent="0.25">
      <c r="A30" s="323" t="s">
        <v>129</v>
      </c>
      <c r="I30" s="324"/>
    </row>
    <row r="31" spans="1:10" x14ac:dyDescent="0.25">
      <c r="A31" s="323"/>
      <c r="I31" s="324"/>
    </row>
    <row r="32" spans="1:10" ht="17.399999999999999" x14ac:dyDescent="0.3">
      <c r="A32" s="327" t="s">
        <v>130</v>
      </c>
      <c r="D32" s="328"/>
      <c r="G32" s="349"/>
      <c r="I32" s="324"/>
      <c r="J32" s="336"/>
    </row>
    <row r="33" spans="1:9" x14ac:dyDescent="0.25">
      <c r="A33" s="323"/>
      <c r="G33" s="424"/>
      <c r="H33" s="424"/>
      <c r="I33" s="425"/>
    </row>
    <row r="34" spans="1:9" x14ac:dyDescent="0.25">
      <c r="A34" s="323" t="s">
        <v>131</v>
      </c>
      <c r="E34" s="518" t="str">
        <f>IF('B_KZP_Allgemeine Angaben'!K64&gt;5,"x","")</f>
        <v/>
      </c>
      <c r="G34" s="428" t="s">
        <v>298</v>
      </c>
      <c r="H34" s="424"/>
      <c r="I34" s="425"/>
    </row>
    <row r="35" spans="1:9" x14ac:dyDescent="0.25">
      <c r="A35" s="323" t="s">
        <v>132</v>
      </c>
      <c r="G35" s="424"/>
      <c r="H35" s="424"/>
      <c r="I35" s="425"/>
    </row>
    <row r="36" spans="1:9" x14ac:dyDescent="0.25">
      <c r="A36" s="323" t="s">
        <v>133</v>
      </c>
      <c r="G36" s="424"/>
      <c r="H36" s="424"/>
      <c r="I36" s="425"/>
    </row>
    <row r="37" spans="1:9" x14ac:dyDescent="0.25">
      <c r="A37" s="323"/>
      <c r="E37" s="335"/>
      <c r="F37" s="335"/>
      <c r="G37" s="511" t="s">
        <v>340</v>
      </c>
      <c r="H37" s="424"/>
      <c r="I37" s="425"/>
    </row>
    <row r="38" spans="1:9" x14ac:dyDescent="0.25">
      <c r="A38" s="323"/>
      <c r="I38" s="324"/>
    </row>
    <row r="39" spans="1:9" x14ac:dyDescent="0.25">
      <c r="A39" s="323" t="s">
        <v>299</v>
      </c>
      <c r="E39" s="518" t="str">
        <f>IF('B_KZP_Allgemeine Angaben'!K64&gt;5,"x","")</f>
        <v/>
      </c>
      <c r="G39" s="326" t="s">
        <v>342</v>
      </c>
      <c r="I39" s="324"/>
    </row>
    <row r="40" spans="1:9" x14ac:dyDescent="0.25">
      <c r="A40" s="323" t="s">
        <v>300</v>
      </c>
      <c r="G40" s="513"/>
      <c r="I40" s="324"/>
    </row>
    <row r="41" spans="1:9" x14ac:dyDescent="0.25">
      <c r="A41" s="323" t="s">
        <v>301</v>
      </c>
      <c r="G41" s="513"/>
      <c r="I41" s="324"/>
    </row>
    <row r="42" spans="1:9" x14ac:dyDescent="0.25">
      <c r="A42" s="323" t="s">
        <v>302</v>
      </c>
      <c r="I42" s="324"/>
    </row>
    <row r="43" spans="1:9" x14ac:dyDescent="0.25">
      <c r="A43" s="323"/>
      <c r="I43" s="324"/>
    </row>
    <row r="44" spans="1:9" x14ac:dyDescent="0.25">
      <c r="A44" s="423" t="s">
        <v>303</v>
      </c>
      <c r="B44" s="514"/>
      <c r="C44" s="515"/>
      <c r="I44" s="324"/>
    </row>
    <row r="45" spans="1:9" x14ac:dyDescent="0.25">
      <c r="A45" s="516" t="s">
        <v>304</v>
      </c>
      <c r="B45" s="424"/>
      <c r="C45" s="425"/>
      <c r="I45" s="324"/>
    </row>
    <row r="46" spans="1:9" x14ac:dyDescent="0.25">
      <c r="A46" s="516" t="s">
        <v>138</v>
      </c>
      <c r="B46" s="424"/>
      <c r="C46" s="425"/>
      <c r="I46" s="324"/>
    </row>
    <row r="47" spans="1:9" x14ac:dyDescent="0.25">
      <c r="A47" s="516" t="s">
        <v>134</v>
      </c>
      <c r="B47" s="424"/>
      <c r="C47" s="425"/>
      <c r="I47" s="324"/>
    </row>
    <row r="48" spans="1:9" x14ac:dyDescent="0.25">
      <c r="A48" s="516" t="s">
        <v>135</v>
      </c>
      <c r="B48" s="424"/>
      <c r="C48" s="425"/>
      <c r="I48" s="324"/>
    </row>
    <row r="49" spans="1:9" x14ac:dyDescent="0.25">
      <c r="A49" s="516" t="s">
        <v>139</v>
      </c>
      <c r="B49" s="424"/>
      <c r="C49" s="425"/>
      <c r="I49" s="324"/>
    </row>
    <row r="50" spans="1:9" x14ac:dyDescent="0.25">
      <c r="A50" s="517" t="s">
        <v>140</v>
      </c>
      <c r="B50" s="426"/>
      <c r="C50" s="427"/>
      <c r="I50" s="324"/>
    </row>
    <row r="51" spans="1:9" x14ac:dyDescent="0.25">
      <c r="A51" s="323"/>
      <c r="I51" s="324"/>
    </row>
    <row r="52" spans="1:9" x14ac:dyDescent="0.25">
      <c r="A52" s="323"/>
      <c r="G52" s="331"/>
      <c r="H52" s="331"/>
      <c r="I52" s="332"/>
    </row>
    <row r="53" spans="1:9" x14ac:dyDescent="0.25">
      <c r="A53" s="1273" t="s">
        <v>136</v>
      </c>
      <c r="B53" s="1054"/>
      <c r="C53" s="1054"/>
      <c r="E53" s="519" t="str">
        <f>IF('B_KZP_Allgemeine Angaben'!K68&gt;5,"x","")</f>
        <v/>
      </c>
      <c r="G53" s="422" t="s">
        <v>341</v>
      </c>
      <c r="I53" s="324"/>
    </row>
    <row r="54" spans="1:9" x14ac:dyDescent="0.25">
      <c r="A54" s="323" t="s">
        <v>137</v>
      </c>
      <c r="I54" s="324"/>
    </row>
    <row r="55" spans="1:9" x14ac:dyDescent="0.25">
      <c r="A55" s="141" t="s">
        <v>289</v>
      </c>
      <c r="I55" s="324"/>
    </row>
    <row r="56" spans="1:9" x14ac:dyDescent="0.25">
      <c r="A56" s="141" t="s">
        <v>290</v>
      </c>
      <c r="I56" s="324"/>
    </row>
    <row r="57" spans="1:9" x14ac:dyDescent="0.25">
      <c r="A57" s="323"/>
      <c r="D57" s="83"/>
      <c r="E57" s="83"/>
      <c r="F57" s="83"/>
      <c r="G57" s="83"/>
      <c r="I57" s="324"/>
    </row>
    <row r="58" spans="1:9" ht="60" hidden="1" x14ac:dyDescent="0.95">
      <c r="A58" s="323"/>
      <c r="D58" s="83"/>
      <c r="E58" s="83"/>
      <c r="F58" s="83"/>
      <c r="G58" s="83"/>
      <c r="I58" s="333"/>
    </row>
    <row r="59" spans="1:9" x14ac:dyDescent="0.25">
      <c r="A59" s="327"/>
      <c r="B59" s="331"/>
      <c r="C59" s="331"/>
      <c r="D59" s="84"/>
      <c r="E59" s="85"/>
      <c r="F59" s="83"/>
      <c r="G59" s="86"/>
      <c r="I59" s="324"/>
    </row>
    <row r="60" spans="1:9" x14ac:dyDescent="0.25">
      <c r="A60" s="323"/>
      <c r="D60" s="83"/>
      <c r="E60" s="83"/>
      <c r="F60" s="83"/>
      <c r="G60" s="83"/>
      <c r="I60" s="324"/>
    </row>
    <row r="61" spans="1:9" x14ac:dyDescent="0.25">
      <c r="A61" s="323"/>
      <c r="I61" s="324"/>
    </row>
    <row r="62" spans="1:9" x14ac:dyDescent="0.25">
      <c r="A62" s="334"/>
      <c r="B62" s="329"/>
      <c r="C62" s="329"/>
      <c r="D62" s="329"/>
      <c r="E62" s="329"/>
      <c r="F62" s="329"/>
      <c r="G62" s="329"/>
      <c r="H62" s="329"/>
      <c r="I62" s="330"/>
    </row>
  </sheetData>
  <sheetProtection algorithmName="SHA-512" hashValue="Kpeukvq26d9lb7OIk/oGvs2NdwIs148dLJKgMgbUEIZC/PKqgjgzX8QgqNud847xb1rYtr8g9XBogVtTpEmNpA==" saltValue="WbwCwISv2njYO4DortXobA==" spinCount="100000" sheet="1" objects="1" scenarios="1"/>
  <customSheetViews>
    <customSheetView guid="{9119B1A0-FD79-4FE4-B78E-10E0AEB8080B}" showPageBreaks="1" printArea="1" hiddenRows="1" view="pageLayout" topLeftCell="A41">
      <selection activeCell="I49" sqref="I49"/>
      <pageMargins left="0.70866141732283472" right="0.70866141732283472" top="0.78740157480314965" bottom="0.78740157480314965" header="0.31496062992125984" footer="0.31496062992125984"/>
      <pageSetup paperSize="9" orientation="portrait" r:id="rId1"/>
      <headerFooter>
        <oddFooter>&amp;L&amp;8Version: 21.06.2022&amp;C&amp;8Verhandlungsunterlagen SGB XI (vereinfacht B1)&amp;R&amp;8PSK-Beschluss Nr. 3-2022 vom 21.06.2022</oddFooter>
      </headerFooter>
    </customSheetView>
  </customSheetViews>
  <mergeCells count="2">
    <mergeCell ref="A1:I4"/>
    <mergeCell ref="A53:C53"/>
  </mergeCells>
  <hyperlinks>
    <hyperlink ref="G21" r:id="rId2" xr:uid="{4E5647D8-C4EA-4B37-8EDF-4C20EE2D71CC}"/>
    <hyperlink ref="G9" r:id="rId3" xr:uid="{C452A84D-12B9-4CE2-B9CD-578595740D8F}"/>
    <hyperlink ref="G34" r:id="rId4" xr:uid="{F9FCBECE-DBDB-498E-A487-781523F3DED6}"/>
    <hyperlink ref="G39" r:id="rId5" display="mailto:pflegesatzverhandlungen_sachsen@barmer.de" xr:uid="{DD393DF0-F14A-4D79-90A4-D4D069DEA104}"/>
    <hyperlink ref="G12" r:id="rId6" xr:uid="{5342B9E9-0ED2-44E7-8D4F-F6CFE4FF107F}"/>
    <hyperlink ref="G16" r:id="rId7" xr:uid="{FD07BEC5-490D-464A-BB85-E8C6BDEBCC47}"/>
    <hyperlink ref="G27" r:id="rId8" xr:uid="{82BA44AB-E2AE-4A1E-8C43-76F017C534D1}"/>
    <hyperlink ref="G53" r:id="rId9" xr:uid="{D107163E-5E29-499F-82C1-BFB4585D0DF5}"/>
  </hyperlinks>
  <pageMargins left="0.70866141732283472" right="0.70866141732283472" top="0.78740157480314965" bottom="0.78740157480314965" header="0.31496062992125984" footer="0.31496062992125984"/>
  <pageSetup paperSize="9" scale="86" orientation="portrait"/>
  <headerFooter>
    <oddHeader>&amp;C&amp;A</oddHeader>
    <oddFooter>&amp;L&amp;8Version: 19.10.2026&amp;C&amp;8Verhandlungsunterlagen SGB XI (vereinfacht B_KZP)&amp;R&amp;8PSK-Beschluss vom 08.10.2026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12</vt:i4>
      </vt:variant>
    </vt:vector>
  </HeadingPairs>
  <TitlesOfParts>
    <vt:vector size="23" baseType="lpstr">
      <vt:lpstr>B_KZP_Versionsinfo</vt:lpstr>
      <vt:lpstr>Verknüpfungstabelle</vt:lpstr>
      <vt:lpstr>KAT</vt:lpstr>
      <vt:lpstr>B_KZP_Hinweise</vt:lpstr>
      <vt:lpstr>B_KZP_Allgemeine Angaben</vt:lpstr>
      <vt:lpstr>B_KZP_Kalkulation</vt:lpstr>
      <vt:lpstr>B_KZP_Berechnung rüE</vt:lpstr>
      <vt:lpstr>B_KZP_Bewohnervertretung</vt:lpstr>
      <vt:lpstr>B_KZP_Ergebnis</vt:lpstr>
      <vt:lpstr>B_KZP_Gesamtkalkulation</vt:lpstr>
      <vt:lpstr>Adressverzeichnis</vt:lpstr>
      <vt:lpstr>B_KZP_Hinweise!_Hlk233720930</vt:lpstr>
      <vt:lpstr>Adressverzeichnis!Druckbereich</vt:lpstr>
      <vt:lpstr>'B_KZP_Allgemeine Angaben'!Druckbereich</vt:lpstr>
      <vt:lpstr>'B_KZP_Berechnung rüE'!Druckbereich</vt:lpstr>
      <vt:lpstr>B_KZP_Bewohnervertretung!Druckbereich</vt:lpstr>
      <vt:lpstr>B_KZP_Ergebnis!Druckbereich</vt:lpstr>
      <vt:lpstr>B_KZP_Gesamtkalkulation!Druckbereich</vt:lpstr>
      <vt:lpstr>B_KZP_Hinweise!Druckbereich</vt:lpstr>
      <vt:lpstr>B_KZP_Kalkulation!Druckbereich</vt:lpstr>
      <vt:lpstr>B_KZP_Versionsinfo!Druckbereich</vt:lpstr>
      <vt:lpstr>KAT!Druckbereich</vt:lpstr>
      <vt:lpstr>B_KZP_Versionsinfo!Drucktitel</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Vereinfachtes Antragsverfahren für Kurzzeitpflegeeinrichtungen 2027</dc:title>
  <dc:creator>AOK PLUS - Die Gesundheitskasse für Sachsen und Thüringen</dc:creator>
  <cp:lastModifiedBy>Frank, Tina / G-PFST</cp:lastModifiedBy>
  <cp:lastPrinted>2026-10-22T07:33:04Z</cp:lastPrinted>
  <dcterms:created xsi:type="dcterms:W3CDTF">2012-08-21T12:23:19Z</dcterms:created>
  <dcterms:modified xsi:type="dcterms:W3CDTF">2026-10-26T16:14:11Z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2024-11-22T11:14:06Z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62a6db6f-4340-4304-b499-5a96d73e69a0</vt:lpwstr>
  </property>
  <property fmtid="{D5CDD505-2E9C-101B-9397-08002B2CF9AE}" pid="8" name="MSIP_Label_94f72c9e-ff9b-4d29-a8be-f698af1f1989_ContentBits">
    <vt:lpwstr>2</vt:lpwstr>
  </property>
</Properties>
</file>