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FST\_ALL\Performance_Steuerung\05_Gesundheitspartnerportal\B Pflege_HKP\"/>
    </mc:Choice>
  </mc:AlternateContent>
  <xr:revisionPtr revIDLastSave="0" documentId="8_{F9D25D9E-08F6-4567-8279-80E541C6FACE}" xr6:coauthVersionLast="47" xr6:coauthVersionMax="47" xr10:uidLastSave="{00000000-0000-0000-0000-000000000000}"/>
  <workbookProtection workbookAlgorithmName="SHA-512" workbookHashValue="BcuWlJ1mgFvm9NVAFAYR9qYwezxzidYWp6r8zs9sXghfE4NHR646EJ90N2B9oGu3r9E57YiAqXg4f8tA+amAxA==" workbookSaltValue="D9ZctD+8cYUtf9B1DuQWLQ==" workbookSpinCount="100000" lockStructure="1"/>
  <bookViews>
    <workbookView xWindow="28680" yWindow="-120" windowWidth="29040" windowHeight="15720" tabRatio="783" firstSheet="3" activeTab="3" xr2:uid="{00000000-000D-0000-FFFF-FFFF00000000}"/>
  </bookViews>
  <sheets>
    <sheet name="VERSIONSINFO" sheetId="15" state="hidden" r:id="rId1"/>
    <sheet name="KAT" sheetId="13" state="hidden" r:id="rId2"/>
    <sheet name="Verknüpfungstabelle" sheetId="20" state="hidden" r:id="rId3"/>
    <sheet name="Allgemeine Hinweise" sheetId="10" r:id="rId4"/>
    <sheet name="Allgemeine Angaben" sheetId="1" r:id="rId5"/>
    <sheet name="Belegung_wö. Arbeitszeit" sheetId="2" r:id="rId6"/>
    <sheet name="Personalkostenaufstellung" sheetId="16" r:id="rId7"/>
    <sheet name="Personalaufwendungen" sheetId="3" r:id="rId8"/>
    <sheet name="Sachaufwendungen" sheetId="19" r:id="rId9"/>
    <sheet name="Forderung" sheetId="7" r:id="rId10"/>
    <sheet name="Gesamtkalkulation" sheetId="8" r:id="rId11"/>
    <sheet name="Bewohnervertretung" sheetId="14" r:id="rId12"/>
    <sheet name="Hinweise Sachaufwendungen" sheetId="11" r:id="rId13"/>
    <sheet name="Adressverzeichnis" sheetId="12" r:id="rId14"/>
    <sheet name="Tabelle für VP" sheetId="18" r:id="rId15"/>
  </sheets>
  <definedNames>
    <definedName name="divisor">'Belegung_wö. Arbeitszeit'!$E$18</definedName>
    <definedName name="_xlnm.Print_Area" localSheetId="13">Adressverzeichnis!$A$1:$I$58</definedName>
    <definedName name="_xlnm.Print_Area" localSheetId="4">'Allgemeine Angaben'!$A$1:$N$76</definedName>
    <definedName name="_xlnm.Print_Area" localSheetId="3">'Allgemeine Hinweise'!$A$1:$C$40</definedName>
    <definedName name="_xlnm.Print_Area" localSheetId="5">'Belegung_wö. Arbeitszeit'!$A$1:$H$64</definedName>
    <definedName name="_xlnm.Print_Area" localSheetId="11">Bewohnervertretung!$A$1:$N$64</definedName>
    <definedName name="_xlnm.Print_Area" localSheetId="9">Forderung!$A$1:$P$72</definedName>
    <definedName name="_xlnm.Print_Area" localSheetId="10">Gesamtkalkulation!$A$1:$P$49</definedName>
    <definedName name="_xlnm.Print_Area" localSheetId="12">'Hinweise Sachaufwendungen'!$A$1:$C$27</definedName>
    <definedName name="_xlnm.Print_Area" localSheetId="1">KAT!$A$1</definedName>
    <definedName name="_xlnm.Print_Area" localSheetId="7">Personalaufwendungen!$A$1:$K$59</definedName>
    <definedName name="_xlnm.Print_Area" localSheetId="6">Personalkostenaufstellung!$A$1:$Y$298</definedName>
    <definedName name="_xlnm.Print_Area" localSheetId="8">Sachaufwendungen!$A$1:$P$56</definedName>
    <definedName name="_xlnm.Print_Area" localSheetId="0">VERSIONSINFO!$A$1:$E$67</definedName>
    <definedName name="_xlnm.Print_Titles" localSheetId="12">'Hinweise Sachaufwendungen'!$1:$1</definedName>
    <definedName name="_xlnm.Print_Titles" localSheetId="0">VERSIONSINFO!$5:$5</definedName>
    <definedName name="eeadivisor">Gesamtkalkulation!#REF!</definedName>
    <definedName name="pnk">Personalaufwendungen!$I$44</definedName>
    <definedName name="risiko">Personalaufwendungen!$I$48</definedName>
    <definedName name="Z_CDDBAA41_0D3E_44AF_A85A_332C81A5DAE4_.wvu.Cols" localSheetId="9" hidden="1">Forderung!$N:$AC</definedName>
    <definedName name="Z_CDDBAA41_0D3E_44AF_A85A_332C81A5DAE4_.wvu.Cols" localSheetId="10" hidden="1">Gesamtkalkulation!$E:$G,Gesamtkalkulation!#REF!,Gesamtkalkulation!#REF!,Gesamtkalkulation!#REF!,Gesamtkalkulation!#REF!,Gesamtkalkulation!#REF!,Gesamtkalkulation!$N:$N,Gesamtkalkulation!$O:$O</definedName>
    <definedName name="Z_CDDBAA41_0D3E_44AF_A85A_332C81A5DAE4_.wvu.PrintArea" localSheetId="13" hidden="1">Adressverzeichnis!$A$1:$I$54</definedName>
    <definedName name="Z_CDDBAA41_0D3E_44AF_A85A_332C81A5DAE4_.wvu.PrintArea" localSheetId="4" hidden="1">'Allgemeine Angaben'!$A$1:$N$76</definedName>
    <definedName name="Z_CDDBAA41_0D3E_44AF_A85A_332C81A5DAE4_.wvu.PrintArea" localSheetId="5" hidden="1">'Belegung_wö. Arbeitszeit'!$A$1:$H$64</definedName>
    <definedName name="Z_CDDBAA41_0D3E_44AF_A85A_332C81A5DAE4_.wvu.PrintArea" localSheetId="9" hidden="1">Forderung!$A$1:$M$72</definedName>
    <definedName name="Z_CDDBAA41_0D3E_44AF_A85A_332C81A5DAE4_.wvu.PrintArea" localSheetId="10" hidden="1">Gesamtkalkulation!$A$1:$P$49</definedName>
    <definedName name="Z_CDDBAA41_0D3E_44AF_A85A_332C81A5DAE4_.wvu.PrintArea" localSheetId="12" hidden="1">'Hinweise Sachaufwendungen'!$A$1:$C$27</definedName>
    <definedName name="Z_CDDBAA41_0D3E_44AF_A85A_332C81A5DAE4_.wvu.PrintArea" localSheetId="7" hidden="1">Personalaufwendungen!$A$1:$K$59</definedName>
    <definedName name="Z_CDDBAA41_0D3E_44AF_A85A_332C81A5DAE4_.wvu.PrintTitles" localSheetId="12" hidden="1">'Hinweise Sachaufwendungen'!$1:$1</definedName>
    <definedName name="Z_CDDBAA41_0D3E_44AF_A85A_332C81A5DAE4_.wvu.Rows" localSheetId="13" hidden="1">Adressverzeichnis!$49:$49</definedName>
  </definedNames>
  <calcPr calcId="191029"/>
  <customWorkbookViews>
    <customWorkbookView name="Bischoff, Kathrin - Persönliche Ansicht" guid="{CDDBAA41-0D3E-44AF-A85A-332C81A5DAE4}" mergeInterval="0" personalView="1" maximized="1" xWindow="-8" yWindow="-8" windowWidth="1936" windowHeight="1056"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80" i="16" l="1"/>
  <c r="X279" i="16"/>
  <c r="N190" i="16"/>
  <c r="H190" i="16"/>
  <c r="H165" i="16"/>
  <c r="R165" i="16" s="1"/>
  <c r="W75" i="16"/>
  <c r="U75" i="16"/>
  <c r="T75" i="16"/>
  <c r="R75" i="16"/>
  <c r="Q75" i="16"/>
  <c r="P75" i="16"/>
  <c r="O75" i="16"/>
  <c r="N75" i="16"/>
  <c r="H75" i="16"/>
  <c r="V75" i="16" s="1"/>
  <c r="W33" i="16"/>
  <c r="V33" i="16"/>
  <c r="U33" i="16"/>
  <c r="T33" i="16"/>
  <c r="S33" i="16"/>
  <c r="R33" i="16"/>
  <c r="Q33" i="16"/>
  <c r="P33" i="16"/>
  <c r="O33" i="16"/>
  <c r="N33" i="16"/>
  <c r="H33" i="16"/>
  <c r="D33" i="16"/>
  <c r="E33" i="16" s="1"/>
  <c r="B33" i="16"/>
  <c r="C33" i="16" s="1"/>
  <c r="D75" i="16"/>
  <c r="E75" i="16" s="1"/>
  <c r="B75" i="16"/>
  <c r="C75" i="16" s="1"/>
  <c r="E109" i="16"/>
  <c r="D109" i="16"/>
  <c r="C109" i="16"/>
  <c r="B109" i="16"/>
  <c r="B151" i="16"/>
  <c r="C151" i="16"/>
  <c r="D151" i="16"/>
  <c r="D190" i="16"/>
  <c r="E190" i="16" s="1"/>
  <c r="C190" i="16"/>
  <c r="B190" i="16"/>
  <c r="D165" i="16"/>
  <c r="E165" i="16" s="1"/>
  <c r="B165" i="16"/>
  <c r="C165" i="16" s="1"/>
  <c r="D214" i="16"/>
  <c r="E214" i="16" s="1"/>
  <c r="C214" i="16"/>
  <c r="B214" i="16"/>
  <c r="B225" i="16"/>
  <c r="C225" i="16" s="1"/>
  <c r="D225" i="16"/>
  <c r="B281" i="16"/>
  <c r="E274" i="16"/>
  <c r="D274" i="16"/>
  <c r="C274" i="16"/>
  <c r="B274" i="16"/>
  <c r="AQ5" i="20"/>
  <c r="S75" i="16" l="1"/>
  <c r="E225" i="16"/>
  <c r="U165" i="16"/>
  <c r="S165" i="16"/>
  <c r="T165" i="16"/>
  <c r="V165" i="16"/>
  <c r="W165" i="16"/>
  <c r="O165" i="16"/>
  <c r="P165" i="16"/>
  <c r="N165" i="16"/>
  <c r="Q165" i="16"/>
  <c r="D154" i="16"/>
  <c r="B154" i="16"/>
  <c r="C154" i="16" s="1"/>
  <c r="E154" i="16"/>
  <c r="D216" i="16"/>
  <c r="B216" i="16"/>
  <c r="C216" i="16" s="1"/>
  <c r="B38" i="2"/>
  <c r="D15" i="2"/>
  <c r="H53" i="1"/>
  <c r="K51" i="1"/>
  <c r="B9" i="16" l="1"/>
  <c r="G9" i="16" s="1"/>
  <c r="DN5" i="20" l="1"/>
  <c r="DP5" i="20"/>
  <c r="DO5" i="20"/>
  <c r="C5" i="20" l="1"/>
  <c r="KC5" i="20" l="1"/>
  <c r="JZ5" i="20"/>
  <c r="JX5" i="20"/>
  <c r="JD5" i="20"/>
  <c r="JB5" i="20"/>
  <c r="IH5" i="20"/>
  <c r="IG5" i="20"/>
  <c r="II5" i="20"/>
  <c r="IF5" i="20"/>
  <c r="IE5" i="20" l="1"/>
  <c r="ID5" i="20"/>
  <c r="IC5" i="20"/>
  <c r="IA5" i="20"/>
  <c r="HZ5" i="20"/>
  <c r="HX5" i="20"/>
  <c r="HW5" i="20"/>
  <c r="HV5" i="20"/>
  <c r="HU5" i="20"/>
  <c r="HT5" i="20"/>
  <c r="HS5" i="20"/>
  <c r="HR5" i="20"/>
  <c r="HQ5" i="20"/>
  <c r="HP5" i="20"/>
  <c r="HO5" i="20"/>
  <c r="HN5" i="20"/>
  <c r="HM5" i="20"/>
  <c r="HL5" i="20"/>
  <c r="HK5" i="20"/>
  <c r="GP5" i="20" l="1"/>
  <c r="GO5" i="20"/>
  <c r="GK5" i="20" l="1"/>
  <c r="GJ5" i="20"/>
  <c r="GI5" i="20"/>
  <c r="GH5" i="20"/>
  <c r="FC5" i="20" l="1"/>
  <c r="FB5" i="20"/>
  <c r="NK5" i="20"/>
  <c r="ES5" i="20"/>
  <c r="ER5" i="20"/>
  <c r="NJ5" i="20"/>
  <c r="EJ5" i="20"/>
  <c r="EH5" i="20"/>
  <c r="EF5" i="20"/>
  <c r="EB5" i="20"/>
  <c r="DM5" i="20"/>
  <c r="DL5" i="20"/>
  <c r="DK5" i="20"/>
  <c r="DJ5" i="20"/>
  <c r="DH5" i="20"/>
  <c r="D279" i="16"/>
  <c r="DF5" i="20"/>
  <c r="DD5" i="20"/>
  <c r="NH5" i="20"/>
  <c r="NG5" i="20"/>
  <c r="NF5" i="20"/>
  <c r="DE5" i="20" l="1"/>
  <c r="CO5" i="20"/>
  <c r="CM5" i="20"/>
  <c r="ND5" i="20"/>
  <c r="CH5" i="20"/>
  <c r="CE5" i="20"/>
  <c r="CB5" i="20"/>
  <c r="BY5" i="20"/>
  <c r="BS5" i="20"/>
  <c r="NC5" i="20"/>
  <c r="BR5" i="20"/>
  <c r="BQ5" i="20"/>
  <c r="BP5" i="20"/>
  <c r="BH5" i="20"/>
  <c r="BG5" i="20"/>
  <c r="BF5" i="20"/>
  <c r="BE5" i="20"/>
  <c r="BD5" i="20"/>
  <c r="BB5" i="20"/>
  <c r="BA5" i="20"/>
  <c r="AZ5" i="20"/>
  <c r="AY5" i="20"/>
  <c r="AX5" i="20"/>
  <c r="NA5" i="20"/>
  <c r="MZ5" i="20"/>
  <c r="MY5" i="20"/>
  <c r="MX5" i="20"/>
  <c r="MW5" i="20"/>
  <c r="MV5" i="20"/>
  <c r="MU5" i="20"/>
  <c r="AN5" i="20"/>
  <c r="AM5" i="20"/>
  <c r="AL5" i="20"/>
  <c r="AK5" i="20"/>
  <c r="AJ5" i="20"/>
  <c r="AI5" i="20"/>
  <c r="AH5" i="20"/>
  <c r="AG5" i="20"/>
  <c r="AF5" i="20" l="1"/>
  <c r="AE5" i="20"/>
  <c r="AD5" i="20"/>
  <c r="AC5" i="20"/>
  <c r="AA5" i="20"/>
  <c r="Z5" i="20"/>
  <c r="Y5" i="20"/>
  <c r="X5" i="20"/>
  <c r="W5" i="20"/>
  <c r="V5" i="20"/>
  <c r="U5" i="20"/>
  <c r="T5" i="20"/>
  <c r="S5" i="20"/>
  <c r="R5" i="20"/>
  <c r="Q5" i="20"/>
  <c r="P5" i="20"/>
  <c r="O5" i="20"/>
  <c r="N5" i="20"/>
  <c r="M5" i="20"/>
  <c r="L5" i="20"/>
  <c r="K5" i="20"/>
  <c r="J5" i="20"/>
  <c r="I5" i="20"/>
  <c r="H5" i="20"/>
  <c r="G5" i="20"/>
  <c r="F5" i="20"/>
  <c r="D5" i="20"/>
  <c r="C19" i="2" l="1"/>
  <c r="K66" i="1"/>
  <c r="K64" i="1"/>
  <c r="I53" i="3" l="1"/>
  <c r="HJ5" i="20" s="1"/>
  <c r="I51" i="3"/>
  <c r="HI5" i="20" s="1"/>
  <c r="O52" i="13"/>
  <c r="N52" i="13"/>
  <c r="N53" i="13"/>
  <c r="N54" i="13"/>
  <c r="N55" i="13"/>
  <c r="M55" i="13"/>
  <c r="M54" i="13"/>
  <c r="M53" i="13"/>
  <c r="J44" i="3" l="1"/>
  <c r="GM5" i="20" s="1"/>
  <c r="D280" i="16" l="1"/>
  <c r="BT5" i="20"/>
  <c r="H274" i="16"/>
  <c r="NI5" i="20"/>
  <c r="H225" i="16"/>
  <c r="N225" i="16" s="1"/>
  <c r="L53" i="13"/>
  <c r="O53" i="13" s="1"/>
  <c r="L55" i="13"/>
  <c r="O55" i="13" s="1"/>
  <c r="L54" i="13"/>
  <c r="O54" i="13" s="1"/>
  <c r="L52" i="13"/>
  <c r="F38" i="13"/>
  <c r="P43" i="13"/>
  <c r="N42" i="13"/>
  <c r="N41" i="13"/>
  <c r="DG5" i="20" l="1"/>
  <c r="E281" i="16"/>
  <c r="DI5" i="20"/>
  <c r="BZ5" i="20"/>
  <c r="G51" i="13" l="1"/>
  <c r="L35" i="7"/>
  <c r="F47" i="13"/>
  <c r="F44" i="13"/>
  <c r="L48" i="7" s="1"/>
  <c r="E45" i="13"/>
  <c r="C45" i="13"/>
  <c r="H38" i="13" l="1"/>
  <c r="H44" i="13"/>
  <c r="H47" i="13"/>
  <c r="L54" i="7"/>
  <c r="C16" i="2" l="1"/>
  <c r="J50" i="19" l="1"/>
  <c r="H50" i="19"/>
  <c r="IJ5" i="20" s="1"/>
  <c r="H30" i="19"/>
  <c r="HY5" i="20" s="1"/>
  <c r="J30" i="19"/>
  <c r="O15" i="16" l="1"/>
  <c r="L270" i="16" l="1"/>
  <c r="C37" i="8" l="1"/>
  <c r="C38" i="8"/>
  <c r="I5" i="1"/>
  <c r="C18" i="8"/>
  <c r="C17" i="8"/>
  <c r="L21" i="19"/>
  <c r="IL5" i="20" s="1"/>
  <c r="L22" i="19"/>
  <c r="IM5" i="20" s="1"/>
  <c r="L23" i="19"/>
  <c r="IN5" i="20" s="1"/>
  <c r="L24" i="19"/>
  <c r="IO5" i="20" s="1"/>
  <c r="L25" i="19"/>
  <c r="IP5" i="20" s="1"/>
  <c r="L26" i="19"/>
  <c r="IQ5" i="20" s="1"/>
  <c r="L27" i="19"/>
  <c r="IR5" i="20" s="1"/>
  <c r="L28" i="19"/>
  <c r="IS5" i="20" s="1"/>
  <c r="L29" i="19"/>
  <c r="IT5" i="20" s="1"/>
  <c r="L20" i="19"/>
  <c r="IK5" i="20" s="1"/>
  <c r="A1" i="19"/>
  <c r="D28" i="8" l="1"/>
  <c r="L30" i="19"/>
  <c r="IU5" i="20" s="1"/>
  <c r="D31" i="8"/>
  <c r="D30" i="8"/>
  <c r="D29" i="8"/>
  <c r="D27" i="8"/>
  <c r="D26" i="8"/>
  <c r="D24" i="8"/>
  <c r="M24" i="8" s="1"/>
  <c r="D23" i="8"/>
  <c r="D25" i="8"/>
  <c r="M25" i="8" s="1"/>
  <c r="G24" i="8" l="1"/>
  <c r="G25" i="8"/>
  <c r="E25" i="8" s="1"/>
  <c r="C40" i="8" l="1"/>
  <c r="C39" i="8"/>
  <c r="B35" i="8"/>
  <c r="C35" i="8"/>
  <c r="B36" i="8"/>
  <c r="C36" i="8"/>
  <c r="B37" i="8"/>
  <c r="B38" i="8"/>
  <c r="B39" i="8"/>
  <c r="B40" i="8"/>
  <c r="C34" i="8"/>
  <c r="B34" i="8"/>
  <c r="C23" i="8"/>
  <c r="C24" i="8"/>
  <c r="C25" i="8"/>
  <c r="C26" i="8"/>
  <c r="C27" i="8"/>
  <c r="C28" i="8"/>
  <c r="C29" i="8"/>
  <c r="C30" i="8"/>
  <c r="C31" i="8"/>
  <c r="C22" i="8"/>
  <c r="J54" i="19"/>
  <c r="C51" i="19"/>
  <c r="L49" i="19"/>
  <c r="JE5" i="20" s="1"/>
  <c r="L48" i="19"/>
  <c r="JC5" i="20" s="1"/>
  <c r="L47" i="19"/>
  <c r="IZ5" i="20" s="1"/>
  <c r="L46" i="19"/>
  <c r="JA5" i="20" s="1"/>
  <c r="L45" i="19"/>
  <c r="IY5" i="20" s="1"/>
  <c r="L44" i="19"/>
  <c r="IW5" i="20" s="1"/>
  <c r="L43" i="19"/>
  <c r="IV5" i="20" s="1"/>
  <c r="C40" i="19"/>
  <c r="H41" i="19" s="1"/>
  <c r="C39" i="19"/>
  <c r="D31" i="19"/>
  <c r="D22" i="8"/>
  <c r="D21" i="8" s="1"/>
  <c r="F19" i="19"/>
  <c r="B4" i="16"/>
  <c r="L50" i="19" l="1"/>
  <c r="JF5" i="20" s="1"/>
  <c r="D37" i="8"/>
  <c r="D34" i="8"/>
  <c r="D36" i="8"/>
  <c r="L53" i="19"/>
  <c r="KD5" i="20" s="1"/>
  <c r="D39" i="8"/>
  <c r="D38" i="8"/>
  <c r="D35" i="8"/>
  <c r="D40" i="8"/>
  <c r="F41" i="19"/>
  <c r="F40" i="19"/>
  <c r="H40" i="19"/>
  <c r="B5" i="16"/>
  <c r="G5" i="16" s="1"/>
  <c r="A3" i="1"/>
  <c r="A3" i="19" s="1"/>
  <c r="G4" i="16"/>
  <c r="B6" i="16"/>
  <c r="G6" i="16" s="1"/>
  <c r="D6" i="2" l="1"/>
  <c r="Y1" i="16" l="1"/>
  <c r="E7" i="13"/>
  <c r="C17" i="2" l="1"/>
  <c r="C18" i="2"/>
  <c r="F7" i="2"/>
  <c r="G35" i="13"/>
  <c r="D6" i="8"/>
  <c r="F46" i="13" l="1"/>
  <c r="L52" i="7" s="1"/>
  <c r="H46" i="13"/>
  <c r="R14" i="16"/>
  <c r="H51" i="3"/>
  <c r="GF5" i="20" s="1"/>
  <c r="AS164" i="16"/>
  <c r="AS163" i="16"/>
  <c r="AS162" i="16"/>
  <c r="AS161" i="16"/>
  <c r="AS69" i="16"/>
  <c r="AS68" i="16"/>
  <c r="AS67" i="16"/>
  <c r="AS66" i="16"/>
  <c r="AS65" i="16"/>
  <c r="AS64" i="16"/>
  <c r="AS63" i="16"/>
  <c r="AS62" i="16"/>
  <c r="AS61" i="16"/>
  <c r="AS60" i="16"/>
  <c r="AS59" i="16"/>
  <c r="AS58" i="16"/>
  <c r="AS57" i="16"/>
  <c r="AS56" i="16"/>
  <c r="AS55" i="16"/>
  <c r="AS54" i="16"/>
  <c r="AS53" i="16"/>
  <c r="AS52" i="16"/>
  <c r="AS51" i="16"/>
  <c r="AS50" i="16"/>
  <c r="AS49" i="16"/>
  <c r="AS48" i="16"/>
  <c r="AS47" i="16"/>
  <c r="AS46" i="16"/>
  <c r="AS45" i="16"/>
  <c r="AS44" i="16"/>
  <c r="AS43" i="16"/>
  <c r="AS42" i="16"/>
  <c r="AS41" i="16"/>
  <c r="AS40" i="16"/>
  <c r="AS39" i="16"/>
  <c r="AU150" i="16"/>
  <c r="AU149" i="16"/>
  <c r="AU148" i="16"/>
  <c r="AU147" i="16"/>
  <c r="AU146" i="16"/>
  <c r="AU145" i="16"/>
  <c r="AU144" i="16"/>
  <c r="AU143" i="16"/>
  <c r="AU142" i="16"/>
  <c r="AU141" i="16"/>
  <c r="AU140" i="16"/>
  <c r="AU139" i="16"/>
  <c r="AU138" i="16"/>
  <c r="AU137" i="16"/>
  <c r="AU136" i="16"/>
  <c r="AU135" i="16"/>
  <c r="AU134" i="16"/>
  <c r="AU133" i="16"/>
  <c r="AU132" i="16"/>
  <c r="AU131" i="16"/>
  <c r="AU130" i="16"/>
  <c r="AU129" i="16"/>
  <c r="AU128" i="16"/>
  <c r="AU127" i="16"/>
  <c r="AU126" i="16"/>
  <c r="AU125" i="16"/>
  <c r="AU124" i="16"/>
  <c r="AU123" i="16"/>
  <c r="AU122" i="16"/>
  <c r="AU121" i="16"/>
  <c r="AU120" i="16"/>
  <c r="AU119" i="16"/>
  <c r="AU118" i="16"/>
  <c r="AU117" i="16"/>
  <c r="AU116" i="16"/>
  <c r="AU115" i="16"/>
  <c r="AU114" i="16"/>
  <c r="AU113" i="16"/>
  <c r="AU213" i="16"/>
  <c r="AU212" i="16"/>
  <c r="AU211" i="16"/>
  <c r="AU210" i="16"/>
  <c r="AU209" i="16"/>
  <c r="AU208" i="16"/>
  <c r="AU207" i="16"/>
  <c r="AU206" i="16"/>
  <c r="AU205" i="16"/>
  <c r="AU204" i="16"/>
  <c r="AU203" i="16"/>
  <c r="AU202" i="16"/>
  <c r="AU201" i="16"/>
  <c r="AU200" i="16"/>
  <c r="AU199" i="16"/>
  <c r="AU198" i="16"/>
  <c r="AU197" i="16"/>
  <c r="AU196" i="16"/>
  <c r="AU195" i="16"/>
  <c r="AU194" i="16"/>
  <c r="AU273" i="16"/>
  <c r="AU272" i="16"/>
  <c r="AU271" i="16"/>
  <c r="AU270" i="16"/>
  <c r="AU269" i="16"/>
  <c r="AU268" i="16"/>
  <c r="AU267" i="16"/>
  <c r="AU266" i="16"/>
  <c r="AU265" i="16"/>
  <c r="AU264" i="16"/>
  <c r="AT262" i="16"/>
  <c r="AT261" i="16"/>
  <c r="AT260" i="16"/>
  <c r="AT259" i="16"/>
  <c r="AT258" i="16"/>
  <c r="AT257" i="16"/>
  <c r="AT256" i="16"/>
  <c r="AT255" i="16"/>
  <c r="AT254" i="16"/>
  <c r="AT253" i="16"/>
  <c r="AT189" i="16"/>
  <c r="AT188" i="16"/>
  <c r="AT187" i="16"/>
  <c r="AT186" i="16"/>
  <c r="AT185" i="16"/>
  <c r="AT184" i="16"/>
  <c r="AT183" i="16"/>
  <c r="AT182" i="16"/>
  <c r="AT181" i="16"/>
  <c r="AT180" i="16"/>
  <c r="AT179" i="16"/>
  <c r="AT178" i="16"/>
  <c r="AT177" i="16"/>
  <c r="AT176" i="16"/>
  <c r="AT175" i="16"/>
  <c r="AT174" i="16"/>
  <c r="AT173" i="16"/>
  <c r="AT172" i="16"/>
  <c r="AT171"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Q78" i="16"/>
  <c r="AR273" i="16"/>
  <c r="AR272" i="16"/>
  <c r="AR271" i="16"/>
  <c r="AR270" i="16"/>
  <c r="AR269" i="16"/>
  <c r="AR268" i="16"/>
  <c r="AR267" i="16"/>
  <c r="AR266" i="16"/>
  <c r="AR265" i="16"/>
  <c r="AR264" i="16"/>
  <c r="AR213" i="16"/>
  <c r="AR212" i="16"/>
  <c r="AR211" i="16"/>
  <c r="AR210" i="16"/>
  <c r="AR209" i="16"/>
  <c r="AR208" i="16"/>
  <c r="AR207" i="16"/>
  <c r="AR206" i="16"/>
  <c r="AR205" i="16"/>
  <c r="AR204" i="16"/>
  <c r="AR203" i="16"/>
  <c r="AR202" i="16"/>
  <c r="AR201" i="16"/>
  <c r="AR200" i="16"/>
  <c r="AR199" i="16"/>
  <c r="AR198" i="16"/>
  <c r="AR197" i="16"/>
  <c r="AR196" i="16"/>
  <c r="AR195" i="16"/>
  <c r="AR194" i="16"/>
  <c r="AR193" i="16"/>
  <c r="AR150" i="16"/>
  <c r="AR149" i="16"/>
  <c r="AR148" i="16"/>
  <c r="AR147" i="16"/>
  <c r="AR146" i="16"/>
  <c r="AR145" i="16"/>
  <c r="AR144" i="16"/>
  <c r="AR143" i="16"/>
  <c r="AR142" i="16"/>
  <c r="AR141" i="16"/>
  <c r="AR140" i="16"/>
  <c r="AR139" i="16"/>
  <c r="AR138" i="16"/>
  <c r="AR137" i="16"/>
  <c r="AR136" i="16"/>
  <c r="AR135" i="16"/>
  <c r="AR134" i="16"/>
  <c r="AR133" i="16"/>
  <c r="AR132" i="16"/>
  <c r="AR131" i="16"/>
  <c r="AR130" i="16"/>
  <c r="AR129" i="16"/>
  <c r="AR128" i="16"/>
  <c r="AR127" i="16"/>
  <c r="AR126" i="16"/>
  <c r="AR125" i="16"/>
  <c r="AR124" i="16"/>
  <c r="AR123" i="16"/>
  <c r="AR122" i="16"/>
  <c r="AR121" i="16"/>
  <c r="AR120" i="16"/>
  <c r="AR119" i="16"/>
  <c r="AR118" i="16"/>
  <c r="AR117" i="16"/>
  <c r="AR116" i="16"/>
  <c r="AR115" i="16"/>
  <c r="AR114" i="16"/>
  <c r="AR113" i="16"/>
  <c r="AR112" i="16"/>
  <c r="AQ108" i="16"/>
  <c r="AP38" i="16"/>
  <c r="AR282" i="16" l="1"/>
  <c r="J292" i="16" s="1"/>
  <c r="DV5" i="20" s="1"/>
  <c r="C21" i="2"/>
  <c r="AP164" i="16" l="1"/>
  <c r="AE164" i="16"/>
  <c r="AD164" i="16"/>
  <c r="AC164" i="16"/>
  <c r="AB164" i="16"/>
  <c r="AA164" i="16"/>
  <c r="X164" i="16"/>
  <c r="Y164" i="16" s="1"/>
  <c r="L164" i="16"/>
  <c r="M164" i="16" s="1"/>
  <c r="E164" i="16"/>
  <c r="AP163" i="16"/>
  <c r="AE163" i="16"/>
  <c r="AD163" i="16"/>
  <c r="AC163" i="16"/>
  <c r="AB163" i="16"/>
  <c r="AA163" i="16"/>
  <c r="X163" i="16"/>
  <c r="Y163" i="16" s="1"/>
  <c r="L163" i="16"/>
  <c r="M163" i="16" s="1"/>
  <c r="E163" i="16"/>
  <c r="AP162" i="16"/>
  <c r="AE162" i="16"/>
  <c r="AD162" i="16"/>
  <c r="AC162" i="16"/>
  <c r="AB162" i="16"/>
  <c r="AA162" i="16"/>
  <c r="X162" i="16"/>
  <c r="Y162" i="16" s="1"/>
  <c r="L162" i="16"/>
  <c r="M162" i="16" s="1"/>
  <c r="E162" i="16"/>
  <c r="AP161" i="16"/>
  <c r="AE161" i="16"/>
  <c r="AD161" i="16"/>
  <c r="AC161" i="16"/>
  <c r="AB161" i="16"/>
  <c r="AA161" i="16"/>
  <c r="X161" i="16"/>
  <c r="Y161" i="16" s="1"/>
  <c r="L161" i="16"/>
  <c r="M161" i="16" s="1"/>
  <c r="E161" i="16"/>
  <c r="AP160" i="16"/>
  <c r="AE160" i="16"/>
  <c r="AD160" i="16"/>
  <c r="AC160" i="16"/>
  <c r="AB160" i="16"/>
  <c r="L160" i="16"/>
  <c r="M160" i="16" s="1"/>
  <c r="X160" i="16" s="1"/>
  <c r="E160" i="16"/>
  <c r="AP159" i="16"/>
  <c r="AE159" i="16"/>
  <c r="AD159" i="16"/>
  <c r="AC159" i="16"/>
  <c r="AB159" i="16"/>
  <c r="L159" i="16"/>
  <c r="M159" i="16" s="1"/>
  <c r="E159" i="16"/>
  <c r="AA159" i="16" l="1"/>
  <c r="M165" i="16"/>
  <c r="AA160" i="16"/>
  <c r="Y160" i="16"/>
  <c r="AS160" i="16"/>
  <c r="X159" i="16"/>
  <c r="Y159" i="16" l="1"/>
  <c r="AS159" i="16"/>
  <c r="X165" i="16"/>
  <c r="D8" i="2"/>
  <c r="E18" i="2" s="1"/>
  <c r="Y165" i="16" l="1"/>
  <c r="M23" i="19"/>
  <c r="M24" i="19"/>
  <c r="M45" i="19"/>
  <c r="M26" i="19"/>
  <c r="M22" i="19"/>
  <c r="M27" i="19"/>
  <c r="M43" i="19"/>
  <c r="M44" i="19"/>
  <c r="M46" i="19"/>
  <c r="M47" i="19"/>
  <c r="M29" i="19"/>
  <c r="M28" i="19"/>
  <c r="M49" i="19"/>
  <c r="M21" i="19"/>
  <c r="M20" i="19"/>
  <c r="M25" i="19"/>
  <c r="M48" i="19"/>
  <c r="M30" i="19"/>
  <c r="M50" i="19"/>
  <c r="JW5" i="20" l="1"/>
  <c r="KB5" i="20"/>
  <c r="JR5" i="20"/>
  <c r="JV5" i="20"/>
  <c r="JY5" i="20"/>
  <c r="JK5" i="20"/>
  <c r="JP5" i="20"/>
  <c r="JN5" i="20"/>
  <c r="JJ5" i="20"/>
  <c r="JS5" i="20"/>
  <c r="JQ5" i="20"/>
  <c r="JI5" i="20"/>
  <c r="JL5" i="20"/>
  <c r="JM5" i="20"/>
  <c r="JG5" i="20"/>
  <c r="JU5" i="20"/>
  <c r="JH5" i="20"/>
  <c r="KA5" i="20"/>
  <c r="JO5" i="20"/>
  <c r="C15" i="8"/>
  <c r="C14" i="8"/>
  <c r="C16" i="13"/>
  <c r="C15" i="13"/>
  <c r="C14" i="13"/>
  <c r="C13" i="13"/>
  <c r="C12" i="13"/>
  <c r="F42" i="13" s="1"/>
  <c r="L43" i="7" l="1"/>
  <c r="H42" i="13"/>
  <c r="O38" i="7"/>
  <c r="H53" i="3"/>
  <c r="GG5" i="20" s="1"/>
  <c r="G22" i="3" l="1"/>
  <c r="EL5" i="20" s="1"/>
  <c r="D45" i="13" l="1"/>
  <c r="F45" i="13" s="1"/>
  <c r="H275" i="16"/>
  <c r="L50" i="7" l="1"/>
  <c r="H45" i="13"/>
  <c r="H33" i="3"/>
  <c r="NL5" i="20" s="1"/>
  <c r="H34" i="3" l="1"/>
  <c r="J16" i="7"/>
  <c r="NS5" i="20" s="1"/>
  <c r="AM9" i="16"/>
  <c r="K290" i="16"/>
  <c r="I290" i="16"/>
  <c r="J289" i="16"/>
  <c r="H289" i="16"/>
  <c r="G289" i="16"/>
  <c r="V281" i="16"/>
  <c r="Y281" i="16" s="1"/>
  <c r="R274" i="16"/>
  <c r="AO273" i="16"/>
  <c r="AN273" i="16"/>
  <c r="AM273" i="16"/>
  <c r="AL273" i="16"/>
  <c r="AK273" i="16"/>
  <c r="X273" i="16"/>
  <c r="Y273" i="16" s="1"/>
  <c r="L273" i="16"/>
  <c r="M273" i="16" s="1"/>
  <c r="E273" i="16"/>
  <c r="AO272" i="16"/>
  <c r="AN272" i="16"/>
  <c r="AM272" i="16"/>
  <c r="AL272" i="16"/>
  <c r="AK272" i="16"/>
  <c r="X272" i="16"/>
  <c r="Y272" i="16" s="1"/>
  <c r="L272" i="16"/>
  <c r="M272" i="16" s="1"/>
  <c r="E272" i="16"/>
  <c r="AO271" i="16"/>
  <c r="AN271" i="16"/>
  <c r="AM271" i="16"/>
  <c r="AL271" i="16"/>
  <c r="AK271" i="16"/>
  <c r="X271" i="16"/>
  <c r="Y271" i="16" s="1"/>
  <c r="L271" i="16"/>
  <c r="M271" i="16" s="1"/>
  <c r="E271" i="16"/>
  <c r="AO270" i="16"/>
  <c r="AN270" i="16"/>
  <c r="AM270" i="16"/>
  <c r="AL270" i="16"/>
  <c r="AK270" i="16"/>
  <c r="X270" i="16"/>
  <c r="Y270" i="16" s="1"/>
  <c r="M270" i="16"/>
  <c r="E270" i="16"/>
  <c r="AO269" i="16"/>
  <c r="AN269" i="16"/>
  <c r="AM269" i="16"/>
  <c r="AL269" i="16"/>
  <c r="AK269" i="16"/>
  <c r="X269" i="16"/>
  <c r="Y269" i="16" s="1"/>
  <c r="L269" i="16"/>
  <c r="M269" i="16" s="1"/>
  <c r="E269" i="16"/>
  <c r="AO268" i="16"/>
  <c r="AN268" i="16"/>
  <c r="AM268" i="16"/>
  <c r="AL268" i="16"/>
  <c r="AK268" i="16"/>
  <c r="X268" i="16"/>
  <c r="Y268" i="16" s="1"/>
  <c r="L268" i="16"/>
  <c r="M268" i="16" s="1"/>
  <c r="E268" i="16"/>
  <c r="AO267" i="16"/>
  <c r="AN267" i="16"/>
  <c r="AM267" i="16"/>
  <c r="AL267" i="16"/>
  <c r="AK267" i="16"/>
  <c r="X267" i="16"/>
  <c r="Y267" i="16" s="1"/>
  <c r="L267" i="16"/>
  <c r="M267" i="16" s="1"/>
  <c r="E267" i="16"/>
  <c r="AO266" i="16"/>
  <c r="AN266" i="16"/>
  <c r="AM266" i="16"/>
  <c r="AL266" i="16"/>
  <c r="AK266" i="16"/>
  <c r="X266" i="16"/>
  <c r="Y266" i="16" s="1"/>
  <c r="L266" i="16"/>
  <c r="M266" i="16" s="1"/>
  <c r="E266" i="16"/>
  <c r="AO265" i="16"/>
  <c r="AN265" i="16"/>
  <c r="AM265" i="16"/>
  <c r="AL265" i="16"/>
  <c r="AK265" i="16"/>
  <c r="X265" i="16"/>
  <c r="Y265" i="16" s="1"/>
  <c r="L265" i="16"/>
  <c r="M265" i="16" s="1"/>
  <c r="E265" i="16"/>
  <c r="AO264" i="16"/>
  <c r="AN264" i="16"/>
  <c r="AM264" i="16"/>
  <c r="AL264" i="16"/>
  <c r="L264" i="16"/>
  <c r="M264" i="16" s="1"/>
  <c r="X264" i="16" s="1"/>
  <c r="Y264" i="16" s="1"/>
  <c r="E264" i="16"/>
  <c r="AQ262" i="16"/>
  <c r="AJ262" i="16"/>
  <c r="AI262" i="16"/>
  <c r="AH262" i="16"/>
  <c r="AG262" i="16"/>
  <c r="AF262" i="16"/>
  <c r="X262" i="16"/>
  <c r="Y262" i="16" s="1"/>
  <c r="L262" i="16"/>
  <c r="M262" i="16" s="1"/>
  <c r="E262" i="16"/>
  <c r="AQ261" i="16"/>
  <c r="AJ261" i="16"/>
  <c r="AI261" i="16"/>
  <c r="AH261" i="16"/>
  <c r="AG261" i="16"/>
  <c r="AF261" i="16"/>
  <c r="X261" i="16"/>
  <c r="Y261" i="16" s="1"/>
  <c r="L261" i="16"/>
  <c r="M261" i="16" s="1"/>
  <c r="E261" i="16"/>
  <c r="AQ260" i="16"/>
  <c r="AJ260" i="16"/>
  <c r="AI260" i="16"/>
  <c r="AH260" i="16"/>
  <c r="AG260" i="16"/>
  <c r="AF260" i="16"/>
  <c r="X260" i="16"/>
  <c r="Y260" i="16" s="1"/>
  <c r="L260" i="16"/>
  <c r="M260" i="16" s="1"/>
  <c r="E260" i="16"/>
  <c r="AQ259" i="16"/>
  <c r="AJ259" i="16"/>
  <c r="AI259" i="16"/>
  <c r="AH259" i="16"/>
  <c r="AG259" i="16"/>
  <c r="AF259" i="16"/>
  <c r="X259" i="16"/>
  <c r="Y259" i="16" s="1"/>
  <c r="L259" i="16"/>
  <c r="M259" i="16" s="1"/>
  <c r="E259" i="16"/>
  <c r="AQ258" i="16"/>
  <c r="AJ258" i="16"/>
  <c r="AI258" i="16"/>
  <c r="AH258" i="16"/>
  <c r="AG258" i="16"/>
  <c r="AF258" i="16"/>
  <c r="X258" i="16"/>
  <c r="Y258" i="16" s="1"/>
  <c r="L258" i="16"/>
  <c r="M258" i="16" s="1"/>
  <c r="E258" i="16"/>
  <c r="AQ257" i="16"/>
  <c r="AJ257" i="16"/>
  <c r="AI257" i="16"/>
  <c r="AH257" i="16"/>
  <c r="AG257" i="16"/>
  <c r="AF257" i="16"/>
  <c r="X257" i="16"/>
  <c r="Y257" i="16" s="1"/>
  <c r="L257" i="16"/>
  <c r="M257" i="16" s="1"/>
  <c r="E257" i="16"/>
  <c r="AQ256" i="16"/>
  <c r="AJ256" i="16"/>
  <c r="AI256" i="16"/>
  <c r="AH256" i="16"/>
  <c r="AG256" i="16"/>
  <c r="AF256" i="16"/>
  <c r="X256" i="16"/>
  <c r="Y256" i="16" s="1"/>
  <c r="L256" i="16"/>
  <c r="M256" i="16" s="1"/>
  <c r="E256" i="16"/>
  <c r="AQ255" i="16"/>
  <c r="AJ255" i="16"/>
  <c r="AI255" i="16"/>
  <c r="AH255" i="16"/>
  <c r="AG255" i="16"/>
  <c r="AF255" i="16"/>
  <c r="X255" i="16"/>
  <c r="Y255" i="16" s="1"/>
  <c r="L255" i="16"/>
  <c r="M255" i="16" s="1"/>
  <c r="E255" i="16"/>
  <c r="AQ254" i="16"/>
  <c r="AJ254" i="16"/>
  <c r="AI254" i="16"/>
  <c r="AH254" i="16"/>
  <c r="AG254" i="16"/>
  <c r="AF254" i="16"/>
  <c r="X254" i="16"/>
  <c r="Y254" i="16" s="1"/>
  <c r="L254" i="16"/>
  <c r="M254" i="16" s="1"/>
  <c r="E254" i="16"/>
  <c r="AQ253" i="16"/>
  <c r="AJ253" i="16"/>
  <c r="AI253" i="16"/>
  <c r="AH253" i="16"/>
  <c r="AG253" i="16"/>
  <c r="AF253" i="16"/>
  <c r="X253" i="16"/>
  <c r="Y253" i="16" s="1"/>
  <c r="L253" i="16"/>
  <c r="M253" i="16" s="1"/>
  <c r="E253" i="16"/>
  <c r="X251" i="16"/>
  <c r="Y251" i="16" s="1"/>
  <c r="L251" i="16"/>
  <c r="M251" i="16" s="1"/>
  <c r="E251" i="16"/>
  <c r="X250" i="16"/>
  <c r="Y250" i="16" s="1"/>
  <c r="L250" i="16"/>
  <c r="M250" i="16" s="1"/>
  <c r="E250" i="16"/>
  <c r="X249" i="16"/>
  <c r="Y249" i="16" s="1"/>
  <c r="L249" i="16"/>
  <c r="M249" i="16" s="1"/>
  <c r="E249" i="16"/>
  <c r="X248" i="16"/>
  <c r="Y248" i="16" s="1"/>
  <c r="L248" i="16"/>
  <c r="M248" i="16" s="1"/>
  <c r="E248" i="16"/>
  <c r="X247" i="16"/>
  <c r="Y247" i="16" s="1"/>
  <c r="L247" i="16"/>
  <c r="M247" i="16" s="1"/>
  <c r="E247" i="16"/>
  <c r="X246" i="16"/>
  <c r="Y246" i="16" s="1"/>
  <c r="L246" i="16"/>
  <c r="M246" i="16" s="1"/>
  <c r="E246" i="16"/>
  <c r="X245" i="16"/>
  <c r="Y245" i="16" s="1"/>
  <c r="L245" i="16"/>
  <c r="M245" i="16" s="1"/>
  <c r="E245" i="16"/>
  <c r="X244" i="16"/>
  <c r="Y244" i="16" s="1"/>
  <c r="L244" i="16"/>
  <c r="M244" i="16" s="1"/>
  <c r="E244" i="16"/>
  <c r="X243" i="16"/>
  <c r="Y243" i="16" s="1"/>
  <c r="L243" i="16"/>
  <c r="M243" i="16" s="1"/>
  <c r="E243" i="16"/>
  <c r="X242" i="16"/>
  <c r="Y242" i="16" s="1"/>
  <c r="L242" i="16"/>
  <c r="M242" i="16" s="1"/>
  <c r="E242" i="16"/>
  <c r="X241" i="16"/>
  <c r="Y241" i="16" s="1"/>
  <c r="L241" i="16"/>
  <c r="M241" i="16" s="1"/>
  <c r="E241" i="16"/>
  <c r="X240" i="16"/>
  <c r="Y240" i="16" s="1"/>
  <c r="L240" i="16"/>
  <c r="M240" i="16" s="1"/>
  <c r="E240" i="16"/>
  <c r="X239" i="16"/>
  <c r="Y239" i="16" s="1"/>
  <c r="L239" i="16"/>
  <c r="M239" i="16" s="1"/>
  <c r="E239" i="16"/>
  <c r="X238" i="16"/>
  <c r="Y238" i="16" s="1"/>
  <c r="L238" i="16"/>
  <c r="M238" i="16" s="1"/>
  <c r="E238" i="16"/>
  <c r="X237" i="16"/>
  <c r="Y237" i="16" s="1"/>
  <c r="L237" i="16"/>
  <c r="M237" i="16" s="1"/>
  <c r="E237" i="16"/>
  <c r="X236" i="16"/>
  <c r="Y236" i="16" s="1"/>
  <c r="L236" i="16"/>
  <c r="M236" i="16" s="1"/>
  <c r="E236" i="16"/>
  <c r="X235" i="16"/>
  <c r="Y235" i="16" s="1"/>
  <c r="L235" i="16"/>
  <c r="M235" i="16" s="1"/>
  <c r="E235" i="16"/>
  <c r="X234" i="16"/>
  <c r="Y234" i="16" s="1"/>
  <c r="L234" i="16"/>
  <c r="M234" i="16" s="1"/>
  <c r="E234" i="16"/>
  <c r="X233" i="16"/>
  <c r="Y233" i="16" s="1"/>
  <c r="L233" i="16"/>
  <c r="M233" i="16" s="1"/>
  <c r="E233" i="16"/>
  <c r="X232" i="16"/>
  <c r="Y232" i="16" s="1"/>
  <c r="L232" i="16"/>
  <c r="M232" i="16" s="1"/>
  <c r="E232" i="16"/>
  <c r="X231" i="16"/>
  <c r="Y231" i="16" s="1"/>
  <c r="L231" i="16"/>
  <c r="M231" i="16" s="1"/>
  <c r="E231" i="16"/>
  <c r="X230" i="16"/>
  <c r="Y230" i="16" s="1"/>
  <c r="L230" i="16"/>
  <c r="M230" i="16" s="1"/>
  <c r="E230" i="16"/>
  <c r="X229" i="16"/>
  <c r="Y229" i="16" s="1"/>
  <c r="L229" i="16"/>
  <c r="M229" i="16" s="1"/>
  <c r="E229" i="16"/>
  <c r="L228" i="16"/>
  <c r="M228" i="16" s="1"/>
  <c r="E228" i="16"/>
  <c r="H226" i="16"/>
  <c r="X224" i="16"/>
  <c r="Y224" i="16" s="1"/>
  <c r="L224" i="16"/>
  <c r="M224" i="16" s="1"/>
  <c r="E224" i="16"/>
  <c r="X223" i="16"/>
  <c r="Y223" i="16" s="1"/>
  <c r="L223" i="16"/>
  <c r="M223" i="16" s="1"/>
  <c r="E223" i="16"/>
  <c r="X222" i="16"/>
  <c r="Y222" i="16" s="1"/>
  <c r="L222" i="16"/>
  <c r="M222" i="16" s="1"/>
  <c r="E222" i="16"/>
  <c r="X221" i="16"/>
  <c r="Y221" i="16" s="1"/>
  <c r="L221" i="16"/>
  <c r="M221" i="16" s="1"/>
  <c r="E221" i="16"/>
  <c r="X220" i="16"/>
  <c r="L220" i="16"/>
  <c r="M220" i="16" s="1"/>
  <c r="E220" i="16"/>
  <c r="L219" i="16"/>
  <c r="M219" i="16" s="1"/>
  <c r="X219" i="16" s="1"/>
  <c r="Y219" i="16" s="1"/>
  <c r="E219" i="16"/>
  <c r="H214" i="16"/>
  <c r="AO213" i="16"/>
  <c r="AN213" i="16"/>
  <c r="AM213" i="16"/>
  <c r="AL213" i="16"/>
  <c r="AK213" i="16"/>
  <c r="X213" i="16"/>
  <c r="Y213" i="16" s="1"/>
  <c r="L213" i="16"/>
  <c r="M213" i="16" s="1"/>
  <c r="E213" i="16"/>
  <c r="AO212" i="16"/>
  <c r="AN212" i="16"/>
  <c r="AM212" i="16"/>
  <c r="AL212" i="16"/>
  <c r="AK212" i="16"/>
  <c r="X212" i="16"/>
  <c r="Y212" i="16" s="1"/>
  <c r="L212" i="16"/>
  <c r="M212" i="16" s="1"/>
  <c r="E212" i="16"/>
  <c r="AO211" i="16"/>
  <c r="AN211" i="16"/>
  <c r="AM211" i="16"/>
  <c r="AL211" i="16"/>
  <c r="AK211" i="16"/>
  <c r="L211" i="16"/>
  <c r="M211" i="16" s="1"/>
  <c r="X211" i="16" s="1"/>
  <c r="Y211" i="16" s="1"/>
  <c r="E211" i="16"/>
  <c r="AO210" i="16"/>
  <c r="AN210" i="16"/>
  <c r="AM210" i="16"/>
  <c r="AL210" i="16"/>
  <c r="AK210" i="16"/>
  <c r="X210" i="16"/>
  <c r="Y210" i="16" s="1"/>
  <c r="L210" i="16"/>
  <c r="M210" i="16" s="1"/>
  <c r="E210" i="16"/>
  <c r="AO209" i="16"/>
  <c r="AN209" i="16"/>
  <c r="AM209" i="16"/>
  <c r="AL209" i="16"/>
  <c r="AK209" i="16"/>
  <c r="L209" i="16"/>
  <c r="M209" i="16" s="1"/>
  <c r="X209" i="16" s="1"/>
  <c r="Y209" i="16" s="1"/>
  <c r="E209" i="16"/>
  <c r="AO208" i="16"/>
  <c r="AN208" i="16"/>
  <c r="AM208" i="16"/>
  <c r="AL208" i="16"/>
  <c r="AK208" i="16"/>
  <c r="X208" i="16"/>
  <c r="Y208" i="16" s="1"/>
  <c r="L208" i="16"/>
  <c r="M208" i="16" s="1"/>
  <c r="E208" i="16"/>
  <c r="AO207" i="16"/>
  <c r="AN207" i="16"/>
  <c r="AM207" i="16"/>
  <c r="AL207" i="16"/>
  <c r="AK207" i="16"/>
  <c r="X207" i="16"/>
  <c r="Y207" i="16" s="1"/>
  <c r="L207" i="16"/>
  <c r="M207" i="16" s="1"/>
  <c r="E207" i="16"/>
  <c r="AO206" i="16"/>
  <c r="AN206" i="16"/>
  <c r="AM206" i="16"/>
  <c r="AL206" i="16"/>
  <c r="AK206" i="16"/>
  <c r="X206" i="16"/>
  <c r="Y206" i="16" s="1"/>
  <c r="L206" i="16"/>
  <c r="M206" i="16" s="1"/>
  <c r="E206" i="16"/>
  <c r="AO205" i="16"/>
  <c r="AN205" i="16"/>
  <c r="AM205" i="16"/>
  <c r="AL205" i="16"/>
  <c r="AK205" i="16"/>
  <c r="X205" i="16"/>
  <c r="Y205" i="16" s="1"/>
  <c r="L205" i="16"/>
  <c r="M205" i="16" s="1"/>
  <c r="E205" i="16"/>
  <c r="AO204" i="16"/>
  <c r="AN204" i="16"/>
  <c r="AM204" i="16"/>
  <c r="AL204" i="16"/>
  <c r="AK204" i="16"/>
  <c r="L204" i="16"/>
  <c r="M204" i="16" s="1"/>
  <c r="X204" i="16" s="1"/>
  <c r="Y204" i="16" s="1"/>
  <c r="E204" i="16"/>
  <c r="AO203" i="16"/>
  <c r="AN203" i="16"/>
  <c r="AM203" i="16"/>
  <c r="AL203" i="16"/>
  <c r="AK203" i="16"/>
  <c r="X203" i="16"/>
  <c r="Y203" i="16" s="1"/>
  <c r="L203" i="16"/>
  <c r="M203" i="16" s="1"/>
  <c r="E203" i="16"/>
  <c r="AO202" i="16"/>
  <c r="AN202" i="16"/>
  <c r="AM202" i="16"/>
  <c r="AL202" i="16"/>
  <c r="AK202" i="16"/>
  <c r="X202" i="16"/>
  <c r="Y202" i="16" s="1"/>
  <c r="L202" i="16"/>
  <c r="M202" i="16" s="1"/>
  <c r="E202" i="16"/>
  <c r="AO201" i="16"/>
  <c r="AN201" i="16"/>
  <c r="AM201" i="16"/>
  <c r="AL201" i="16"/>
  <c r="AK201" i="16"/>
  <c r="X201" i="16"/>
  <c r="Y201" i="16" s="1"/>
  <c r="L201" i="16"/>
  <c r="M201" i="16" s="1"/>
  <c r="E201" i="16"/>
  <c r="AO200" i="16"/>
  <c r="AN200" i="16"/>
  <c r="AM200" i="16"/>
  <c r="AL200" i="16"/>
  <c r="AK200" i="16"/>
  <c r="X200" i="16"/>
  <c r="Y200" i="16" s="1"/>
  <c r="L200" i="16"/>
  <c r="M200" i="16" s="1"/>
  <c r="E200" i="16"/>
  <c r="AO199" i="16"/>
  <c r="AN199" i="16"/>
  <c r="AM199" i="16"/>
  <c r="AL199" i="16"/>
  <c r="AK199" i="16"/>
  <c r="X199" i="16"/>
  <c r="Y199" i="16" s="1"/>
  <c r="L199" i="16"/>
  <c r="M199" i="16" s="1"/>
  <c r="E199" i="16"/>
  <c r="AO198" i="16"/>
  <c r="AN198" i="16"/>
  <c r="AM198" i="16"/>
  <c r="AL198" i="16"/>
  <c r="AK198" i="16"/>
  <c r="X198" i="16"/>
  <c r="Y198" i="16" s="1"/>
  <c r="L198" i="16"/>
  <c r="M198" i="16" s="1"/>
  <c r="E198" i="16"/>
  <c r="AO197" i="16"/>
  <c r="AN197" i="16"/>
  <c r="AM197" i="16"/>
  <c r="AL197" i="16"/>
  <c r="AK197" i="16"/>
  <c r="X197" i="16"/>
  <c r="Y197" i="16" s="1"/>
  <c r="L197" i="16"/>
  <c r="M197" i="16" s="1"/>
  <c r="E197" i="16"/>
  <c r="AO196" i="16"/>
  <c r="AN196" i="16"/>
  <c r="AM196" i="16"/>
  <c r="AL196" i="16"/>
  <c r="AK196" i="16"/>
  <c r="X196" i="16"/>
  <c r="Y196" i="16" s="1"/>
  <c r="L196" i="16"/>
  <c r="M196" i="16" s="1"/>
  <c r="E196" i="16"/>
  <c r="AO195" i="16"/>
  <c r="AN195" i="16"/>
  <c r="AM195" i="16"/>
  <c r="AL195" i="16"/>
  <c r="AK195" i="16"/>
  <c r="X195" i="16"/>
  <c r="Y195" i="16" s="1"/>
  <c r="L195" i="16"/>
  <c r="M195" i="16" s="1"/>
  <c r="E195" i="16"/>
  <c r="AO194" i="16"/>
  <c r="AN194" i="16"/>
  <c r="AM194" i="16"/>
  <c r="AL194" i="16"/>
  <c r="AK194" i="16"/>
  <c r="X194" i="16"/>
  <c r="Y194" i="16" s="1"/>
  <c r="L194" i="16"/>
  <c r="M194" i="16" s="1"/>
  <c r="E194" i="16"/>
  <c r="AO193" i="16"/>
  <c r="AN193" i="16"/>
  <c r="AM193" i="16"/>
  <c r="AL193" i="16"/>
  <c r="L193" i="16"/>
  <c r="M193" i="16" s="1"/>
  <c r="E193" i="16"/>
  <c r="U190" i="16"/>
  <c r="AQ189" i="16"/>
  <c r="AJ189" i="16"/>
  <c r="AI189" i="16"/>
  <c r="AH189" i="16"/>
  <c r="AG189" i="16"/>
  <c r="AF189" i="16"/>
  <c r="X189" i="16"/>
  <c r="Y189" i="16" s="1"/>
  <c r="L189" i="16"/>
  <c r="M189" i="16" s="1"/>
  <c r="E189" i="16"/>
  <c r="AQ188" i="16"/>
  <c r="AJ188" i="16"/>
  <c r="AI188" i="16"/>
  <c r="AH188" i="16"/>
  <c r="AG188" i="16"/>
  <c r="AF188" i="16"/>
  <c r="X188" i="16"/>
  <c r="Y188" i="16" s="1"/>
  <c r="L188" i="16"/>
  <c r="M188" i="16" s="1"/>
  <c r="E188" i="16"/>
  <c r="AQ187" i="16"/>
  <c r="AJ187" i="16"/>
  <c r="AI187" i="16"/>
  <c r="AH187" i="16"/>
  <c r="AG187" i="16"/>
  <c r="AF187" i="16"/>
  <c r="X187" i="16"/>
  <c r="Y187" i="16" s="1"/>
  <c r="L187" i="16"/>
  <c r="M187" i="16" s="1"/>
  <c r="E187" i="16"/>
  <c r="AQ186" i="16"/>
  <c r="AJ186" i="16"/>
  <c r="AI186" i="16"/>
  <c r="AH186" i="16"/>
  <c r="AG186" i="16"/>
  <c r="AF186" i="16"/>
  <c r="X186" i="16"/>
  <c r="Y186" i="16" s="1"/>
  <c r="L186" i="16"/>
  <c r="M186" i="16" s="1"/>
  <c r="E186" i="16"/>
  <c r="AQ185" i="16"/>
  <c r="AJ185" i="16"/>
  <c r="AI185" i="16"/>
  <c r="AH185" i="16"/>
  <c r="AG185" i="16"/>
  <c r="AF185" i="16"/>
  <c r="X185" i="16"/>
  <c r="Y185" i="16" s="1"/>
  <c r="L185" i="16"/>
  <c r="M185" i="16" s="1"/>
  <c r="E185" i="16"/>
  <c r="AQ184" i="16"/>
  <c r="AJ184" i="16"/>
  <c r="AI184" i="16"/>
  <c r="AH184" i="16"/>
  <c r="AG184" i="16"/>
  <c r="AF184" i="16"/>
  <c r="X184" i="16"/>
  <c r="Y184" i="16" s="1"/>
  <c r="L184" i="16"/>
  <c r="M184" i="16" s="1"/>
  <c r="E184" i="16"/>
  <c r="AQ183" i="16"/>
  <c r="AJ183" i="16"/>
  <c r="AI183" i="16"/>
  <c r="AH183" i="16"/>
  <c r="AG183" i="16"/>
  <c r="AF183" i="16"/>
  <c r="X183" i="16"/>
  <c r="Y183" i="16" s="1"/>
  <c r="L183" i="16"/>
  <c r="M183" i="16" s="1"/>
  <c r="E183" i="16"/>
  <c r="AQ182" i="16"/>
  <c r="AJ182" i="16"/>
  <c r="AI182" i="16"/>
  <c r="AH182" i="16"/>
  <c r="AG182" i="16"/>
  <c r="AF182" i="16"/>
  <c r="X182" i="16"/>
  <c r="Y182" i="16" s="1"/>
  <c r="L182" i="16"/>
  <c r="M182" i="16" s="1"/>
  <c r="E182" i="16"/>
  <c r="AQ181" i="16"/>
  <c r="AJ181" i="16"/>
  <c r="AI181" i="16"/>
  <c r="AH181" i="16"/>
  <c r="AG181" i="16"/>
  <c r="AF181" i="16"/>
  <c r="X181" i="16"/>
  <c r="Y181" i="16" s="1"/>
  <c r="L181" i="16"/>
  <c r="M181" i="16" s="1"/>
  <c r="E181" i="16"/>
  <c r="AQ180" i="16"/>
  <c r="AJ180" i="16"/>
  <c r="AI180" i="16"/>
  <c r="AH180" i="16"/>
  <c r="AG180" i="16"/>
  <c r="AF180" i="16"/>
  <c r="X180" i="16"/>
  <c r="Y180" i="16" s="1"/>
  <c r="L180" i="16"/>
  <c r="M180" i="16" s="1"/>
  <c r="E180" i="16"/>
  <c r="AQ179" i="16"/>
  <c r="AJ179" i="16"/>
  <c r="AI179" i="16"/>
  <c r="AH179" i="16"/>
  <c r="AG179" i="16"/>
  <c r="AF179" i="16"/>
  <c r="X179" i="16"/>
  <c r="Y179" i="16" s="1"/>
  <c r="L179" i="16"/>
  <c r="M179" i="16" s="1"/>
  <c r="E179" i="16"/>
  <c r="AQ178" i="16"/>
  <c r="AJ178" i="16"/>
  <c r="AI178" i="16"/>
  <c r="AH178" i="16"/>
  <c r="AG178" i="16"/>
  <c r="AF178" i="16"/>
  <c r="X178" i="16"/>
  <c r="Y178" i="16" s="1"/>
  <c r="L178" i="16"/>
  <c r="M178" i="16" s="1"/>
  <c r="E178" i="16"/>
  <c r="AQ177" i="16"/>
  <c r="AJ177" i="16"/>
  <c r="AI177" i="16"/>
  <c r="AH177" i="16"/>
  <c r="AG177" i="16"/>
  <c r="AF177" i="16"/>
  <c r="X177" i="16"/>
  <c r="Y177" i="16" s="1"/>
  <c r="L177" i="16"/>
  <c r="M177" i="16" s="1"/>
  <c r="E177" i="16"/>
  <c r="AQ176" i="16"/>
  <c r="AJ176" i="16"/>
  <c r="AI176" i="16"/>
  <c r="AH176" i="16"/>
  <c r="AG176" i="16"/>
  <c r="AF176" i="16"/>
  <c r="X176" i="16"/>
  <c r="Y176" i="16" s="1"/>
  <c r="L176" i="16"/>
  <c r="M176" i="16" s="1"/>
  <c r="E176" i="16"/>
  <c r="AQ175" i="16"/>
  <c r="AJ175" i="16"/>
  <c r="AI175" i="16"/>
  <c r="AH175" i="16"/>
  <c r="AG175" i="16"/>
  <c r="AF175" i="16"/>
  <c r="X175" i="16"/>
  <c r="Y175" i="16" s="1"/>
  <c r="L175" i="16"/>
  <c r="M175" i="16" s="1"/>
  <c r="E175" i="16"/>
  <c r="AQ174" i="16"/>
  <c r="AJ174" i="16"/>
  <c r="AI174" i="16"/>
  <c r="AH174" i="16"/>
  <c r="AG174" i="16"/>
  <c r="AF174" i="16"/>
  <c r="X174" i="16"/>
  <c r="Y174" i="16" s="1"/>
  <c r="L174" i="16"/>
  <c r="M174" i="16" s="1"/>
  <c r="E174" i="16"/>
  <c r="AQ173" i="16"/>
  <c r="AJ173" i="16"/>
  <c r="AI173" i="16"/>
  <c r="AH173" i="16"/>
  <c r="AG173" i="16"/>
  <c r="AF173" i="16"/>
  <c r="X173" i="16"/>
  <c r="Y173" i="16" s="1"/>
  <c r="L173" i="16"/>
  <c r="M173" i="16" s="1"/>
  <c r="E173" i="16"/>
  <c r="AQ172" i="16"/>
  <c r="AJ172" i="16"/>
  <c r="AI172" i="16"/>
  <c r="AH172" i="16"/>
  <c r="AG172" i="16"/>
  <c r="AF172" i="16"/>
  <c r="X172" i="16"/>
  <c r="Y172" i="16" s="1"/>
  <c r="L172" i="16"/>
  <c r="M172" i="16" s="1"/>
  <c r="E172" i="16"/>
  <c r="AQ171" i="16"/>
  <c r="AJ171" i="16"/>
  <c r="AI171" i="16"/>
  <c r="AH171" i="16"/>
  <c r="AG171" i="16"/>
  <c r="AF171" i="16"/>
  <c r="X171" i="16"/>
  <c r="Y171" i="16" s="1"/>
  <c r="L171" i="16"/>
  <c r="M171" i="16" s="1"/>
  <c r="E171" i="16"/>
  <c r="AQ170" i="16"/>
  <c r="AJ170" i="16"/>
  <c r="AI170" i="16"/>
  <c r="AH170" i="16"/>
  <c r="AG170" i="16"/>
  <c r="AF170" i="16"/>
  <c r="L170" i="16"/>
  <c r="M170" i="16" s="1"/>
  <c r="E170" i="16"/>
  <c r="H151" i="16"/>
  <c r="H154" i="16" s="1"/>
  <c r="AO150" i="16"/>
  <c r="AN150" i="16"/>
  <c r="AM150" i="16"/>
  <c r="AL150" i="16"/>
  <c r="AK150" i="16"/>
  <c r="X150" i="16"/>
  <c r="Y150" i="16" s="1"/>
  <c r="L150" i="16"/>
  <c r="M150" i="16" s="1"/>
  <c r="E150" i="16"/>
  <c r="AO149" i="16"/>
  <c r="AN149" i="16"/>
  <c r="AM149" i="16"/>
  <c r="AL149" i="16"/>
  <c r="AK149" i="16"/>
  <c r="X149" i="16"/>
  <c r="Y149" i="16" s="1"/>
  <c r="L149" i="16"/>
  <c r="M149" i="16" s="1"/>
  <c r="E149" i="16"/>
  <c r="AO148" i="16"/>
  <c r="AN148" i="16"/>
  <c r="AM148" i="16"/>
  <c r="AL148" i="16"/>
  <c r="AK148" i="16"/>
  <c r="X148" i="16"/>
  <c r="Y148" i="16" s="1"/>
  <c r="L148" i="16"/>
  <c r="M148" i="16" s="1"/>
  <c r="E148" i="16"/>
  <c r="AO147" i="16"/>
  <c r="AN147" i="16"/>
  <c r="AM147" i="16"/>
  <c r="AL147" i="16"/>
  <c r="AK147" i="16"/>
  <c r="L147" i="16"/>
  <c r="M147" i="16" s="1"/>
  <c r="X147" i="16" s="1"/>
  <c r="Y147" i="16" s="1"/>
  <c r="E147" i="16"/>
  <c r="AO146" i="16"/>
  <c r="AN146" i="16"/>
  <c r="AM146" i="16"/>
  <c r="AL146" i="16"/>
  <c r="AK146" i="16"/>
  <c r="X146" i="16"/>
  <c r="Y146" i="16" s="1"/>
  <c r="L146" i="16"/>
  <c r="M146" i="16" s="1"/>
  <c r="E146" i="16"/>
  <c r="AO145" i="16"/>
  <c r="AN145" i="16"/>
  <c r="AM145" i="16"/>
  <c r="AL145" i="16"/>
  <c r="AK145" i="16"/>
  <c r="X145" i="16"/>
  <c r="Y145" i="16" s="1"/>
  <c r="L145" i="16"/>
  <c r="M145" i="16" s="1"/>
  <c r="E145" i="16"/>
  <c r="AO144" i="16"/>
  <c r="AN144" i="16"/>
  <c r="AM144" i="16"/>
  <c r="AL144" i="16"/>
  <c r="AK144" i="16"/>
  <c r="X144" i="16"/>
  <c r="Y144" i="16" s="1"/>
  <c r="L144" i="16"/>
  <c r="M144" i="16" s="1"/>
  <c r="E144" i="16"/>
  <c r="AO143" i="16"/>
  <c r="AN143" i="16"/>
  <c r="AM143" i="16"/>
  <c r="AL143" i="16"/>
  <c r="AK143" i="16"/>
  <c r="X143" i="16"/>
  <c r="Y143" i="16" s="1"/>
  <c r="L143" i="16"/>
  <c r="M143" i="16" s="1"/>
  <c r="E143" i="16"/>
  <c r="AO142" i="16"/>
  <c r="AN142" i="16"/>
  <c r="AM142" i="16"/>
  <c r="AL142" i="16"/>
  <c r="AK142" i="16"/>
  <c r="X142" i="16"/>
  <c r="Y142" i="16" s="1"/>
  <c r="L142" i="16"/>
  <c r="M142" i="16" s="1"/>
  <c r="E142" i="16"/>
  <c r="AO141" i="16"/>
  <c r="AN141" i="16"/>
  <c r="AM141" i="16"/>
  <c r="AL141" i="16"/>
  <c r="AK141" i="16"/>
  <c r="X141" i="16"/>
  <c r="Y141" i="16" s="1"/>
  <c r="L141" i="16"/>
  <c r="M141" i="16" s="1"/>
  <c r="E141" i="16"/>
  <c r="AO140" i="16"/>
  <c r="AN140" i="16"/>
  <c r="AM140" i="16"/>
  <c r="AL140" i="16"/>
  <c r="AK140" i="16"/>
  <c r="L140" i="16"/>
  <c r="M140" i="16" s="1"/>
  <c r="X140" i="16" s="1"/>
  <c r="Y140" i="16" s="1"/>
  <c r="E140" i="16"/>
  <c r="AO139" i="16"/>
  <c r="AN139" i="16"/>
  <c r="AM139" i="16"/>
  <c r="AL139" i="16"/>
  <c r="AK139" i="16"/>
  <c r="X139" i="16"/>
  <c r="Y139" i="16" s="1"/>
  <c r="L139" i="16"/>
  <c r="M139" i="16" s="1"/>
  <c r="E139" i="16"/>
  <c r="AO138" i="16"/>
  <c r="AN138" i="16"/>
  <c r="AM138" i="16"/>
  <c r="AL138" i="16"/>
  <c r="AK138" i="16"/>
  <c r="X138" i="16"/>
  <c r="Y138" i="16" s="1"/>
  <c r="L138" i="16"/>
  <c r="M138" i="16" s="1"/>
  <c r="E138" i="16"/>
  <c r="AO137" i="16"/>
  <c r="AN137" i="16"/>
  <c r="AM137" i="16"/>
  <c r="AL137" i="16"/>
  <c r="AK137" i="16"/>
  <c r="X137" i="16"/>
  <c r="Y137" i="16" s="1"/>
  <c r="L137" i="16"/>
  <c r="M137" i="16" s="1"/>
  <c r="E137" i="16"/>
  <c r="AO136" i="16"/>
  <c r="AN136" i="16"/>
  <c r="AM136" i="16"/>
  <c r="AL136" i="16"/>
  <c r="AK136" i="16"/>
  <c r="X136" i="16"/>
  <c r="Y136" i="16" s="1"/>
  <c r="L136" i="16"/>
  <c r="M136" i="16" s="1"/>
  <c r="E136" i="16"/>
  <c r="AO135" i="16"/>
  <c r="AN135" i="16"/>
  <c r="AM135" i="16"/>
  <c r="AL135" i="16"/>
  <c r="AK135" i="16"/>
  <c r="X135" i="16"/>
  <c r="Y135" i="16" s="1"/>
  <c r="L135" i="16"/>
  <c r="M135" i="16" s="1"/>
  <c r="E135" i="16"/>
  <c r="AO134" i="16"/>
  <c r="AN134" i="16"/>
  <c r="AM134" i="16"/>
  <c r="AL134" i="16"/>
  <c r="AK134" i="16"/>
  <c r="X134" i="16"/>
  <c r="Y134" i="16" s="1"/>
  <c r="L134" i="16"/>
  <c r="M134" i="16" s="1"/>
  <c r="E134" i="16"/>
  <c r="AO133" i="16"/>
  <c r="AN133" i="16"/>
  <c r="AM133" i="16"/>
  <c r="AL133" i="16"/>
  <c r="AK133" i="16"/>
  <c r="X133" i="16"/>
  <c r="Y133" i="16" s="1"/>
  <c r="L133" i="16"/>
  <c r="M133" i="16" s="1"/>
  <c r="E133" i="16"/>
  <c r="AO132" i="16"/>
  <c r="AN132" i="16"/>
  <c r="AM132" i="16"/>
  <c r="AL132" i="16"/>
  <c r="AK132" i="16"/>
  <c r="X132" i="16"/>
  <c r="Y132" i="16" s="1"/>
  <c r="L132" i="16"/>
  <c r="M132" i="16" s="1"/>
  <c r="E132" i="16"/>
  <c r="AO131" i="16"/>
  <c r="AN131" i="16"/>
  <c r="AM131" i="16"/>
  <c r="AL131" i="16"/>
  <c r="AK131" i="16"/>
  <c r="X131" i="16"/>
  <c r="Y131" i="16" s="1"/>
  <c r="L131" i="16"/>
  <c r="M131" i="16" s="1"/>
  <c r="E131" i="16"/>
  <c r="AO130" i="16"/>
  <c r="AN130" i="16"/>
  <c r="AM130" i="16"/>
  <c r="AL130" i="16"/>
  <c r="AK130" i="16"/>
  <c r="X130" i="16"/>
  <c r="Y130" i="16" s="1"/>
  <c r="L130" i="16"/>
  <c r="M130" i="16" s="1"/>
  <c r="E130" i="16"/>
  <c r="AO129" i="16"/>
  <c r="AN129" i="16"/>
  <c r="AM129" i="16"/>
  <c r="AL129" i="16"/>
  <c r="AK129" i="16"/>
  <c r="X129" i="16"/>
  <c r="Y129" i="16" s="1"/>
  <c r="L129" i="16"/>
  <c r="M129" i="16" s="1"/>
  <c r="E129" i="16"/>
  <c r="AO128" i="16"/>
  <c r="AN128" i="16"/>
  <c r="AM128" i="16"/>
  <c r="AL128" i="16"/>
  <c r="AK128" i="16"/>
  <c r="X128" i="16"/>
  <c r="L128" i="16"/>
  <c r="M128" i="16" s="1"/>
  <c r="E128" i="16"/>
  <c r="AO127" i="16"/>
  <c r="AN127" i="16"/>
  <c r="AM127" i="16"/>
  <c r="AL127" i="16"/>
  <c r="AK127" i="16"/>
  <c r="X127" i="16"/>
  <c r="Y127" i="16" s="1"/>
  <c r="L127" i="16"/>
  <c r="M127" i="16" s="1"/>
  <c r="E127" i="16"/>
  <c r="AO126" i="16"/>
  <c r="AN126" i="16"/>
  <c r="AM126" i="16"/>
  <c r="AL126" i="16"/>
  <c r="AK126" i="16"/>
  <c r="X126" i="16"/>
  <c r="Y126" i="16" s="1"/>
  <c r="L126" i="16"/>
  <c r="M126" i="16" s="1"/>
  <c r="E126" i="16"/>
  <c r="AO125" i="16"/>
  <c r="AN125" i="16"/>
  <c r="AM125" i="16"/>
  <c r="AL125" i="16"/>
  <c r="AK125" i="16"/>
  <c r="X125" i="16"/>
  <c r="Y125" i="16" s="1"/>
  <c r="L125" i="16"/>
  <c r="M125" i="16" s="1"/>
  <c r="E125" i="16"/>
  <c r="AO124" i="16"/>
  <c r="AN124" i="16"/>
  <c r="AM124" i="16"/>
  <c r="AL124" i="16"/>
  <c r="AK124" i="16"/>
  <c r="X124" i="16"/>
  <c r="Y124" i="16" s="1"/>
  <c r="L124" i="16"/>
  <c r="M124" i="16" s="1"/>
  <c r="E124" i="16"/>
  <c r="AO123" i="16"/>
  <c r="AN123" i="16"/>
  <c r="AM123" i="16"/>
  <c r="AL123" i="16"/>
  <c r="AK123" i="16"/>
  <c r="X123" i="16"/>
  <c r="Y123" i="16" s="1"/>
  <c r="L123" i="16"/>
  <c r="M123" i="16" s="1"/>
  <c r="E123" i="16"/>
  <c r="AO122" i="16"/>
  <c r="AN122" i="16"/>
  <c r="AM122" i="16"/>
  <c r="AL122" i="16"/>
  <c r="AK122" i="16"/>
  <c r="X122" i="16"/>
  <c r="Y122" i="16" s="1"/>
  <c r="L122" i="16"/>
  <c r="M122" i="16" s="1"/>
  <c r="E122" i="16"/>
  <c r="AO121" i="16"/>
  <c r="AN121" i="16"/>
  <c r="AM121" i="16"/>
  <c r="AL121" i="16"/>
  <c r="AK121" i="16"/>
  <c r="X121" i="16"/>
  <c r="Y121" i="16" s="1"/>
  <c r="L121" i="16"/>
  <c r="M121" i="16" s="1"/>
  <c r="E121" i="16"/>
  <c r="AO120" i="16"/>
  <c r="AN120" i="16"/>
  <c r="AM120" i="16"/>
  <c r="AL120" i="16"/>
  <c r="AK120" i="16"/>
  <c r="X120" i="16"/>
  <c r="Y120" i="16" s="1"/>
  <c r="L120" i="16"/>
  <c r="M120" i="16" s="1"/>
  <c r="E120" i="16"/>
  <c r="AO119" i="16"/>
  <c r="AN119" i="16"/>
  <c r="AM119" i="16"/>
  <c r="AL119" i="16"/>
  <c r="AK119" i="16"/>
  <c r="X119" i="16"/>
  <c r="Y119" i="16" s="1"/>
  <c r="L119" i="16"/>
  <c r="M119" i="16" s="1"/>
  <c r="E119" i="16"/>
  <c r="AO118" i="16"/>
  <c r="AN118" i="16"/>
  <c r="AM118" i="16"/>
  <c r="AL118" i="16"/>
  <c r="AK118" i="16"/>
  <c r="X118" i="16"/>
  <c r="Y118" i="16" s="1"/>
  <c r="L118" i="16"/>
  <c r="M118" i="16" s="1"/>
  <c r="E118" i="16"/>
  <c r="AO117" i="16"/>
  <c r="AN117" i="16"/>
  <c r="AM117" i="16"/>
  <c r="AL117" i="16"/>
  <c r="AK117" i="16"/>
  <c r="X117" i="16"/>
  <c r="Y117" i="16" s="1"/>
  <c r="L117" i="16"/>
  <c r="M117" i="16" s="1"/>
  <c r="E117" i="16"/>
  <c r="AO116" i="16"/>
  <c r="AN116" i="16"/>
  <c r="AM116" i="16"/>
  <c r="AL116" i="16"/>
  <c r="AK116" i="16"/>
  <c r="X116" i="16"/>
  <c r="Y116" i="16" s="1"/>
  <c r="L116" i="16"/>
  <c r="M116" i="16" s="1"/>
  <c r="E116" i="16"/>
  <c r="AO115" i="16"/>
  <c r="AN115" i="16"/>
  <c r="AM115" i="16"/>
  <c r="AL115" i="16"/>
  <c r="AK115" i="16"/>
  <c r="X115" i="16"/>
  <c r="Y115" i="16" s="1"/>
  <c r="L115" i="16"/>
  <c r="M115" i="16" s="1"/>
  <c r="E115" i="16"/>
  <c r="AO114" i="16"/>
  <c r="AN114" i="16"/>
  <c r="AM114" i="16"/>
  <c r="AL114" i="16"/>
  <c r="AK114" i="16"/>
  <c r="X114" i="16"/>
  <c r="Y114" i="16" s="1"/>
  <c r="L114" i="16"/>
  <c r="M114" i="16" s="1"/>
  <c r="E114" i="16"/>
  <c r="AO113" i="16"/>
  <c r="AN113" i="16"/>
  <c r="AM113" i="16"/>
  <c r="AL113" i="16"/>
  <c r="AK113" i="16"/>
  <c r="X113" i="16"/>
  <c r="Y113" i="16" s="1"/>
  <c r="L113" i="16"/>
  <c r="M113" i="16" s="1"/>
  <c r="E113" i="16"/>
  <c r="AO112" i="16"/>
  <c r="AN112" i="16"/>
  <c r="AM112" i="16"/>
  <c r="AL112" i="16"/>
  <c r="L112" i="16"/>
  <c r="M112" i="16" s="1"/>
  <c r="X112" i="16" s="1"/>
  <c r="E112" i="16"/>
  <c r="H109" i="16"/>
  <c r="W109" i="16" s="1"/>
  <c r="AJ108" i="16"/>
  <c r="AI108" i="16"/>
  <c r="AH108" i="16"/>
  <c r="AG108" i="16"/>
  <c r="AF108" i="16"/>
  <c r="X108" i="16"/>
  <c r="Y108" i="16" s="1"/>
  <c r="L108" i="16"/>
  <c r="M108" i="16" s="1"/>
  <c r="E108" i="16"/>
  <c r="AQ107" i="16"/>
  <c r="AJ107" i="16"/>
  <c r="AI107" i="16"/>
  <c r="AH107" i="16"/>
  <c r="AG107" i="16"/>
  <c r="AF107" i="16"/>
  <c r="X107" i="16"/>
  <c r="Y107" i="16" s="1"/>
  <c r="L107" i="16"/>
  <c r="M107" i="16" s="1"/>
  <c r="E107" i="16"/>
  <c r="AQ106" i="16"/>
  <c r="AJ106" i="16"/>
  <c r="AI106" i="16"/>
  <c r="AH106" i="16"/>
  <c r="AG106" i="16"/>
  <c r="AF106" i="16"/>
  <c r="X106" i="16"/>
  <c r="Y106" i="16" s="1"/>
  <c r="L106" i="16"/>
  <c r="M106" i="16" s="1"/>
  <c r="E106" i="16"/>
  <c r="AQ105" i="16"/>
  <c r="AJ105" i="16"/>
  <c r="AI105" i="16"/>
  <c r="AH105" i="16"/>
  <c r="AG105" i="16"/>
  <c r="AF105" i="16"/>
  <c r="X105" i="16"/>
  <c r="Y105" i="16" s="1"/>
  <c r="L105" i="16"/>
  <c r="M105" i="16" s="1"/>
  <c r="E105" i="16"/>
  <c r="AQ104" i="16"/>
  <c r="AJ104" i="16"/>
  <c r="AI104" i="16"/>
  <c r="AH104" i="16"/>
  <c r="AG104" i="16"/>
  <c r="AF104" i="16"/>
  <c r="X104" i="16"/>
  <c r="Y104" i="16" s="1"/>
  <c r="L104" i="16"/>
  <c r="M104" i="16" s="1"/>
  <c r="E104" i="16"/>
  <c r="AQ103" i="16"/>
  <c r="AJ103" i="16"/>
  <c r="AI103" i="16"/>
  <c r="AH103" i="16"/>
  <c r="AG103" i="16"/>
  <c r="AF103" i="16"/>
  <c r="X103" i="16"/>
  <c r="Y103" i="16" s="1"/>
  <c r="L103" i="16"/>
  <c r="M103" i="16" s="1"/>
  <c r="E103" i="16"/>
  <c r="AQ102" i="16"/>
  <c r="AJ102" i="16"/>
  <c r="AI102" i="16"/>
  <c r="AH102" i="16"/>
  <c r="AG102" i="16"/>
  <c r="AF102" i="16"/>
  <c r="X102" i="16"/>
  <c r="Y102" i="16" s="1"/>
  <c r="L102" i="16"/>
  <c r="M102" i="16" s="1"/>
  <c r="E102" i="16"/>
  <c r="AQ101" i="16"/>
  <c r="AJ101" i="16"/>
  <c r="AI101" i="16"/>
  <c r="AH101" i="16"/>
  <c r="AG101" i="16"/>
  <c r="AF101" i="16"/>
  <c r="X101" i="16"/>
  <c r="Y101" i="16" s="1"/>
  <c r="L101" i="16"/>
  <c r="M101" i="16" s="1"/>
  <c r="E101" i="16"/>
  <c r="AQ100" i="16"/>
  <c r="AJ100" i="16"/>
  <c r="AI100" i="16"/>
  <c r="AH100" i="16"/>
  <c r="AG100" i="16"/>
  <c r="AF100" i="16"/>
  <c r="X100" i="16"/>
  <c r="Y100" i="16" s="1"/>
  <c r="L100" i="16"/>
  <c r="M100" i="16" s="1"/>
  <c r="E100" i="16"/>
  <c r="AQ99" i="16"/>
  <c r="AJ99" i="16"/>
  <c r="AI99" i="16"/>
  <c r="AH99" i="16"/>
  <c r="AG99" i="16"/>
  <c r="AF99" i="16"/>
  <c r="X99" i="16"/>
  <c r="Y99" i="16" s="1"/>
  <c r="L99" i="16"/>
  <c r="M99" i="16" s="1"/>
  <c r="E99" i="16"/>
  <c r="AQ98" i="16"/>
  <c r="AJ98" i="16"/>
  <c r="AI98" i="16"/>
  <c r="AH98" i="16"/>
  <c r="AG98" i="16"/>
  <c r="AF98" i="16"/>
  <c r="X98" i="16"/>
  <c r="Y98" i="16" s="1"/>
  <c r="L98" i="16"/>
  <c r="M98" i="16" s="1"/>
  <c r="E98" i="16"/>
  <c r="AQ97" i="16"/>
  <c r="AJ97" i="16"/>
  <c r="AI97" i="16"/>
  <c r="AH97" i="16"/>
  <c r="AG97" i="16"/>
  <c r="AF97" i="16"/>
  <c r="X97" i="16"/>
  <c r="Y97" i="16" s="1"/>
  <c r="L97" i="16"/>
  <c r="M97" i="16" s="1"/>
  <c r="E97" i="16"/>
  <c r="AQ96" i="16"/>
  <c r="AJ96" i="16"/>
  <c r="AI96" i="16"/>
  <c r="AH96" i="16"/>
  <c r="AG96" i="16"/>
  <c r="AF96" i="16"/>
  <c r="X96" i="16"/>
  <c r="Y96" i="16" s="1"/>
  <c r="L96" i="16"/>
  <c r="M96" i="16" s="1"/>
  <c r="E96" i="16"/>
  <c r="AQ95" i="16"/>
  <c r="AJ95" i="16"/>
  <c r="AI95" i="16"/>
  <c r="AH95" i="16"/>
  <c r="AG95" i="16"/>
  <c r="AF95" i="16"/>
  <c r="X95" i="16"/>
  <c r="Y95" i="16" s="1"/>
  <c r="L95" i="16"/>
  <c r="M95" i="16" s="1"/>
  <c r="E95" i="16"/>
  <c r="AQ94" i="16"/>
  <c r="AJ94" i="16"/>
  <c r="AI94" i="16"/>
  <c r="AH94" i="16"/>
  <c r="AG94" i="16"/>
  <c r="AF94" i="16"/>
  <c r="X94" i="16"/>
  <c r="Y94" i="16" s="1"/>
  <c r="L94" i="16"/>
  <c r="M94" i="16" s="1"/>
  <c r="E94" i="16"/>
  <c r="AQ93" i="16"/>
  <c r="AJ93" i="16"/>
  <c r="AI93" i="16"/>
  <c r="AH93" i="16"/>
  <c r="AG93" i="16"/>
  <c r="AF93" i="16"/>
  <c r="X93" i="16"/>
  <c r="Y93" i="16" s="1"/>
  <c r="L93" i="16"/>
  <c r="M93" i="16" s="1"/>
  <c r="E93" i="16"/>
  <c r="AQ92" i="16"/>
  <c r="AJ92" i="16"/>
  <c r="AI92" i="16"/>
  <c r="AH92" i="16"/>
  <c r="AG92" i="16"/>
  <c r="AF92" i="16"/>
  <c r="X92" i="16"/>
  <c r="Y92" i="16" s="1"/>
  <c r="L92" i="16"/>
  <c r="M92" i="16" s="1"/>
  <c r="E92" i="16"/>
  <c r="AQ91" i="16"/>
  <c r="AJ91" i="16"/>
  <c r="AI91" i="16"/>
  <c r="AH91" i="16"/>
  <c r="AG91" i="16"/>
  <c r="AF91" i="16"/>
  <c r="X91" i="16"/>
  <c r="Y91" i="16" s="1"/>
  <c r="L91" i="16"/>
  <c r="M91" i="16" s="1"/>
  <c r="E91" i="16"/>
  <c r="AQ90" i="16"/>
  <c r="AJ90" i="16"/>
  <c r="AI90" i="16"/>
  <c r="AH90" i="16"/>
  <c r="AG90" i="16"/>
  <c r="AF90" i="16"/>
  <c r="X90" i="16"/>
  <c r="Y90" i="16" s="1"/>
  <c r="L90" i="16"/>
  <c r="M90" i="16" s="1"/>
  <c r="E90" i="16"/>
  <c r="AQ89" i="16"/>
  <c r="AJ89" i="16"/>
  <c r="AI89" i="16"/>
  <c r="AH89" i="16"/>
  <c r="AG89" i="16"/>
  <c r="AF89" i="16"/>
  <c r="X89" i="16"/>
  <c r="Y89" i="16" s="1"/>
  <c r="L89" i="16"/>
  <c r="M89" i="16" s="1"/>
  <c r="E89" i="16"/>
  <c r="AQ88" i="16"/>
  <c r="AJ88" i="16"/>
  <c r="AI88" i="16"/>
  <c r="AH88" i="16"/>
  <c r="AG88" i="16"/>
  <c r="AF88" i="16"/>
  <c r="X88" i="16"/>
  <c r="Y88" i="16" s="1"/>
  <c r="L88" i="16"/>
  <c r="M88" i="16" s="1"/>
  <c r="E88" i="16"/>
  <c r="AQ87" i="16"/>
  <c r="AJ87" i="16"/>
  <c r="AI87" i="16"/>
  <c r="AH87" i="16"/>
  <c r="AG87" i="16"/>
  <c r="AF87" i="16"/>
  <c r="X87" i="16"/>
  <c r="Y87" i="16" s="1"/>
  <c r="L87" i="16"/>
  <c r="M87" i="16" s="1"/>
  <c r="E87" i="16"/>
  <c r="AQ86" i="16"/>
  <c r="AJ86" i="16"/>
  <c r="AI86" i="16"/>
  <c r="AH86" i="16"/>
  <c r="AG86" i="16"/>
  <c r="AF86" i="16"/>
  <c r="X86" i="16"/>
  <c r="Y86" i="16" s="1"/>
  <c r="L86" i="16"/>
  <c r="M86" i="16" s="1"/>
  <c r="E86" i="16"/>
  <c r="AQ85" i="16"/>
  <c r="AJ85" i="16"/>
  <c r="AI85" i="16"/>
  <c r="AH85" i="16"/>
  <c r="AG85" i="16"/>
  <c r="AF85" i="16"/>
  <c r="X85" i="16"/>
  <c r="Y85" i="16" s="1"/>
  <c r="L85" i="16"/>
  <c r="M85" i="16" s="1"/>
  <c r="E85" i="16"/>
  <c r="AQ84" i="16"/>
  <c r="AJ84" i="16"/>
  <c r="AI84" i="16"/>
  <c r="AH84" i="16"/>
  <c r="AG84" i="16"/>
  <c r="AF84" i="16"/>
  <c r="X84" i="16"/>
  <c r="Y84" i="16" s="1"/>
  <c r="L84" i="16"/>
  <c r="M84" i="16" s="1"/>
  <c r="E84" i="16"/>
  <c r="AQ83" i="16"/>
  <c r="AJ83" i="16"/>
  <c r="AI83" i="16"/>
  <c r="AH83" i="16"/>
  <c r="AG83" i="16"/>
  <c r="AF83" i="16"/>
  <c r="X83" i="16"/>
  <c r="Y83" i="16" s="1"/>
  <c r="L83" i="16"/>
  <c r="M83" i="16" s="1"/>
  <c r="E83" i="16"/>
  <c r="AQ82" i="16"/>
  <c r="AJ82" i="16"/>
  <c r="AI82" i="16"/>
  <c r="AH82" i="16"/>
  <c r="AG82" i="16"/>
  <c r="AF82" i="16"/>
  <c r="X82" i="16"/>
  <c r="L82" i="16"/>
  <c r="M82" i="16" s="1"/>
  <c r="E82" i="16"/>
  <c r="AQ81" i="16"/>
  <c r="AJ81" i="16"/>
  <c r="AI81" i="16"/>
  <c r="AH81" i="16"/>
  <c r="AG81" i="16"/>
  <c r="AF81" i="16"/>
  <c r="X81" i="16"/>
  <c r="Y81" i="16" s="1"/>
  <c r="L81" i="16"/>
  <c r="M81" i="16" s="1"/>
  <c r="E81" i="16"/>
  <c r="AQ80" i="16"/>
  <c r="AJ80" i="16"/>
  <c r="AI80" i="16"/>
  <c r="AH80" i="16"/>
  <c r="AG80" i="16"/>
  <c r="AF80" i="16"/>
  <c r="X80" i="16"/>
  <c r="Y80" i="16" s="1"/>
  <c r="L80" i="16"/>
  <c r="M80" i="16" s="1"/>
  <c r="E80" i="16"/>
  <c r="AQ79" i="16"/>
  <c r="AJ79" i="16"/>
  <c r="AI79" i="16"/>
  <c r="AH79" i="16"/>
  <c r="AG79" i="16"/>
  <c r="AF79" i="16"/>
  <c r="X79" i="16"/>
  <c r="Y79" i="16" s="1"/>
  <c r="L79" i="16"/>
  <c r="M79" i="16" s="1"/>
  <c r="E79" i="16"/>
  <c r="AJ78" i="16"/>
  <c r="AI78" i="16"/>
  <c r="AH78" i="16"/>
  <c r="AG78" i="16"/>
  <c r="L78" i="16"/>
  <c r="M78" i="16" s="1"/>
  <c r="X78" i="16" s="1"/>
  <c r="E78" i="16"/>
  <c r="Y74" i="16"/>
  <c r="E74" i="16"/>
  <c r="Y73" i="16"/>
  <c r="E73" i="16"/>
  <c r="Y72" i="16"/>
  <c r="E72" i="16"/>
  <c r="Y71" i="16"/>
  <c r="E71" i="16"/>
  <c r="Y70" i="16"/>
  <c r="E70" i="16"/>
  <c r="AP69" i="16"/>
  <c r="AE69" i="16"/>
  <c r="AD69" i="16"/>
  <c r="AC69" i="16"/>
  <c r="AB69" i="16"/>
  <c r="AA69" i="16"/>
  <c r="X69" i="16"/>
  <c r="Y69" i="16" s="1"/>
  <c r="L69" i="16"/>
  <c r="M69" i="16" s="1"/>
  <c r="E69" i="16"/>
  <c r="AP68" i="16"/>
  <c r="AE68" i="16"/>
  <c r="AD68" i="16"/>
  <c r="AC68" i="16"/>
  <c r="AB68" i="16"/>
  <c r="AA68" i="16"/>
  <c r="X68" i="16"/>
  <c r="Y68" i="16" s="1"/>
  <c r="L68" i="16"/>
  <c r="M68" i="16" s="1"/>
  <c r="E68" i="16"/>
  <c r="AP67" i="16"/>
  <c r="AE67" i="16"/>
  <c r="AD67" i="16"/>
  <c r="AC67" i="16"/>
  <c r="AB67" i="16"/>
  <c r="AA67" i="16"/>
  <c r="X67" i="16"/>
  <c r="Y67" i="16" s="1"/>
  <c r="L67" i="16"/>
  <c r="M67" i="16" s="1"/>
  <c r="E67" i="16"/>
  <c r="AP66" i="16"/>
  <c r="AE66" i="16"/>
  <c r="AD66" i="16"/>
  <c r="AC66" i="16"/>
  <c r="AB66" i="16"/>
  <c r="AA66" i="16"/>
  <c r="X66" i="16"/>
  <c r="Y66" i="16" s="1"/>
  <c r="L66" i="16"/>
  <c r="M66" i="16" s="1"/>
  <c r="E66" i="16"/>
  <c r="AP65" i="16"/>
  <c r="AE65" i="16"/>
  <c r="AD65" i="16"/>
  <c r="AC65" i="16"/>
  <c r="AB65" i="16"/>
  <c r="AA65" i="16"/>
  <c r="X65" i="16"/>
  <c r="Y65" i="16" s="1"/>
  <c r="L65" i="16"/>
  <c r="M65" i="16" s="1"/>
  <c r="E65" i="16"/>
  <c r="AP64" i="16"/>
  <c r="AE64" i="16"/>
  <c r="AD64" i="16"/>
  <c r="AC64" i="16"/>
  <c r="AB64" i="16"/>
  <c r="AA64" i="16"/>
  <c r="X64" i="16"/>
  <c r="Y64" i="16" s="1"/>
  <c r="L64" i="16"/>
  <c r="M64" i="16" s="1"/>
  <c r="E64" i="16"/>
  <c r="AP63" i="16"/>
  <c r="AE63" i="16"/>
  <c r="AD63" i="16"/>
  <c r="AC63" i="16"/>
  <c r="AB63" i="16"/>
  <c r="AA63" i="16"/>
  <c r="X63" i="16"/>
  <c r="Y63" i="16" s="1"/>
  <c r="L63" i="16"/>
  <c r="M63" i="16" s="1"/>
  <c r="E63" i="16"/>
  <c r="AP62" i="16"/>
  <c r="AE62" i="16"/>
  <c r="AD62" i="16"/>
  <c r="AC62" i="16"/>
  <c r="AB62" i="16"/>
  <c r="AA62" i="16"/>
  <c r="X62" i="16"/>
  <c r="Y62" i="16" s="1"/>
  <c r="L62" i="16"/>
  <c r="M62" i="16" s="1"/>
  <c r="E62" i="16"/>
  <c r="AP61" i="16"/>
  <c r="AE61" i="16"/>
  <c r="AD61" i="16"/>
  <c r="AC61" i="16"/>
  <c r="AB61" i="16"/>
  <c r="AA61" i="16"/>
  <c r="X61" i="16"/>
  <c r="Y61" i="16" s="1"/>
  <c r="L61" i="16"/>
  <c r="M61" i="16" s="1"/>
  <c r="E61" i="16"/>
  <c r="AP60" i="16"/>
  <c r="AE60" i="16"/>
  <c r="AD60" i="16"/>
  <c r="AC60" i="16"/>
  <c r="AB60" i="16"/>
  <c r="AA60" i="16"/>
  <c r="X60" i="16"/>
  <c r="Y60" i="16" s="1"/>
  <c r="L60" i="16"/>
  <c r="M60" i="16" s="1"/>
  <c r="E60" i="16"/>
  <c r="AP59" i="16"/>
  <c r="AE59" i="16"/>
  <c r="AD59" i="16"/>
  <c r="AC59" i="16"/>
  <c r="AB59" i="16"/>
  <c r="AA59" i="16"/>
  <c r="X59" i="16"/>
  <c r="Y59" i="16" s="1"/>
  <c r="L59" i="16"/>
  <c r="M59" i="16" s="1"/>
  <c r="E59" i="16"/>
  <c r="AP58" i="16"/>
  <c r="AE58" i="16"/>
  <c r="AD58" i="16"/>
  <c r="AC58" i="16"/>
  <c r="AB58" i="16"/>
  <c r="AA58" i="16"/>
  <c r="X58" i="16"/>
  <c r="Y58" i="16" s="1"/>
  <c r="L58" i="16"/>
  <c r="M58" i="16" s="1"/>
  <c r="E58" i="16"/>
  <c r="AP57" i="16"/>
  <c r="AE57" i="16"/>
  <c r="AD57" i="16"/>
  <c r="AC57" i="16"/>
  <c r="AB57" i="16"/>
  <c r="AA57" i="16"/>
  <c r="X57" i="16"/>
  <c r="Y57" i="16" s="1"/>
  <c r="L57" i="16"/>
  <c r="M57" i="16" s="1"/>
  <c r="E57" i="16"/>
  <c r="AP56" i="16"/>
  <c r="AE56" i="16"/>
  <c r="AD56" i="16"/>
  <c r="AC56" i="16"/>
  <c r="AB56" i="16"/>
  <c r="AA56" i="16"/>
  <c r="X56" i="16"/>
  <c r="Y56" i="16" s="1"/>
  <c r="L56" i="16"/>
  <c r="M56" i="16" s="1"/>
  <c r="E56" i="16"/>
  <c r="AP55" i="16"/>
  <c r="AE55" i="16"/>
  <c r="AD55" i="16"/>
  <c r="AC55" i="16"/>
  <c r="AB55" i="16"/>
  <c r="AA55" i="16"/>
  <c r="X55" i="16"/>
  <c r="Y55" i="16" s="1"/>
  <c r="L55" i="16"/>
  <c r="M55" i="16" s="1"/>
  <c r="E55" i="16"/>
  <c r="AP54" i="16"/>
  <c r="AE54" i="16"/>
  <c r="AD54" i="16"/>
  <c r="AC54" i="16"/>
  <c r="AB54" i="16"/>
  <c r="AA54" i="16"/>
  <c r="X54" i="16"/>
  <c r="Y54" i="16" s="1"/>
  <c r="L54" i="16"/>
  <c r="M54" i="16" s="1"/>
  <c r="E54" i="16"/>
  <c r="AP53" i="16"/>
  <c r="AE53" i="16"/>
  <c r="AD53" i="16"/>
  <c r="AC53" i="16"/>
  <c r="AB53" i="16"/>
  <c r="AA53" i="16"/>
  <c r="X53" i="16"/>
  <c r="Y53" i="16" s="1"/>
  <c r="L53" i="16"/>
  <c r="M53" i="16" s="1"/>
  <c r="E53" i="16"/>
  <c r="AP52" i="16"/>
  <c r="AE52" i="16"/>
  <c r="AD52" i="16"/>
  <c r="AC52" i="16"/>
  <c r="AB52" i="16"/>
  <c r="AA52" i="16"/>
  <c r="X52" i="16"/>
  <c r="Y52" i="16" s="1"/>
  <c r="L52" i="16"/>
  <c r="M52" i="16" s="1"/>
  <c r="E52" i="16"/>
  <c r="AP51" i="16"/>
  <c r="AE51" i="16"/>
  <c r="AD51" i="16"/>
  <c r="AC51" i="16"/>
  <c r="AB51" i="16"/>
  <c r="AA51" i="16"/>
  <c r="X51" i="16"/>
  <c r="Y51" i="16" s="1"/>
  <c r="L51" i="16"/>
  <c r="M51" i="16" s="1"/>
  <c r="E51" i="16"/>
  <c r="AP50" i="16"/>
  <c r="AE50" i="16"/>
  <c r="AD50" i="16"/>
  <c r="AC50" i="16"/>
  <c r="AB50" i="16"/>
  <c r="AA50" i="16"/>
  <c r="X50" i="16"/>
  <c r="Y50" i="16" s="1"/>
  <c r="L50" i="16"/>
  <c r="M50" i="16" s="1"/>
  <c r="E50" i="16"/>
  <c r="AP49" i="16"/>
  <c r="AE49" i="16"/>
  <c r="AD49" i="16"/>
  <c r="AC49" i="16"/>
  <c r="AB49" i="16"/>
  <c r="AA49" i="16"/>
  <c r="X49" i="16"/>
  <c r="Y49" i="16" s="1"/>
  <c r="L49" i="16"/>
  <c r="M49" i="16" s="1"/>
  <c r="E49" i="16"/>
  <c r="AP48" i="16"/>
  <c r="AE48" i="16"/>
  <c r="AD48" i="16"/>
  <c r="AC48" i="16"/>
  <c r="AB48" i="16"/>
  <c r="AA48" i="16"/>
  <c r="X48" i="16"/>
  <c r="Y48" i="16" s="1"/>
  <c r="L48" i="16"/>
  <c r="M48" i="16" s="1"/>
  <c r="E48" i="16"/>
  <c r="AP47" i="16"/>
  <c r="AE47" i="16"/>
  <c r="AD47" i="16"/>
  <c r="AC47" i="16"/>
  <c r="AB47" i="16"/>
  <c r="AA47" i="16"/>
  <c r="X47" i="16"/>
  <c r="Y47" i="16" s="1"/>
  <c r="L47" i="16"/>
  <c r="M47" i="16" s="1"/>
  <c r="E47" i="16"/>
  <c r="AP46" i="16"/>
  <c r="AE46" i="16"/>
  <c r="AD46" i="16"/>
  <c r="AC46" i="16"/>
  <c r="AB46" i="16"/>
  <c r="AA46" i="16"/>
  <c r="X46" i="16"/>
  <c r="Y46" i="16" s="1"/>
  <c r="L46" i="16"/>
  <c r="M46" i="16" s="1"/>
  <c r="E46" i="16"/>
  <c r="AP45" i="16"/>
  <c r="AE45" i="16"/>
  <c r="AD45" i="16"/>
  <c r="AC45" i="16"/>
  <c r="AB45" i="16"/>
  <c r="AA45" i="16"/>
  <c r="X45" i="16"/>
  <c r="Y45" i="16" s="1"/>
  <c r="L45" i="16"/>
  <c r="M45" i="16" s="1"/>
  <c r="E45" i="16"/>
  <c r="AP44" i="16"/>
  <c r="AE44" i="16"/>
  <c r="AD44" i="16"/>
  <c r="AC44" i="16"/>
  <c r="AB44" i="16"/>
  <c r="AA44" i="16"/>
  <c r="X44" i="16"/>
  <c r="Y44" i="16" s="1"/>
  <c r="L44" i="16"/>
  <c r="M44" i="16" s="1"/>
  <c r="E44" i="16"/>
  <c r="AP43" i="16"/>
  <c r="AE43" i="16"/>
  <c r="AD43" i="16"/>
  <c r="AC43" i="16"/>
  <c r="AB43" i="16"/>
  <c r="AA43" i="16"/>
  <c r="X43" i="16"/>
  <c r="Y43" i="16" s="1"/>
  <c r="L43" i="16"/>
  <c r="M43" i="16" s="1"/>
  <c r="E43" i="16"/>
  <c r="AP42" i="16"/>
  <c r="AE42" i="16"/>
  <c r="AD42" i="16"/>
  <c r="AC42" i="16"/>
  <c r="AB42" i="16"/>
  <c r="AA42" i="16"/>
  <c r="X42" i="16"/>
  <c r="Y42" i="16" s="1"/>
  <c r="L42" i="16"/>
  <c r="M42" i="16" s="1"/>
  <c r="E42" i="16"/>
  <c r="AP41" i="16"/>
  <c r="AE41" i="16"/>
  <c r="AD41" i="16"/>
  <c r="AC41" i="16"/>
  <c r="AB41" i="16"/>
  <c r="AA41" i="16"/>
  <c r="X41" i="16"/>
  <c r="Y41" i="16" s="1"/>
  <c r="L41" i="16"/>
  <c r="M41" i="16" s="1"/>
  <c r="E41" i="16"/>
  <c r="AP40" i="16"/>
  <c r="AE40" i="16"/>
  <c r="AD40" i="16"/>
  <c r="AC40" i="16"/>
  <c r="AB40" i="16"/>
  <c r="AA40" i="16"/>
  <c r="L40" i="16"/>
  <c r="M40" i="16" s="1"/>
  <c r="X40" i="16" s="1"/>
  <c r="Y40" i="16" s="1"/>
  <c r="E40" i="16"/>
  <c r="AP39" i="16"/>
  <c r="AE39" i="16"/>
  <c r="AD39" i="16"/>
  <c r="AC39" i="16"/>
  <c r="AB39" i="16"/>
  <c r="L39" i="16"/>
  <c r="M39" i="16" s="1"/>
  <c r="X39" i="16" s="1"/>
  <c r="Y39" i="16" s="1"/>
  <c r="E39" i="16"/>
  <c r="AE38" i="16"/>
  <c r="AD38" i="16"/>
  <c r="AC38" i="16"/>
  <c r="AB38" i="16"/>
  <c r="L38" i="16"/>
  <c r="M38" i="16" s="1"/>
  <c r="E38" i="16"/>
  <c r="H34" i="16"/>
  <c r="X32" i="16"/>
  <c r="Y32" i="16" s="1"/>
  <c r="L32" i="16"/>
  <c r="M32" i="16" s="1"/>
  <c r="E32" i="16"/>
  <c r="X31" i="16"/>
  <c r="Y31" i="16" s="1"/>
  <c r="L31" i="16"/>
  <c r="M31" i="16" s="1"/>
  <c r="E31" i="16"/>
  <c r="X30" i="16"/>
  <c r="Y30" i="16" s="1"/>
  <c r="L30" i="16"/>
  <c r="M30" i="16" s="1"/>
  <c r="E30" i="16"/>
  <c r="X29" i="16"/>
  <c r="Y29" i="16" s="1"/>
  <c r="L29" i="16"/>
  <c r="M29" i="16" s="1"/>
  <c r="E29" i="16"/>
  <c r="X28" i="16"/>
  <c r="Y28" i="16" s="1"/>
  <c r="L28" i="16"/>
  <c r="M28" i="16" s="1"/>
  <c r="E28" i="16"/>
  <c r="L27" i="16"/>
  <c r="M27" i="16" s="1"/>
  <c r="E27" i="16"/>
  <c r="A5" i="16"/>
  <c r="A4" i="16"/>
  <c r="M75" i="16" l="1"/>
  <c r="X170" i="16"/>
  <c r="AT170" i="16" s="1"/>
  <c r="M190" i="16"/>
  <c r="X109" i="16"/>
  <c r="Y109" i="16" s="1"/>
  <c r="M33" i="16"/>
  <c r="U154" i="16"/>
  <c r="W154" i="16"/>
  <c r="V154" i="16"/>
  <c r="M154" i="16"/>
  <c r="N154" i="16"/>
  <c r="O154" i="16"/>
  <c r="P154" i="16"/>
  <c r="Q154" i="16"/>
  <c r="R154" i="16"/>
  <c r="S154" i="16"/>
  <c r="T154" i="16"/>
  <c r="J18" i="7"/>
  <c r="KP5" i="20" s="1"/>
  <c r="X38" i="16"/>
  <c r="X75" i="16" s="1"/>
  <c r="Y75" i="16" s="1"/>
  <c r="X228" i="16"/>
  <c r="X274" i="16" s="1"/>
  <c r="Y274" i="16" s="1"/>
  <c r="I33" i="3" s="1"/>
  <c r="M274" i="16"/>
  <c r="CP5" i="20"/>
  <c r="CQ5" i="20"/>
  <c r="H216" i="16"/>
  <c r="O216" i="16"/>
  <c r="X193" i="16"/>
  <c r="Y193" i="16" s="1"/>
  <c r="X27" i="16"/>
  <c r="C41" i="13"/>
  <c r="M16" i="7"/>
  <c r="Y112" i="16"/>
  <c r="AU112" i="16"/>
  <c r="AK112" i="16"/>
  <c r="H30" i="3"/>
  <c r="FU5" i="20" s="1"/>
  <c r="AL282" i="16"/>
  <c r="AL283" i="16" s="1"/>
  <c r="AC282" i="16"/>
  <c r="AM282" i="16"/>
  <c r="AM283" i="16" s="1"/>
  <c r="E151" i="16"/>
  <c r="CF5" i="20" s="1"/>
  <c r="AU193" i="16"/>
  <c r="AG282" i="16"/>
  <c r="AQ282" i="16"/>
  <c r="H292" i="16" s="1"/>
  <c r="DU5" i="20" s="1"/>
  <c r="AN282" i="16"/>
  <c r="AN283" i="16" s="1"/>
  <c r="AE282" i="16"/>
  <c r="AH282" i="16"/>
  <c r="AO282" i="16"/>
  <c r="AO283" i="16" s="1"/>
  <c r="AP282" i="16"/>
  <c r="G292" i="16" s="1"/>
  <c r="DT5" i="20" s="1"/>
  <c r="AI282" i="16"/>
  <c r="S214" i="16"/>
  <c r="AB282" i="16"/>
  <c r="AD282" i="16"/>
  <c r="AS38" i="16"/>
  <c r="AS282" i="16" s="1"/>
  <c r="AJ282" i="16"/>
  <c r="Y78" i="16"/>
  <c r="AT78" i="16"/>
  <c r="AT282" i="16" s="1"/>
  <c r="AF78" i="16"/>
  <c r="AF282" i="16" s="1"/>
  <c r="Y128" i="16"/>
  <c r="H19" i="3"/>
  <c r="FL5" i="20" s="1"/>
  <c r="H17" i="3"/>
  <c r="FJ5" i="20" s="1"/>
  <c r="AA39" i="16"/>
  <c r="AA38" i="16"/>
  <c r="H15" i="3"/>
  <c r="FH5" i="20" s="1"/>
  <c r="AK193" i="16"/>
  <c r="AK264" i="16"/>
  <c r="H12" i="3"/>
  <c r="FD5" i="20" s="1"/>
  <c r="S151" i="16"/>
  <c r="R225" i="16"/>
  <c r="O225" i="16"/>
  <c r="V225" i="16"/>
  <c r="CC5" i="20"/>
  <c r="O190" i="16"/>
  <c r="Q109" i="16"/>
  <c r="R190" i="16"/>
  <c r="O274" i="16"/>
  <c r="R109" i="16"/>
  <c r="S190" i="16"/>
  <c r="S274" i="16"/>
  <c r="T274" i="16"/>
  <c r="T214" i="16"/>
  <c r="U274" i="16"/>
  <c r="N151" i="16"/>
  <c r="N214" i="16"/>
  <c r="U214" i="16"/>
  <c r="P225" i="16"/>
  <c r="N274" i="16"/>
  <c r="V274" i="16"/>
  <c r="P151" i="16"/>
  <c r="O214" i="16"/>
  <c r="V214" i="16"/>
  <c r="S225" i="16"/>
  <c r="R151" i="16"/>
  <c r="P214" i="16"/>
  <c r="W214" i="16"/>
  <c r="T225" i="16"/>
  <c r="P274" i="16"/>
  <c r="I17" i="3"/>
  <c r="Q214" i="16"/>
  <c r="M225" i="16"/>
  <c r="U225" i="16"/>
  <c r="Y82" i="16"/>
  <c r="X190" i="16"/>
  <c r="Y190" i="16" s="1"/>
  <c r="Y170" i="16"/>
  <c r="V109" i="16"/>
  <c r="P109" i="16"/>
  <c r="U109" i="16"/>
  <c r="O109" i="16"/>
  <c r="T109" i="16"/>
  <c r="N109" i="16"/>
  <c r="S109" i="16"/>
  <c r="M109" i="16"/>
  <c r="X151" i="16"/>
  <c r="U151" i="16"/>
  <c r="W151" i="16"/>
  <c r="Q151" i="16"/>
  <c r="V151" i="16"/>
  <c r="O151" i="16"/>
  <c r="T151" i="16"/>
  <c r="M151" i="16"/>
  <c r="CN5" i="20"/>
  <c r="M214" i="16"/>
  <c r="X225" i="16"/>
  <c r="W190" i="16"/>
  <c r="Q190" i="16"/>
  <c r="V190" i="16"/>
  <c r="P190" i="16"/>
  <c r="T190" i="16"/>
  <c r="R214" i="16"/>
  <c r="Y220" i="16"/>
  <c r="Q225" i="16"/>
  <c r="W225" i="16"/>
  <c r="Q274" i="16"/>
  <c r="W274" i="16"/>
  <c r="I12" i="3" l="1"/>
  <c r="X33" i="16"/>
  <c r="Y33" i="16" s="1"/>
  <c r="X154" i="16"/>
  <c r="Y38" i="16"/>
  <c r="P216" i="16"/>
  <c r="M216" i="16"/>
  <c r="W216" i="16"/>
  <c r="F43" i="13"/>
  <c r="L45" i="7" s="1"/>
  <c r="NT5" i="20"/>
  <c r="Y228" i="16"/>
  <c r="Q216" i="16"/>
  <c r="T216" i="16"/>
  <c r="R216" i="16"/>
  <c r="N216" i="16"/>
  <c r="S216" i="16"/>
  <c r="U216" i="16"/>
  <c r="V216" i="16"/>
  <c r="H217" i="16"/>
  <c r="CI5" i="20"/>
  <c r="E41" i="13"/>
  <c r="G293" i="16"/>
  <c r="X214" i="16"/>
  <c r="X216" i="16" s="1"/>
  <c r="Y216" i="16" s="1"/>
  <c r="I27" i="3" s="1"/>
  <c r="Y27" i="16"/>
  <c r="Y151" i="16"/>
  <c r="I19" i="3" s="1"/>
  <c r="Y154" i="16"/>
  <c r="I22" i="3" s="1"/>
  <c r="I15" i="3"/>
  <c r="AU282" i="16"/>
  <c r="J298" i="16" s="1"/>
  <c r="EA5" i="20" s="1"/>
  <c r="Y225" i="16"/>
  <c r="I30" i="3" s="1"/>
  <c r="H13" i="3"/>
  <c r="NE5" i="20"/>
  <c r="E216" i="16"/>
  <c r="CR5" i="20" s="1"/>
  <c r="D41" i="13"/>
  <c r="H31" i="3"/>
  <c r="H298" i="16"/>
  <c r="DZ5" i="20" s="1"/>
  <c r="AK282" i="16"/>
  <c r="AK283" i="16" s="1"/>
  <c r="AA282" i="16"/>
  <c r="AA283" i="16" s="1"/>
  <c r="AF283" i="16"/>
  <c r="AD283" i="16"/>
  <c r="AC283" i="16"/>
  <c r="AG283" i="16"/>
  <c r="AB283" i="16"/>
  <c r="AH283" i="16"/>
  <c r="AJ283" i="16"/>
  <c r="AE283" i="16"/>
  <c r="G298" i="16"/>
  <c r="DY5" i="20" s="1"/>
  <c r="AI283" i="16"/>
  <c r="J14" i="7"/>
  <c r="NQ5" i="20" s="1"/>
  <c r="H156" i="16"/>
  <c r="H22" i="3"/>
  <c r="FN5" i="20" s="1"/>
  <c r="J8" i="7"/>
  <c r="KE5" i="20" s="1"/>
  <c r="H27" i="3"/>
  <c r="AK9" i="16"/>
  <c r="H43" i="13" l="1"/>
  <c r="H294" i="16"/>
  <c r="DW5" i="20"/>
  <c r="H28" i="3"/>
  <c r="FT5" i="20"/>
  <c r="F41" i="13"/>
  <c r="L41" i="7" s="1"/>
  <c r="Y214" i="16"/>
  <c r="I36" i="3"/>
  <c r="I46" i="3" s="1"/>
  <c r="GN5" i="20" s="1"/>
  <c r="AO9" i="16"/>
  <c r="G294" i="16"/>
  <c r="J294" i="16"/>
  <c r="AK284" i="16"/>
  <c r="J288" i="16" s="1"/>
  <c r="J290" i="16" s="1"/>
  <c r="DS5" i="20" s="1"/>
  <c r="AN9" i="16"/>
  <c r="AP9" i="16"/>
  <c r="M8" i="7"/>
  <c r="H23" i="3"/>
  <c r="H41" i="13"/>
  <c r="M14" i="7"/>
  <c r="AF284" i="16"/>
  <c r="H288" i="16" s="1"/>
  <c r="AA284" i="16"/>
  <c r="G288" i="16" s="1"/>
  <c r="G290" i="16" s="1"/>
  <c r="DQ5" i="20" s="1"/>
  <c r="J12" i="7"/>
  <c r="KK5" i="20" s="1"/>
  <c r="J10" i="7"/>
  <c r="NO5" i="20" s="1"/>
  <c r="AL9" i="16"/>
  <c r="NN5" i="20" l="1"/>
  <c r="NR5" i="20"/>
  <c r="I44" i="3"/>
  <c r="J48" i="3"/>
  <c r="GQ5" i="20" s="1"/>
  <c r="AG9" i="16"/>
  <c r="H290" i="16"/>
  <c r="DR5" i="20" s="1"/>
  <c r="G296" i="16"/>
  <c r="DX5" i="20" s="1"/>
  <c r="AI9" i="16"/>
  <c r="M12" i="7"/>
  <c r="M10" i="7"/>
  <c r="J19" i="3" l="1"/>
  <c r="GX5" i="20" s="1"/>
  <c r="J17" i="3"/>
  <c r="GW5" i="20" s="1"/>
  <c r="J15" i="3"/>
  <c r="GV5" i="20" s="1"/>
  <c r="GL5" i="20"/>
  <c r="NP5" i="20"/>
  <c r="LR5" i="20"/>
  <c r="AH9" i="16"/>
  <c r="AJ9" i="16"/>
  <c r="D6" i="1"/>
  <c r="E5" i="20" s="1"/>
  <c r="B16" i="2" l="1"/>
  <c r="K45" i="1"/>
  <c r="C47" i="3" l="1"/>
  <c r="I49" i="3" l="1"/>
  <c r="J6" i="8"/>
  <c r="I6" i="8"/>
  <c r="K8" i="8" s="1"/>
  <c r="G23" i="8"/>
  <c r="G27" i="8"/>
  <c r="E27" i="8" s="1"/>
  <c r="D22" i="2"/>
  <c r="J20" i="3"/>
  <c r="A1" i="3"/>
  <c r="A4" i="1"/>
  <c r="H4" i="19" s="1"/>
  <c r="D19" i="8"/>
  <c r="C16" i="8"/>
  <c r="A1" i="2"/>
  <c r="A1" i="8"/>
  <c r="A1" i="7"/>
  <c r="G8" i="3"/>
  <c r="C30" i="2"/>
  <c r="E14" i="2"/>
  <c r="E22" i="2" s="1"/>
  <c r="E30" i="2"/>
  <c r="D30" i="2"/>
  <c r="L28" i="7"/>
  <c r="D10" i="1"/>
  <c r="L24" i="7"/>
  <c r="L26" i="7"/>
  <c r="D32" i="2" l="1"/>
  <c r="BC5" i="20"/>
  <c r="E32" i="2"/>
  <c r="BI5" i="20"/>
  <c r="F39" i="13"/>
  <c r="NB5" i="20"/>
  <c r="F40" i="13"/>
  <c r="E23" i="8"/>
  <c r="G34" i="8"/>
  <c r="M19" i="8"/>
  <c r="G19" i="8"/>
  <c r="N22" i="8"/>
  <c r="M36" i="8"/>
  <c r="G36" i="8"/>
  <c r="M28" i="8"/>
  <c r="G28" i="8"/>
  <c r="M37" i="8"/>
  <c r="G37" i="8"/>
  <c r="M29" i="8"/>
  <c r="G29" i="8"/>
  <c r="M38" i="8"/>
  <c r="G38" i="8"/>
  <c r="M39" i="8"/>
  <c r="G39" i="8"/>
  <c r="M31" i="8"/>
  <c r="G31" i="8"/>
  <c r="A4" i="14"/>
  <c r="A3" i="14"/>
  <c r="K6" i="8"/>
  <c r="L6" i="8"/>
  <c r="A3" i="2"/>
  <c r="A3" i="3"/>
  <c r="A3" i="8"/>
  <c r="A3" i="7"/>
  <c r="A4" i="3"/>
  <c r="A4" i="2"/>
  <c r="A4" i="8"/>
  <c r="A4" i="7"/>
  <c r="J22" i="8" l="1"/>
  <c r="L37" i="7"/>
  <c r="H39" i="13"/>
  <c r="F48" i="13"/>
  <c r="L39" i="7"/>
  <c r="H40" i="13"/>
  <c r="I24" i="8"/>
  <c r="H23" i="8"/>
  <c r="E19" i="8"/>
  <c r="M34" i="8"/>
  <c r="E34" i="8" s="1"/>
  <c r="E31" i="8"/>
  <c r="E29" i="8"/>
  <c r="E36" i="8"/>
  <c r="E39" i="8"/>
  <c r="E37" i="8"/>
  <c r="E38" i="8"/>
  <c r="E28" i="8"/>
  <c r="N21" i="8"/>
  <c r="E22" i="8"/>
  <c r="D33" i="8"/>
  <c r="H19" i="8"/>
  <c r="I23" i="8"/>
  <c r="I19" i="8"/>
  <c r="I39" i="8"/>
  <c r="H31" i="8"/>
  <c r="H38" i="8"/>
  <c r="I28" i="8"/>
  <c r="H28" i="8"/>
  <c r="M26" i="8"/>
  <c r="I26" i="8" s="1"/>
  <c r="G26" i="8"/>
  <c r="I31" i="8"/>
  <c r="I38" i="8"/>
  <c r="H36" i="8"/>
  <c r="M35" i="8"/>
  <c r="G35" i="8"/>
  <c r="I25" i="8"/>
  <c r="M40" i="8"/>
  <c r="I40" i="8" s="1"/>
  <c r="G40" i="8"/>
  <c r="H29" i="8"/>
  <c r="I36" i="8"/>
  <c r="I27" i="8"/>
  <c r="H34" i="8"/>
  <c r="I29" i="8"/>
  <c r="H37" i="8"/>
  <c r="M30" i="8"/>
  <c r="I30" i="8" s="1"/>
  <c r="G30" i="8"/>
  <c r="H39" i="8"/>
  <c r="J21" i="8"/>
  <c r="I37" i="8"/>
  <c r="H27" i="8"/>
  <c r="J46" i="8" l="1"/>
  <c r="J28" i="7" s="1"/>
  <c r="I34" i="8"/>
  <c r="E35" i="8"/>
  <c r="M33" i="8"/>
  <c r="E40" i="8"/>
  <c r="E30" i="8"/>
  <c r="E24" i="8"/>
  <c r="G21" i="8"/>
  <c r="E26" i="8"/>
  <c r="H25" i="8"/>
  <c r="H35" i="8"/>
  <c r="H26" i="8"/>
  <c r="H30" i="8"/>
  <c r="I35" i="8"/>
  <c r="M21" i="8"/>
  <c r="I21" i="8"/>
  <c r="H24" i="8"/>
  <c r="H40" i="8"/>
  <c r="G33" i="8"/>
  <c r="MJ5" i="20" l="1"/>
  <c r="E21" i="8"/>
  <c r="I33" i="8"/>
  <c r="E33" i="8"/>
  <c r="H33" i="8"/>
  <c r="J12" i="3" l="1"/>
  <c r="GR5" i="20" s="1"/>
  <c r="D14" i="8"/>
  <c r="G14" i="8" s="1"/>
  <c r="J33" i="3"/>
  <c r="NM5" i="20" s="1"/>
  <c r="D15" i="8"/>
  <c r="G15" i="8" s="1"/>
  <c r="E15" i="8" s="1"/>
  <c r="D17" i="8"/>
  <c r="G17" i="8" s="1"/>
  <c r="J30" i="3"/>
  <c r="HC5" i="20" s="1"/>
  <c r="J27" i="3"/>
  <c r="HB5" i="20" s="1"/>
  <c r="J22" i="3"/>
  <c r="GY5" i="20" s="1"/>
  <c r="D18" i="8"/>
  <c r="D16" i="8"/>
  <c r="K16" i="8" s="1"/>
  <c r="K13" i="8" s="1"/>
  <c r="K46" i="8" s="1"/>
  <c r="E14" i="8" l="1"/>
  <c r="J36" i="3"/>
  <c r="D13" i="8"/>
  <c r="O16" i="8"/>
  <c r="E16" i="8" s="1"/>
  <c r="H15" i="8"/>
  <c r="H14" i="8"/>
  <c r="M18" i="8"/>
  <c r="I18" i="8" s="1"/>
  <c r="G18" i="8"/>
  <c r="G13" i="8" s="1"/>
  <c r="M17" i="8"/>
  <c r="E17" i="8" s="1"/>
  <c r="J24" i="7" l="1"/>
  <c r="E18" i="8"/>
  <c r="O13" i="8"/>
  <c r="I17" i="8"/>
  <c r="I13" i="8" s="1"/>
  <c r="I46" i="8" s="1"/>
  <c r="M13" i="8"/>
  <c r="H17" i="8"/>
  <c r="H18" i="8"/>
  <c r="MH5" i="20" l="1"/>
  <c r="H13" i="8"/>
  <c r="J26" i="7"/>
  <c r="E13" i="8"/>
  <c r="H21" i="8"/>
  <c r="H46" i="8" l="1"/>
  <c r="J22" i="7" s="1"/>
  <c r="MG5" i="20" s="1"/>
  <c r="MI5" i="20"/>
  <c r="L22" i="7"/>
</calcChain>
</file>

<file path=xl/sharedStrings.xml><?xml version="1.0" encoding="utf-8"?>
<sst xmlns="http://schemas.openxmlformats.org/spreadsheetml/2006/main" count="1644" uniqueCount="1348">
  <si>
    <t>Aufforderung zum Abschluss einer Pflegesatzvereinbarung gemäß §§ 84, 85 SGB XI</t>
  </si>
  <si>
    <t>Allgemeine Angaben</t>
  </si>
  <si>
    <t>Art der Einrichtung:</t>
  </si>
  <si>
    <t>Institutionskennzeichen:</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</si>
  <si>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</si>
  <si>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</si>
  <si>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</si>
  <si>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</si>
  <si>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</si>
  <si>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</si>
  <si>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</si>
  <si>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</si>
  <si>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</si>
  <si>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</si>
  <si>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</si>
  <si>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</si>
  <si>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</si>
  <si>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</si>
  <si>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</si>
  <si>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</si>
  <si>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</si>
  <si>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</si>
  <si>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</si>
  <si>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</si>
  <si>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</si>
  <si>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</si>
  <si>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</si>
  <si>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</si>
  <si>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</si>
  <si>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</si>
  <si>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</si>
  <si>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</si>
  <si>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</si>
  <si>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</si>
  <si>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(Prognose)</t>
  </si>
  <si>
    <t>Personalstruktur der Einrichtung</t>
  </si>
  <si>
    <t>Vollkräfte</t>
  </si>
  <si>
    <t>Gesamt</t>
  </si>
  <si>
    <t xml:space="preserve"> € / Jahr / je VK</t>
  </si>
  <si>
    <t>(Stichtag)</t>
  </si>
  <si>
    <t>1.</t>
  </si>
  <si>
    <t>2.</t>
  </si>
  <si>
    <t>Leitung / Verwaltung</t>
  </si>
  <si>
    <t>Haustechnik</t>
  </si>
  <si>
    <t>Zusätzliche Betreuung und Aktivierung</t>
  </si>
  <si>
    <t xml:space="preserve">nach § 43b SGB XI </t>
  </si>
  <si>
    <t>*</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</si>
  <si>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</si>
  <si>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</si>
  <si>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</si>
  <si>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</si>
  <si>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Verwaltung</t>
  </si>
  <si>
    <t>€ / Tag</t>
  </si>
  <si>
    <t>Prognose</t>
  </si>
  <si>
    <t>€</t>
  </si>
  <si>
    <t>2.1</t>
  </si>
  <si>
    <t>Lebensmittel</t>
  </si>
  <si>
    <t>2.2</t>
  </si>
  <si>
    <t>Pflegerischer Bedarf</t>
  </si>
  <si>
    <t>2.3</t>
  </si>
  <si>
    <t>Wasser, Energie, Brennstoffe</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</si>
  <si>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</si>
  <si>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</si>
  <si>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</si>
  <si>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</si>
  <si>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</si>
  <si>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</si>
  <si>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</si>
  <si>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</si>
  <si>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</si>
  <si>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</si>
  <si>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</si>
  <si>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</si>
  <si>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</si>
  <si>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</si>
  <si>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</si>
  <si>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</si>
  <si>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</si>
  <si>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</si>
  <si>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</si>
  <si>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</si>
  <si>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</si>
  <si>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</si>
  <si>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3.7</t>
  </si>
  <si>
    <t xml:space="preserve"> </t>
  </si>
  <si>
    <t>Forderungen des Trägers der Pflegeeinrichtung</t>
  </si>
  <si>
    <t>1. Personelle Ausstattung der Pflegeeinrichtung:</t>
  </si>
  <si>
    <t>Personalrelation</t>
  </si>
  <si>
    <t>:</t>
  </si>
  <si>
    <t>Leitung und Verwaltung</t>
  </si>
  <si>
    <t>Einsatzstellen FSJ / Freiwillige Dienste</t>
  </si>
  <si>
    <t>Anzahl:</t>
  </si>
  <si>
    <t>Pflegesätze</t>
  </si>
  <si>
    <t>Vergütungszuschlag § 43 b SGB XI</t>
  </si>
  <si>
    <t>Entgelte</t>
  </si>
  <si>
    <t>für die Unterkunft</t>
  </si>
  <si>
    <t>für die Verpflegung</t>
  </si>
  <si>
    <t>Die Richtigkeit der in der Aufforderung enthaltenen Angaben wird bestätigt:</t>
  </si>
  <si>
    <t>Rechtsverbindliche Unterschrift und Stempel</t>
  </si>
  <si>
    <t>Gesamtkalkulation</t>
  </si>
  <si>
    <t>GELBER TEIL</t>
  </si>
  <si>
    <t>Gesamtplätze:</t>
  </si>
  <si>
    <t>WIRD AUS-</t>
  </si>
  <si>
    <t>Tage/Monat</t>
  </si>
  <si>
    <t>GEBLENDET</t>
  </si>
  <si>
    <t>Aufwendungen für die Unterkunft</t>
  </si>
  <si>
    <t>Aufwendungen für die Verpflegung</t>
  </si>
  <si>
    <t>Gesamtaufwendungen</t>
  </si>
  <si>
    <t>Plausi Ges.</t>
  </si>
  <si>
    <t>Gesamt in €</t>
  </si>
  <si>
    <t xml:space="preserve">1. </t>
  </si>
  <si>
    <t>1.1.</t>
  </si>
  <si>
    <t>1.2.</t>
  </si>
  <si>
    <t>1.3.</t>
  </si>
  <si>
    <t>1.4.</t>
  </si>
  <si>
    <t>1.5.</t>
  </si>
  <si>
    <t>Sachaufwendungen</t>
  </si>
  <si>
    <t xml:space="preserve">3. </t>
  </si>
  <si>
    <t>Fremdleistungen / Trägerleistungen</t>
  </si>
  <si>
    <t>Einrichtungsart</t>
  </si>
  <si>
    <t>Kreuz</t>
  </si>
  <si>
    <t>Öffnungstage</t>
  </si>
  <si>
    <t>Auslastung</t>
  </si>
  <si>
    <t>Ja/Nein</t>
  </si>
  <si>
    <t>x</t>
  </si>
  <si>
    <t>ja</t>
  </si>
  <si>
    <t>nein</t>
  </si>
  <si>
    <t>Kurzzeitpflege</t>
  </si>
  <si>
    <t>Pflegeeinrichtung:</t>
  </si>
  <si>
    <t>Einrichtungsleitung</t>
  </si>
  <si>
    <t>Web-Adresse</t>
  </si>
  <si>
    <t>zum Stichtag</t>
  </si>
  <si>
    <t>von:</t>
  </si>
  <si>
    <t>bis:</t>
  </si>
  <si>
    <t>Personalnebenkosten</t>
  </si>
  <si>
    <t>Fremdleistungen / Leistungen des Trägers</t>
  </si>
  <si>
    <t>ANT am PS</t>
  </si>
  <si>
    <t>§ 43b:</t>
  </si>
  <si>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</si>
  <si>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</si>
  <si>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Stichtag </t>
    </r>
    <r>
      <rPr>
        <sz val="10"/>
        <color theme="1"/>
        <rFont val="Arial"/>
        <family val="2"/>
      </rPr>
      <t>(Datum)</t>
    </r>
  </si>
  <si>
    <t xml:space="preserve">davon Träger der Sozialhilfe in %   </t>
  </si>
  <si>
    <t xml:space="preserve">Parteien der Pflegesatzvereinbarung (gem. § 85 Abs. 2 SGB XI) </t>
  </si>
  <si>
    <t>Anteil in %</t>
  </si>
  <si>
    <t>Zusätzliches Betreuungspersonal gem. § 43b SGB XI</t>
  </si>
  <si>
    <t>gehe weiter zu Belegung</t>
  </si>
  <si>
    <t>gehe weiter zu Personalaufwendungen</t>
  </si>
  <si>
    <t>Gesamtpersonal-kosten</t>
  </si>
  <si>
    <t>Ort; Datum</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</si>
  <si>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</si>
  <si>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</si>
  <si>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</si>
  <si>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</si>
  <si>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</si>
  <si>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</si>
  <si>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</si>
  <si>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</si>
  <si>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</si>
  <si>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</si>
  <si>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gehe weiter zu Gesamtkalkulation</t>
  </si>
  <si>
    <t>prognostisch ab</t>
  </si>
  <si>
    <t>Hinweise zu den Sachaufwendungen, Fremdleistungen und Leistungen des Trägers für die Pflegeeinrichtung</t>
  </si>
  <si>
    <t>Definition:</t>
  </si>
  <si>
    <r>
      <rPr>
        <b/>
        <sz val="10"/>
        <color theme="1"/>
        <rFont val="Arial"/>
        <family val="2"/>
      </rPr>
      <t>Fremdleistungen</t>
    </r>
    <r>
      <rPr>
        <sz val="10"/>
        <color theme="1"/>
        <rFont val="Arial"/>
        <family val="2"/>
      </rPr>
      <t xml:space="preserve"> sind Leistungen durch Dritte</t>
    </r>
  </si>
  <si>
    <r>
      <rPr>
        <b/>
        <sz val="10"/>
        <color theme="1"/>
        <rFont val="Arial"/>
        <family val="2"/>
      </rPr>
      <t>Leistungen des Trägers</t>
    </r>
    <r>
      <rPr>
        <sz val="10"/>
        <color theme="1"/>
        <rFont val="Arial"/>
        <family val="2"/>
      </rPr>
      <t xml:space="preserve"> sind Leistungen, die nicht durch Personal der Einrichtung, sondern beim bzw. durch den Träger erbracht werden.</t>
    </r>
  </si>
  <si>
    <r>
      <t xml:space="preserve">In der auszufüllenden Übersicht sind ausschließlich Sachaufwendungen einzutragen, die </t>
    </r>
    <r>
      <rPr>
        <b/>
        <u/>
        <sz val="10"/>
        <rFont val="Arial"/>
        <family val="2"/>
      </rPr>
      <t>nicht</t>
    </r>
    <r>
      <rPr>
        <b/>
        <sz val="10"/>
        <rFont val="Arial"/>
        <family val="2"/>
      </rPr>
      <t xml:space="preserve"> durch das in der Pflegeeinrichtung beschäftigte Personal erbracht werden.</t>
    </r>
  </si>
  <si>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</si>
  <si>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</si>
  <si>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</si>
  <si>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</si>
  <si>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 Lebensmittel 
- Getränke
- hochkalorische Lebensmittel
- diätische Lebensmittel
- Lebensmittelaufwand für fremdbezogene Verpflegung</t>
  </si>
  <si>
    <t>- keine Sondennahrung
- keine Lebensmittel für Externe (Betreutes Wohnen, Kindergarten o.Ä.)
- bei Fremdbezug der Verpflegung nur Lebensmittel, im übrigen siehe Fremdleistung Küche</t>
  </si>
  <si>
    <t>pflegerischer Bedarf</t>
  </si>
  <si>
    <t>- zum Verbrauch bestimmte Pflegehilfsmittel (z.B. Desinfektionsmittel, saugende Bettschutzeinlagen zum Einmalgebrauch, Schutzbekleidung wie Fingerlinge, Einmalhandschuhe, Mundschutz und Schutzschürzen)
- Pflegedokumentation (auch Software) einschließlich Wartung und Pflege der Software (z.B. Updates, Hotlines) 
- Fachliteratur "Pflege" 
- Erste-Hilfe-Ausstattung</t>
  </si>
  <si>
    <t>- kein Inkontinenzmaterial nach SGB V
- keine sonstigen Hilfsmittel nach SGB V
- aktivierungsfähige Pflegehilfsmittel (z.B. Antidekubitussysteme -sofern keine SGB V-Leistung-, Kopfwaschanlagen, Bettpfannen) werden über Investitionskosten finanziert 
- Anschaffung der Hardware der Pflegedokumentation über Investkosten
- kein Aufwand für die übliche Körper- und Gesundheitspflege (z.B. Friseur, Monatshygiene, persönliche Toilettenartikel)</t>
  </si>
  <si>
    <t>Wasser / Energie / Brennstoffe</t>
  </si>
  <si>
    <t>- Wasserver- und Entsorgung (Kosten des Verbrauchs von Wasser und Kosten/Gebühren für die Entwässerung; keine Beiträge)   
- Energie (Elektrizität)
- Brennstoffe (Gas, Heizöl, Fernwärme, Kohle)
- Kraftstoffe für Versorgungsfahrten</t>
  </si>
  <si>
    <t xml:space="preserve">- bei Mietverträgen: Betriebskosten
- soweit Fremdleistungen in der Einrichtung erbracht werden, ist zur Zuordnung der Sachkostenanteile Stellung zu nehmen
- soweit durch die Einrichtung Leistungen für Dritte (z.B. Betreutes Wohnen, Kindergarten, Cafeteria) erbracht werden, sind die entsprechenden Kostenanteile abzuziehen
- soweit mehrere Versorgungsangebote unter einem Dach vorgehalten werden, sind die Kosten entsprechend zuzuordnen
- Kraftstoffe nicht für Fahrkosten der Tagespflege </t>
  </si>
  <si>
    <t xml:space="preserve">- Büromaterial
- Bankgebühren (keine Zinsen)
- Telefonkosten
- Porto
- Öffentlichkeitsarbeit
- Personalbeschaffungskosten
- Heimzeitung
- Fachliteratur (nicht Pflege)
- Reisekosten im Rahmen von Verwaltungsangelegenheiten
</t>
  </si>
  <si>
    <t>- hier nur den Verwaltungsbedarf der Einrichtung angeben, nicht aber der Zentralen Verwaltung</t>
  </si>
  <si>
    <t>Zentrale Verwaltung</t>
  </si>
  <si>
    <r>
      <t>- Rechts- und Steuerberatungskosten*
-</t>
    </r>
    <r>
      <rPr>
        <i/>
        <sz val="10"/>
        <rFont val="Arial"/>
        <family val="2"/>
      </rPr>
      <t xml:space="preserve"> </t>
    </r>
    <r>
      <rPr>
        <sz val="10"/>
        <rFont val="Arial"/>
        <family val="2"/>
      </rPr>
      <t>Anteil Geschäftsführung*
- Zentraler Einkauf*
- Zentrale (Finanz-)Buchhaltung*
- Zentrale Personalverwaltung und Gehaltsabrechnung*
- Controlling*
- Facilitymanagement*
- Zentraler Verwaltungsbedarf*
- Betriebsrat*
- Verwaltungsumlage*
- sonstige Kosten der Verwaltung des Trägers*</t>
    </r>
  </si>
  <si>
    <t>siehe Fremdleistung Verwaltung
* Der betriebsinterne Umlagenschlüssel auf die Einrichtung ist darzustellen!</t>
  </si>
  <si>
    <t>- Aufwand für pflegebezogene Betreuung und Beschäftigung (z.B. Bastelbedarf, Tageszeitung, Spiele, Tierhaltung)
- Aufwand für Gemeinschaftsveranstaltungen (z.B. Feiern, Geschenke, kulturelle Betreuung, Ausflüge, Freizeitgestaltung, Hausschmuck, Heimbücherei)</t>
  </si>
  <si>
    <t>ab 1.1.2017 mit Aufwendungen für § 43b SGB XI</t>
  </si>
  <si>
    <t>- Wäschereinigungsmittel, Pflegemittel
- Gebäude- und Raumreinigungsmittel
- Geschirrspülmittel
- Flächendesinfektionsmittel
- Seife
- Toilettenpapier
- Streusalz
- Sachmittel Gartenpflege
- Müllsäcke
- nicht aktivierungsfähige Wirtschaftsgüter</t>
  </si>
  <si>
    <t>Steuern / Abgaben / Versicherungen</t>
  </si>
  <si>
    <t>- Steuern (Grundsteuer, KfZ-Steuer)
- Abgaben und Gebühren (z.B. GEZ, GEMA, Müllentsorgung, Straßenreinigung, TÜV, Schornsteinfeger, Aufschaltung der Brandmeldeanlagen)
- Versicherungen (z.B. Gebäudehaftpflichtversicherung, KfZ-Versicherung, Betriebshaftpflichtversicherung, Elementarversicherung)
- Verbandsbeiträge</t>
  </si>
  <si>
    <t>- gilt nicht für Fahrzeuge im Rahmen der Tagespflege</t>
  </si>
  <si>
    <t>Wartung</t>
  </si>
  <si>
    <t>- Aufzug
- Pflegebetten und sonst. elektrische Geräte
- Rufanlage
- Pflegerollstühle, -rollatoren
- Pflegebadewanne, -lifter
- Kopierer
- Brandschutz- und -meldeanlagen
- Automatiktüren
- Lüftungsanlagen
- Telefonanlage
- EDV-Anlage
- technische Anlagen (z.B. Heizung)</t>
  </si>
  <si>
    <t>- keine Instandhaltung oder Instandsetzung</t>
  </si>
  <si>
    <t>Sonstige Aufwendungen</t>
  </si>
  <si>
    <t>- Aufwandsentschädigung für ehrenamtliche Mitarbeiter (soweit nicht anderweitig finanziert)
- sonstige nicht zuordenbare Kosten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</si>
  <si>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</si>
  <si>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</si>
  <si>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</si>
  <si>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</si>
  <si>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</si>
  <si>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</si>
  <si>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</si>
  <si>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Verwaltung</t>
  </si>
  <si>
    <t>Gesamtkosten der durch Dritte/Externe erbrachten Verwaltungsleistungen, z.B. Jahresabschlusskosten, Buchführung und Lohnrechnung, Rechtsberatung</t>
  </si>
  <si>
    <t>Fremdleistung Sonstiges</t>
  </si>
  <si>
    <t xml:space="preserve">Gesamtkosten des externen Anbieters, z.B. Wachdienst, externe Betreuungsleistungen (Tiertherapie), Rezeption, Servicemitarbeiter (Hauswirtschaft) </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</si>
  <si>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</si>
  <si>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</si>
  <si>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</si>
  <si>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</si>
  <si>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</si>
  <si>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</si>
  <si>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</si>
  <si>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</si>
  <si>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</si>
  <si>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</si>
  <si>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</si>
  <si>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</si>
  <si>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</si>
  <si>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</si>
  <si>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</si>
  <si>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</si>
  <si>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</si>
  <si>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</si>
  <si>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Mitglieder</t>
  </si>
  <si>
    <t>vdek - Landesvertretung Sachsen</t>
  </si>
  <si>
    <t>Glacisstr. 4</t>
  </si>
  <si>
    <t>Techniker Krankenkasse (TK)</t>
  </si>
  <si>
    <t>01099 Dresden</t>
  </si>
  <si>
    <t>DAK-Gesundheit</t>
  </si>
  <si>
    <t>Kaufmännische Krankenkasse - KKH</t>
  </si>
  <si>
    <t>Verband der Privaten Kranken-</t>
  </si>
  <si>
    <t>versicherung e.V.</t>
  </si>
  <si>
    <t>Barmer</t>
  </si>
  <si>
    <t>Handelskrankenkasse (hkk)</t>
  </si>
  <si>
    <t>HEK - Hanseatische Krankenkasse</t>
  </si>
  <si>
    <t xml:space="preserve">Freiwillige Dienste </t>
  </si>
  <si>
    <t>Anzahl</t>
  </si>
  <si>
    <t xml:space="preserve">FSJ Einsatzstellen </t>
  </si>
  <si>
    <r>
      <t>Freiwillige Dienste, FSJ</t>
    </r>
    <r>
      <rPr>
        <b/>
        <sz val="10"/>
        <color rgb="FFFF0000"/>
        <rFont val="Arial"/>
        <family val="2"/>
      </rPr>
      <t xml:space="preserve"> </t>
    </r>
  </si>
  <si>
    <t>(inkl. Risiko/Wagnis)</t>
  </si>
  <si>
    <t>- wie steuerrechtliche Maßgaben: 
&lt;250 € Wirtschaftsbedarf
&gt;250 € Investkosten</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</si>
  <si>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</si>
  <si>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</si>
  <si>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</si>
  <si>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</si>
  <si>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</si>
  <si>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</si>
  <si>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</si>
  <si>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</si>
  <si>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</si>
  <si>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</si>
  <si>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</si>
  <si>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</si>
  <si>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</si>
  <si>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</si>
  <si>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Gesamt in €/Jahr</t>
  </si>
  <si>
    <t>Ø  in € je Stelle/Jahr</t>
  </si>
  <si>
    <t>Freiwillige Dienste</t>
  </si>
  <si>
    <t>FSJ</t>
  </si>
  <si>
    <t>Unternehmerrisiko</t>
  </si>
  <si>
    <t>Ansprechpartner/ Funktion</t>
  </si>
  <si>
    <t>Kosten je Stelle</t>
  </si>
  <si>
    <t xml:space="preserve">durchschnittliche Bruttopersonal-kosten </t>
  </si>
  <si>
    <t>(inkl. Personalneben-kosten, Unternehmer-risiko)</t>
  </si>
  <si>
    <t>(ohne Personalneben-kosten, Unternehmer-risiko)</t>
  </si>
  <si>
    <t>Humboldtstraße 18</t>
  </si>
  <si>
    <t>04105 Leipzig</t>
  </si>
  <si>
    <t>vereinbarungen-pflege@ksv-sachsen.de</t>
  </si>
  <si>
    <t>steuerfreie Sachbezüge im Sinne § 8 Abs. 2 EStG</t>
  </si>
  <si>
    <t>Ort der Einrichtung:</t>
  </si>
  <si>
    <t>Antrag vom:</t>
  </si>
  <si>
    <t>Beschäftigungsgruppen nach GVWG</t>
  </si>
  <si>
    <t>stellv. PDL</t>
  </si>
  <si>
    <t>PFK/BFK</t>
  </si>
  <si>
    <t>PK/BK</t>
  </si>
  <si>
    <t>PK/BK o.</t>
  </si>
  <si>
    <t>VWL</t>
  </si>
  <si>
    <t>sv-pflichtig</t>
  </si>
  <si>
    <t>sv-frei</t>
  </si>
  <si>
    <r>
      <rPr>
        <b/>
        <u/>
        <sz val="10"/>
        <rFont val="Arial"/>
        <family val="2"/>
      </rPr>
      <t>monatliche</t>
    </r>
    <r>
      <rPr>
        <b/>
        <sz val="10"/>
        <rFont val="Arial"/>
        <family val="2"/>
      </rPr>
      <t xml:space="preserve"> Zahlungen (AN-Brutto) in €</t>
    </r>
    <r>
      <rPr>
        <b/>
        <u/>
        <sz val="10"/>
        <rFont val="Arial"/>
        <family val="2"/>
      </rPr>
      <t xml:space="preserve"> je Stellenanteil </t>
    </r>
  </si>
  <si>
    <t>unmittelbare Bindung Tarif/ AVR:</t>
  </si>
  <si>
    <t>Welche/r Tarif/AVR</t>
  </si>
  <si>
    <t>regional übliches Entgelt</t>
  </si>
  <si>
    <t>mtl. VWL</t>
  </si>
  <si>
    <t xml:space="preserve">Entlohnung der Pflege-/Betreuungsmitarbeiter entsprechend der Vorgaben </t>
  </si>
  <si>
    <t>Beschätigungsgruppe</t>
  </si>
  <si>
    <t xml:space="preserve"> mind. 3 Jahre Berufsausbildung</t>
  </si>
  <si>
    <t>mind. 1 Jahr Berufsausbildung</t>
  </si>
  <si>
    <t>ohne mind. 1 Jahr Berufsausbildung</t>
  </si>
  <si>
    <t>mtl. Arbeitszeit (40 h/Woche)</t>
  </si>
  <si>
    <t>VK</t>
  </si>
  <si>
    <t>VK alle Beschäftigungsgruppen</t>
  </si>
  <si>
    <t xml:space="preserve">Anteil je Beschäftigungsgruppe </t>
  </si>
  <si>
    <t>einrichtungsindividuelles Entgeltniveau</t>
  </si>
  <si>
    <t>Gesamtbruttopersonalkosten je Jahr</t>
  </si>
  <si>
    <t>Entlohnung nach:</t>
  </si>
  <si>
    <t xml:space="preserve">arbeitszeitnormierter Stundenlohn </t>
  </si>
  <si>
    <t>mtl. Grundgehalt inkl. Besitzstand</t>
  </si>
  <si>
    <t>Besitzstand</t>
  </si>
  <si>
    <t>Tarif/AVR maßgebend</t>
  </si>
  <si>
    <t>gehe weiter zu Personalkostenaufstellung</t>
  </si>
  <si>
    <t>Bewohnervertretung</t>
  </si>
  <si>
    <t>Bewohnerfürsprecher *</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</si>
  <si>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</si>
  <si>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</si>
  <si>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</si>
  <si>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</si>
  <si>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</si>
  <si>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</si>
  <si>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</si>
  <si>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</si>
  <si>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</si>
  <si>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Bewohnervertretung oder Bewohnerfürsprecher haben diese nicht wahrgenommen</t>
  </si>
  <si>
    <t>Bewohnervertretung oder Bewohnerfürsprecher nicht vorhanden,</t>
  </si>
  <si>
    <t>(schriftliche Mitteilung des Trägers der Einrichtung an die zuständige Behörde beifügen)</t>
  </si>
  <si>
    <t>c)</t>
  </si>
  <si>
    <t>Einbeziehung der Bewohnervertretung / des Bewohnerfürsprechers:</t>
  </si>
  <si>
    <t>Der vorliegende Antrag auf Abschluss einer neuen Pflegesatzvereinbarung, die zu einer Erhöhung der</t>
  </si>
  <si>
    <t>ausführlich dargestellt und auf die Möglichkeit an der Pflegesatzverhandlung teilzunehmen hingewiesen.</t>
  </si>
  <si>
    <t>Stellungnahme der Bewohnervertretung / des Bewohnerfürsprechers:</t>
  </si>
  <si>
    <t>Ort, Datum</t>
  </si>
  <si>
    <t>Unterschrift des Vorsitzenden der Bewohnervertretung</t>
  </si>
  <si>
    <t>oder des Bewohnerfürsprechers</t>
  </si>
  <si>
    <t>gehe weiter zu Bewohnervertretung</t>
  </si>
  <si>
    <t>Nachrichtliche Angaben zum Zeitpunkt der Antragstellung und nicht Gegenstand dieses Antrages</t>
  </si>
  <si>
    <t>Ausbildungsbetrieb und/oder Praktikumsbetrieb nach dem Pflegeberufegesetz</t>
  </si>
  <si>
    <t>pflegesatzverhandlungen_sachsen@plus.aok.de</t>
  </si>
  <si>
    <t>Datum der 
Änderung</t>
  </si>
  <si>
    <t>Tabellenblatt</t>
  </si>
  <si>
    <t>Zeile/Spalte</t>
  </si>
  <si>
    <t>Erläuterung der Änderung</t>
  </si>
  <si>
    <t>Hinweise für die Anwender</t>
  </si>
  <si>
    <t>Heidestraße 40</t>
  </si>
  <si>
    <t>10557 Berlin</t>
  </si>
  <si>
    <t>€/Tag</t>
  </si>
  <si>
    <t xml:space="preserve">Belegungstage </t>
  </si>
  <si>
    <t>Zulassungsdatum der Pflegeeinrichtung:</t>
  </si>
  <si>
    <t>letzter Vereinbarungszeitraum</t>
  </si>
  <si>
    <t xml:space="preserve"> von</t>
  </si>
  <si>
    <t>Hinweisfeld</t>
  </si>
  <si>
    <t>Felder mit Hinweisen und Fehlermeldungen werden blau (="ja") bzw. weiß (="nein") hinterlegt</t>
  </si>
  <si>
    <t>verguetung-pflege.sac@vdek.com</t>
  </si>
  <si>
    <t>BARMER</t>
  </si>
  <si>
    <t>Landesvertretung Sachsen</t>
  </si>
  <si>
    <t>Postfach 12 03 65</t>
  </si>
  <si>
    <t>pflegeverhandlungen-sachsen@ikk-classic.de</t>
  </si>
  <si>
    <t>vertrag.chemnitz@kbs.de</t>
  </si>
  <si>
    <t>Pflege-SN@bkkmitte.de</t>
  </si>
  <si>
    <t>und</t>
  </si>
  <si>
    <t xml:space="preserve">pflegesatzverhandlungen_sachsen@barmer.de </t>
  </si>
  <si>
    <t>pflege@pkv.de</t>
  </si>
  <si>
    <t>Personalkostenaufstellung nach Tätigkeit und Vergütungsgruppe</t>
  </si>
  <si>
    <t>PDL/stellv. PDL</t>
  </si>
  <si>
    <t>IK:</t>
  </si>
  <si>
    <t>STD_VG_PFK/BFK</t>
  </si>
  <si>
    <t>STD_VG_PK/BK</t>
  </si>
  <si>
    <t>STD_VG_PK/BK o.</t>
  </si>
  <si>
    <t>STD_VG_einr. ind.En.</t>
  </si>
  <si>
    <t>VK_PFK/BFK</t>
  </si>
  <si>
    <t>VK_PK/BK</t>
  </si>
  <si>
    <t>VK_PK/BK o.</t>
  </si>
  <si>
    <t>PFK/BFK - Ges.PK €/VK/J</t>
  </si>
  <si>
    <t>PK/BK - Ges.PK €/VK/J</t>
  </si>
  <si>
    <t>PK/BK o. - Ges.PK €/VK/J</t>
  </si>
  <si>
    <t xml:space="preserve">Zeitraum der 12 Kalendermonate: </t>
  </si>
  <si>
    <t xml:space="preserve">             </t>
  </si>
  <si>
    <t>Sozialversicherungsbeitrag "geringfügig Beschäftigte"</t>
  </si>
  <si>
    <t xml:space="preserve">Angaben beziehen sich auf den o.g. Zeitraum </t>
  </si>
  <si>
    <t>Pseudonym Nummer (bei geringfügig Beschäftigten bitte GfB eingeben)</t>
  </si>
  <si>
    <t>durchschnittlicher Stellenanteil VK/Jahr</t>
  </si>
  <si>
    <t>Arbeitnehmer-bruttopersonal-kosten in € je Stellenanteil/Jahr</t>
  </si>
  <si>
    <t>Arbeitgeber-bruttopersonal-kosten (inkl. SV-AG) in € je Stellenanteil/Jahr</t>
  </si>
  <si>
    <t>Arbeitgeber-bruttopersonal-kosten (inkl. SV-AG) in € je VK/Jahr</t>
  </si>
  <si>
    <t xml:space="preserve">Differenzierung nach Beschäftigungs-gruppen / Funktion </t>
  </si>
  <si>
    <t>Stellenanteil je VK</t>
  </si>
  <si>
    <t>Entgeltgruppe</t>
  </si>
  <si>
    <t xml:space="preserve">monatlicher Grundlohn/-gehalt in € je </t>
  </si>
  <si>
    <t>regelmäßige Jahressonderzahlungen je Stellenanteil und Jahr</t>
  </si>
  <si>
    <r>
      <rPr>
        <b/>
        <u/>
        <sz val="10"/>
        <rFont val="Arial"/>
        <family val="2"/>
      </rPr>
      <t>monatliche</t>
    </r>
    <r>
      <rPr>
        <b/>
        <sz val="10"/>
        <rFont val="Arial"/>
        <family val="2"/>
      </rPr>
      <t xml:space="preserve"> Zahlungen (AN-Brutto) in € je Stellenanteil</t>
    </r>
  </si>
  <si>
    <r>
      <t>durchschnittliche  Arbeitgeber-bruttopersonalkosten (inkl. SV-AG)  in €</t>
    </r>
    <r>
      <rPr>
        <b/>
        <u/>
        <sz val="10"/>
        <rFont val="Arial"/>
        <family val="2"/>
      </rPr>
      <t xml:space="preserve"> je Stellenanteil</t>
    </r>
  </si>
  <si>
    <r>
      <t>durchschnittliche Gesamt-
bruttopersonalkosten in €</t>
    </r>
    <r>
      <rPr>
        <b/>
        <u/>
        <sz val="10"/>
        <rFont val="Arial"/>
        <family val="2"/>
      </rPr>
      <t xml:space="preserve"> je VK</t>
    </r>
  </si>
  <si>
    <r>
      <t xml:space="preserve">Bitte auswählen! Angabe Grundlohn/-gehalt je VK </t>
    </r>
    <r>
      <rPr>
        <b/>
        <u/>
        <sz val="10"/>
        <color rgb="FFFF0000"/>
        <rFont val="Arial"/>
        <family val="2"/>
      </rPr>
      <t>oder</t>
    </r>
    <r>
      <rPr>
        <b/>
        <sz val="10"/>
        <color rgb="FFFF0000"/>
        <rFont val="Arial"/>
        <family val="2"/>
      </rPr>
      <t xml:space="preserve"> je Stellenanteil</t>
    </r>
  </si>
  <si>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</si>
  <si>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Rufbereitschaft, Bereitschaftsdienst</t>
  </si>
  <si>
    <r>
      <rPr>
        <b/>
        <u/>
        <sz val="10"/>
        <rFont val="Arial"/>
        <family val="2"/>
      </rPr>
      <t>variable</t>
    </r>
    <r>
      <rPr>
        <b/>
        <sz val="10"/>
        <rFont val="Arial"/>
        <family val="2"/>
      </rPr>
      <t xml:space="preserve"> pflegetypische Zuschläge (Sonntags-,Feiertags-und Nachtzuschläge)</t>
    </r>
  </si>
  <si>
    <t>weitere zusätzliche Zuschläge/Zulagen / betriebliche Altersversorgung</t>
  </si>
  <si>
    <t>VK 
(nachrichtlich)</t>
  </si>
  <si>
    <t xml:space="preserve">sv-pflichtig </t>
  </si>
  <si>
    <t xml:space="preserve">sv-frei </t>
  </si>
  <si>
    <t>mtl. pflegetypische fixe Zulagen</t>
  </si>
  <si>
    <t>mtl. Rufbereitschaft/ Bereitschaftsdienst</t>
  </si>
  <si>
    <t>mtl. Einmalzahlungen</t>
  </si>
  <si>
    <t>mtl. Grundgehalt</t>
  </si>
  <si>
    <t>mtl. Rufbereitschaft/ Bereitschaftsschaftsdienst</t>
  </si>
  <si>
    <t>1.2. Pflege / Betreuung</t>
  </si>
  <si>
    <t>1.2.1. Pflege- / Betreuungsfachkräfte mit mind. dreijähriger Berufsausbildung</t>
  </si>
  <si>
    <t>1.2.1. Pflege- / Betreuungsfachkräfte mit mind. dreijähriger Berufsausbildung (inkl. Stellenanteil PDL / stellvertretende PDL oberhalb der Rahmenvertragsvorgaben)</t>
  </si>
  <si>
    <t>bei der Berechnung des GVWG bleibt die PDL, stellv. PDL unberücksichtigt!</t>
  </si>
  <si>
    <t>Leiharbeitnehmer</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</si>
  <si>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</si>
  <si>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</si>
  <si>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</si>
  <si>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</si>
  <si>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</si>
  <si>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1.2. Summe Pflege / Betreuung:</t>
  </si>
  <si>
    <t>1.3. Zusätzliche Betreuung und Aktivierung nach § 43b SGB XI</t>
  </si>
  <si>
    <t>1.3. Summe Zusätzliche Betreuung und Aktivierung nach § 43b SGB XI</t>
  </si>
  <si>
    <t>fixe, regelm. Entlohnung je VK/M</t>
  </si>
  <si>
    <t>Ort</t>
  </si>
  <si>
    <t>PLZ</t>
  </si>
  <si>
    <t>1.4. Leitung / Verwaltung</t>
  </si>
  <si>
    <t>1.5. Hauswirtschaft, Küche, Haustechnik</t>
  </si>
  <si>
    <t>1.5. Summe Hauswirtschaft, Küche, Haustechnik:</t>
  </si>
  <si>
    <t>1.6. Sonstige Mitarbeiter</t>
  </si>
  <si>
    <t>1.6. Summe sonstige Mitarbeiter:</t>
  </si>
  <si>
    <t>1.1. Pflegedienstleitung / stellvertretende Pflegedienstleitung</t>
  </si>
  <si>
    <t>1.1. Summe Pflegedienstleitung / stellvertretende Pflegedienstleitung:</t>
  </si>
  <si>
    <t>Pflege- und Betreuungskräfte mit mind. einjähriger Berufsausbildung im Funktionsbereich Hauswirtschaft, Küche, Haustechnik</t>
  </si>
  <si>
    <t>Personalmenge lt. RV</t>
  </si>
  <si>
    <t>Pflege/Betreuung</t>
  </si>
  <si>
    <t>Leitung</t>
  </si>
  <si>
    <t>Hawi, Kü, HAT</t>
  </si>
  <si>
    <t>43b</t>
  </si>
  <si>
    <t>Personal</t>
  </si>
  <si>
    <t>PDL / stellvertretende PDL</t>
  </si>
  <si>
    <t>Pflege / Betreuung</t>
  </si>
  <si>
    <t>1.2.1.</t>
  </si>
  <si>
    <t>1.2.2.</t>
  </si>
  <si>
    <t>1.2.3.</t>
  </si>
  <si>
    <t xml:space="preserve">Pflege- / Betreuungsfachkräfte mit mind. dreijähriger Berufsausbildung </t>
  </si>
  <si>
    <t>Pflege- / Betreuungskräfte ohne mind. einjähriger Berufsausbildung</t>
  </si>
  <si>
    <t>Pflege- / Betreuungskräfte mit mind. einjähriger Berufsausbildung</t>
  </si>
  <si>
    <t>Gesamt Pflege / Betreuung</t>
  </si>
  <si>
    <t>Hauswirtschaft / Küche / Haustechnik</t>
  </si>
  <si>
    <t>Pflegegrad 1 bis Pflegegrad 5:</t>
  </si>
  <si>
    <t>Entgelte für Pflege, Unterkunft und Verpflegung in Kurzzeitpflegeeinrichtungen nach § 42 SGB XI</t>
  </si>
  <si>
    <t xml:space="preserve">führen kann, wurde uns vom Einrichtungsträger vorgelegt und erläutert. Die dem Antrag zugrunde   </t>
  </si>
  <si>
    <t xml:space="preserve">liegenden Einzelpositionen, der Umlagemaßstab sowie die Antragsbegründung wurden </t>
  </si>
  <si>
    <r>
      <t xml:space="preserve">Aufwendungen für Leistungen im </t>
    </r>
    <r>
      <rPr>
        <b/>
        <sz val="10"/>
        <color theme="1"/>
        <rFont val="Arial"/>
        <family val="2"/>
      </rPr>
      <t>Pflegegrad 1 bis 5</t>
    </r>
  </si>
  <si>
    <t>Aufwendungen für Leistungen im Pflegegrad 1 bis 5</t>
  </si>
  <si>
    <t>Aufwendungen 12 Kalendermonate</t>
  </si>
  <si>
    <t>Aufwendungen der 12 Kalendermonate:</t>
  </si>
  <si>
    <t>Bitte auswählen:</t>
  </si>
  <si>
    <t>vom:</t>
  </si>
  <si>
    <t>Belegungstage für diesen Zeitraum:</t>
  </si>
  <si>
    <t>2. Pflegesätze und Entgelte:</t>
  </si>
  <si>
    <t>Pflegegrad 1 bis 5</t>
  </si>
  <si>
    <t>Bruttopersonalkosten in € je Stelle/ Jahr</t>
  </si>
  <si>
    <t>Sind die Angaben im Antrag für:</t>
  </si>
  <si>
    <t>Ergebnis</t>
  </si>
  <si>
    <t>•</t>
  </si>
  <si>
    <t>Belegung_wö. Arbeitszeit</t>
  </si>
  <si>
    <t>Personalkostenaufstellung</t>
  </si>
  <si>
    <t>Personalaufwendungen</t>
  </si>
  <si>
    <t xml:space="preserve">Korrigieren Sie Ihre Angaben zu den o.g. Punkten in den jeweiligen Tabellenblättern.  </t>
  </si>
  <si>
    <t xml:space="preserve">Sobald ein Punkt mit "nein" bewertet wird, ist eine Berechnung der Pflegesätze, </t>
  </si>
  <si>
    <t>der Vergütungen für die Unterkunft und Verpflegung bzw. des Vergütungszuschlages gemäß § 43 b SGB XI nicht möglich.</t>
  </si>
  <si>
    <t>3. Prüfung</t>
  </si>
  <si>
    <t>check</t>
  </si>
  <si>
    <t>1.6.</t>
  </si>
  <si>
    <t>Pflege</t>
  </si>
  <si>
    <t>Unterkunft</t>
  </si>
  <si>
    <t>Verpflegung</t>
  </si>
  <si>
    <r>
      <t xml:space="preserve">Aufwendungen für 
</t>
    </r>
    <r>
      <rPr>
        <b/>
        <sz val="10"/>
        <color theme="1"/>
        <rFont val="Arial"/>
        <family val="2"/>
      </rPr>
      <t>§ 43b</t>
    </r>
    <r>
      <rPr>
        <sz val="10"/>
        <color theme="1"/>
        <rFont val="Arial"/>
        <family val="2"/>
      </rPr>
      <t xml:space="preserve"> SGB XI</t>
    </r>
  </si>
  <si>
    <t>Aufwendungen für § 43b SGB XI</t>
  </si>
  <si>
    <t>§ 43b SGB XI</t>
  </si>
  <si>
    <t>Plausi-Berechnungen für TAB Forderung</t>
  </si>
  <si>
    <t>Hauptbedingung</t>
  </si>
  <si>
    <t>Teilbedingung</t>
  </si>
  <si>
    <t>Erläuterung:</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</si>
  <si>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</si>
  <si>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Belegung Stichtag</t>
  </si>
  <si>
    <t>keine Pflicht bei Neueinrichtungen</t>
  </si>
  <si>
    <t>Pflichtangabe für alle LE außer für 1. Verhandlung einer Neueinrichtung</t>
  </si>
  <si>
    <t>Personalkosten (Ist)</t>
  </si>
  <si>
    <t>VK 43b &lt;&gt; 1 : 20</t>
  </si>
  <si>
    <t>VK-Angaben zum Stichtag</t>
  </si>
  <si>
    <t>Sachkosten Ist</t>
  </si>
  <si>
    <t xml:space="preserve">Anlagen zum Tarif/AVR </t>
  </si>
  <si>
    <t xml:space="preserve"> =&gt; Bedingung gilt für Tarifbinder und Anlehner, bei reg. Übl. En = Ergebnis LEER</t>
  </si>
  <si>
    <t>Gesamt - Check</t>
  </si>
  <si>
    <t>sobald eine Bedingung nicht erfüllt ist, werden die Pflegesätze, U+ V, 43 b nicht errechnet!</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</si>
  <si>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</si>
  <si>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 xml:space="preserve">desh. Regelanpassung unter folgender Betrachtung: Ist-Zeit (ab ...) TAB Belegung bis 15 M vor Antragstellung und </t>
  </si>
  <si>
    <t>Antragstellung max. 4 M vor LZ-Beginn, somit Ist- Zahlen Pflicht,  wenn zw. VV und LZ-Beginn mindestens 19 M liegen</t>
  </si>
  <si>
    <t>Wöchentliche Arbeitszeit</t>
  </si>
  <si>
    <t>Wöchentliche Arbeitszeit je Vollkraft laut Tarif / AVR / betrieblicher Regelung:</t>
  </si>
  <si>
    <t>1.3.1. Pflege- / Betreuungsfachkräfte mit mind. dreijähriger Berufsausbildung (inkl. Stellenanteil PDL / stellvertretende PDL oberhalb der Rahmenvertragsvorgaben)</t>
  </si>
  <si>
    <t>1.3.1. Pflege- / Betreuungsfachkräfte mit mind. dreijähriger Berufsausbildung</t>
  </si>
  <si>
    <t xml:space="preserve">1.3.2. Pflege- / Betreuungskräfte mit mind. einjähriger Berufsausbildung </t>
  </si>
  <si>
    <t>1.3.2. Summe Pflege- / Betreuungskräfte mit mind. einjähriger Berufsausbildung</t>
  </si>
  <si>
    <t>1.3.3. Pflege- / Betreuungskräfte ohne mind. einjährige Berufsausbildung</t>
  </si>
  <si>
    <t>1.3.3. Summe Pflege- / Betreuungskräfte ohne mind. einjähriger Berufsausbildung</t>
  </si>
  <si>
    <t>1.3.3. Summe Pflege- / Betreuungskräfte ohne mind. einjähriger Berufsausbildung:</t>
  </si>
  <si>
    <t>1.3.2. Summe Pflege- / Betreuungskräfte mit mind. einjähriger Berufsausbildung:</t>
  </si>
  <si>
    <t>1.3.3 Pflege- / Betreuungskräfte ohne mind. einjährige Berufsausbildung</t>
  </si>
  <si>
    <t>1.3.1. Summe Pflege- / Betreuungsfachkräfte mit mind. dreijähriger Berufsausbildung:</t>
  </si>
  <si>
    <t>durchschnittliche Gesamtbruttopersonalkosten je Stellenumfang</t>
  </si>
  <si>
    <t>VK-Zahl</t>
  </si>
  <si>
    <t>CheckMonate</t>
  </si>
  <si>
    <t>Divisor</t>
  </si>
  <si>
    <t>Berechnungstage/Jahr</t>
  </si>
  <si>
    <t>Pflege- und Betreuungskräfte ohne mind. einjähriger Berufsausbildung im Funktionsbereich Hauswirtschaft, Küche, Haustechnik)</t>
  </si>
  <si>
    <t>Pflege- und Betreuungskräfte ohne mind. einjähriger Berufsausbildung im Funktionsbereich Hauswirtschaft, Küche, Haustechnik</t>
  </si>
  <si>
    <r>
      <rPr>
        <b/>
        <sz val="11"/>
        <color theme="1"/>
        <rFont val="Arial"/>
        <family val="2"/>
      </rPr>
      <t>Angaben für den abgeschlossenen Zeitraum</t>
    </r>
    <r>
      <rPr>
        <b/>
        <sz val="11"/>
        <color rgb="FFFF0000"/>
        <rFont val="Arial"/>
        <family val="2"/>
      </rPr>
      <t xml:space="preserve"> - auf Basis 40 h / Woche je VK (siehe RV)</t>
    </r>
  </si>
  <si>
    <r>
      <t xml:space="preserve">Angaben für den Prognosezeitraum  - </t>
    </r>
    <r>
      <rPr>
        <b/>
        <sz val="11"/>
        <color rgb="FFFF0000"/>
        <rFont val="Arial"/>
        <family val="2"/>
      </rPr>
      <t>auf Basis 40 h / Woche je VK ( siehe RV)</t>
    </r>
  </si>
  <si>
    <t>Sachaufwendungen - Fremdleistungen/Leistungen des Trägers für die Pflegeeinrichtung</t>
  </si>
  <si>
    <t>Aufwendungen  12 Kalendermonate</t>
  </si>
  <si>
    <t xml:space="preserve">Gesamtsumme </t>
  </si>
  <si>
    <t>Auslastung (%)</t>
  </si>
  <si>
    <t>letzten 24 Kalendermonate</t>
  </si>
  <si>
    <t>Stellungnahme der Bewohnervertretung gem. § 85 Abs. 3 SGB XI</t>
  </si>
  <si>
    <t>* Im Sinne der besseren Lesbarkeit wurde stellvertretend für alle Geschlechtsformen durchgehend nur die männliche Form verwendet.</t>
  </si>
  <si>
    <t>kalkulatorischer Auslastungsquote:</t>
  </si>
  <si>
    <t>errechnete Pflegesätze (€ / Tag):</t>
  </si>
  <si>
    <t>Die ständige Anwesenheit einer Pflegefachperson wird sichergestellt.</t>
  </si>
  <si>
    <t>gemäß RV KZP ab.1.7.26, Orientierung an Antrag vollstationär, Eckwerte auf KAT</t>
  </si>
  <si>
    <t>Beachte Link - richtige Stelle // Schutz mit Astrid (Link funktioniert nicht richtig in vst.)</t>
  </si>
  <si>
    <t xml:space="preserve"> neu: =WENN(UND(H50&gt;0;K65&lt;5,001);"Mappe 'Allgemeine Angaben' und Mappe 'Forderung' an den KSV senden!";"")</t>
  </si>
  <si>
    <t xml:space="preserve"> bisher: =WENN(UND(H50&gt;0;K65&lt;5);"Mappe 'Allgemeine Angaben' und Mappe 'Forderung' an den KSV senden!";"")</t>
  </si>
  <si>
    <t>K66</t>
  </si>
  <si>
    <t xml:space="preserve">Beteiligung als Vertragspartner, nur bei über 5% </t>
  </si>
  <si>
    <t>H30;J30;L30</t>
  </si>
  <si>
    <t>Summe korrigiert je von Zeile 20 bis 29</t>
  </si>
  <si>
    <t>K44</t>
  </si>
  <si>
    <t>bedingt formatiert als Plausifeld</t>
  </si>
  <si>
    <t xml:space="preserve"> =WENN(UND('Allgemeine Angaben'!K44&gt;0;ODER(C14="";C15=""));"Bitte Belegungszeitraum vollständig angeben";"")</t>
  </si>
  <si>
    <t>C17</t>
  </si>
  <si>
    <t>Formel passt, in Allgemeinen Angaben muss</t>
  </si>
  <si>
    <t>Differenz zw. VV-Beginn und LZ-Beginn berechnet</t>
  </si>
  <si>
    <t>( Daten von 24 Monaten sind erst, ab 30 M zw. Antrag und VV-Beginn vorhanden - Berücksichtigung Antragstellungszeitraum)</t>
  </si>
  <si>
    <t>alte Version K45 - wird durch Formel in K44 abgelöst</t>
  </si>
  <si>
    <t xml:space="preserve"> neu =WENN(UND(ODER('Allgemeine Angaben'!K44=30;'Allgemeine Angaben'!K44&gt;30);'Belegung_wö. Arbeitszeit'!C16&lt;24);"Belegung für letzten 24 Kalendermonate angeben.";"")</t>
  </si>
  <si>
    <t>C18</t>
  </si>
  <si>
    <t>sofern zw. VV-Beginn und Antragstellung 30 und mehr Monate liegen, sind IST Belegungen für 24 Monate anzugeben</t>
  </si>
  <si>
    <t>Belegung Ist (24 KM)</t>
  </si>
  <si>
    <t xml:space="preserve"> =WENN(H44=H50;0;WENN(UND(H44&gt;0;L4&gt;0);DATEDIF(H44;L4;"m");""))</t>
  </si>
  <si>
    <t>Berechnung Differenz in Monaten zwischen VV-Beginn und Antragsdatum, gleichzeitig wird wird bei Neueinrichtungen VV+ LZ-Beginn gleich das Ergebnis auf 0 gesetzt (bisher wurde das Ergebnis nicht korrekt für diese Fälle ausgerechnet)</t>
  </si>
  <si>
    <t>ständige Anwesenheit einer PFK (24 h)</t>
  </si>
  <si>
    <t>Angabe VV-Beginn</t>
  </si>
  <si>
    <t>Weitere Hilfsspalten für bedingte Formatierung je Plausi-Punkt</t>
  </si>
  <si>
    <t>Ergebnis - für bedingte Formatierung (Nr. 1 bis …)</t>
  </si>
  <si>
    <t>Abbildung in TAB Ford. * und Plausikriterium und</t>
  </si>
  <si>
    <t xml:space="preserve">  =&gt; je nach Ergebnis werden die Zellen in TAB Ford. Formatiert</t>
  </si>
  <si>
    <t>Ergebnistext ohne, Link ohne</t>
  </si>
  <si>
    <t>Ergebnistext, Link ohne</t>
  </si>
  <si>
    <t>Ergebnistext, Link</t>
  </si>
  <si>
    <r>
      <rPr>
        <b/>
        <sz val="10"/>
        <color theme="1"/>
        <rFont val="Arial"/>
        <family val="2"/>
      </rPr>
      <t xml:space="preserve"> 1</t>
    </r>
    <r>
      <rPr>
        <sz val="8"/>
        <color theme="1"/>
        <rFont val="Arial"/>
        <family val="2"/>
      </rPr>
      <t xml:space="preserve"> = Antrag leer</t>
    </r>
  </si>
  <si>
    <r>
      <rPr>
        <b/>
        <sz val="10"/>
        <color theme="1"/>
        <rFont val="Arial"/>
        <family val="2"/>
      </rPr>
      <t xml:space="preserve"> 2</t>
    </r>
    <r>
      <rPr>
        <sz val="8"/>
        <color theme="1"/>
        <rFont val="Arial"/>
        <family val="2"/>
      </rPr>
      <t xml:space="preserve"> = Zeit zw. VV+Antragsdatum &lt; 19 M</t>
    </r>
  </si>
  <si>
    <r>
      <rPr>
        <b/>
        <sz val="10"/>
        <color theme="1"/>
        <rFont val="Arial"/>
        <family val="2"/>
      </rPr>
      <t>3</t>
    </r>
    <r>
      <rPr>
        <sz val="10"/>
        <color theme="1"/>
        <rFont val="Arial"/>
        <family val="2"/>
      </rPr>
      <t xml:space="preserve"> </t>
    </r>
    <r>
      <rPr>
        <sz val="8"/>
        <color theme="1"/>
        <rFont val="Arial"/>
        <family val="2"/>
      </rPr>
      <t>= Q4 = 0 (erfüllt)</t>
    </r>
  </si>
  <si>
    <r>
      <rPr>
        <sz val="10"/>
        <color theme="1"/>
        <rFont val="Arial"/>
        <family val="2"/>
      </rPr>
      <t>4</t>
    </r>
    <r>
      <rPr>
        <sz val="8"/>
        <color theme="1"/>
        <rFont val="Arial"/>
        <family val="2"/>
      </rPr>
      <t xml:space="preserve"> = Q4= 1 (nicht erfüllt)</t>
    </r>
  </si>
  <si>
    <t>den Beginn des Versorgungsvertrages eingetragen?</t>
  </si>
  <si>
    <t>die Belegungsdaten zum Stichtag eingetragen?</t>
  </si>
  <si>
    <t>die Personalkosten (Ist) eingetragen?</t>
  </si>
  <si>
    <t>die PDL / stellv. PDL (Stellenumfang Prognose) entsprechend dem Rahmenvertrag?</t>
  </si>
  <si>
    <t>die ständige Anwesenheit einer Pflegefachperson sichergesellt?</t>
  </si>
  <si>
    <t>die Stellenbesetzung zum Stichtag erfasst?</t>
  </si>
  <si>
    <t>die Sachaufwendungen (Ist) erfasst?</t>
  </si>
  <si>
    <t>die Anlagen zum Tarif/ AVR beigefügt?</t>
  </si>
  <si>
    <t>Hilfsfeld für Formatierung - im TAB Ford.keine Anzeige der Plausifelder bei leeren Antrag (Antragsdatum + LZ-Beginn + Platzzahl leer + VV-Beginn) = Ergebnis 0,ansonsten 1</t>
  </si>
  <si>
    <r>
      <rPr>
        <b/>
        <sz val="10"/>
        <color rgb="FFFF0000"/>
        <rFont val="Arial"/>
        <family val="2"/>
      </rPr>
      <t xml:space="preserve"> 2</t>
    </r>
    <r>
      <rPr>
        <sz val="8"/>
        <color rgb="FFFF0000"/>
        <rFont val="Arial"/>
        <family val="2"/>
      </rPr>
      <t xml:space="preserve"> = VV = LZ-Beginn</t>
    </r>
  </si>
  <si>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</si>
  <si>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</si>
  <si>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r>
      <rPr>
        <b/>
        <sz val="10"/>
        <color theme="1"/>
        <rFont val="Arial"/>
        <family val="2"/>
      </rPr>
      <t xml:space="preserve"> 2</t>
    </r>
    <r>
      <rPr>
        <sz val="8"/>
        <color theme="1"/>
        <rFont val="Arial"/>
        <family val="2"/>
      </rPr>
      <t xml:space="preserve"> = Zeit zw. VV+Antragsdatum &lt; 19 M </t>
    </r>
  </si>
  <si>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</si>
  <si>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Personalkostenaufwendungen</t>
  </si>
  <si>
    <t xml:space="preserve">das zusätzliche Betreuungspersonal (Stellenumfang Prognose) entsprechend </t>
  </si>
  <si>
    <t>dem gesetzlichen Personalschlüssel (1 : 20)?</t>
  </si>
  <si>
    <r>
      <t xml:space="preserve">Bitte prüfen Sie Ihre Angaben in folgender </t>
    </r>
    <r>
      <rPr>
        <u/>
        <sz val="9"/>
        <color rgb="FF081EFC"/>
        <rFont val="Arial"/>
        <family val="2"/>
      </rPr>
      <t>Mappe</t>
    </r>
    <r>
      <rPr>
        <u/>
        <sz val="9"/>
        <color theme="1"/>
        <rFont val="Arial"/>
        <family val="2"/>
      </rPr>
      <t>:</t>
    </r>
  </si>
  <si>
    <t>IK_E</t>
  </si>
  <si>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</si>
  <si>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</si>
  <si>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</si>
  <si>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</si>
  <si>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</si>
  <si>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</si>
  <si>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</si>
  <si>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</si>
  <si>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</si>
  <si>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</si>
  <si>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</si>
  <si>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</si>
  <si>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</si>
  <si>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</si>
  <si>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</si>
  <si>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</si>
  <si>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</si>
  <si>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</si>
  <si>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</si>
  <si>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Verband</t>
  </si>
  <si>
    <t>Zulassungsdatum</t>
  </si>
  <si>
    <t>Platzzahl</t>
  </si>
  <si>
    <t>LFZ_ab</t>
  </si>
  <si>
    <t>LFZ_bis</t>
  </si>
  <si>
    <t>letzte_LFZ_ab</t>
  </si>
  <si>
    <t>letzte_LFZ_bis</t>
  </si>
  <si>
    <t>ANT_AOK</t>
  </si>
  <si>
    <t>ANT_vdek</t>
  </si>
  <si>
    <t>ANT_BKK</t>
  </si>
  <si>
    <t>ANT_IKK</t>
  </si>
  <si>
    <t>ANT_KBS</t>
  </si>
  <si>
    <t>ANT_PKV</t>
  </si>
  <si>
    <t>ANT_Sonstige_SVT</t>
  </si>
  <si>
    <t>dav_SHT</t>
  </si>
  <si>
    <t>Ausbildungsbetrieb</t>
  </si>
  <si>
    <t>Auslastung_E</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</si>
  <si>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</si>
  <si>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</si>
  <si>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</si>
  <si>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</si>
  <si>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</si>
  <si>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</si>
  <si>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</si>
  <si>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</si>
  <si>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</si>
  <si>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</si>
  <si>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</si>
  <si>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</si>
  <si>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wö_AZ_je_VK</t>
  </si>
  <si>
    <t>letzte12M_PKL_von</t>
  </si>
  <si>
    <t>letzte12M_PKL_bis</t>
  </si>
  <si>
    <t>PKL_PERS_IST_111_PDL-stellvPDL</t>
  </si>
  <si>
    <t>PKL_AG_Brutto_IST_111_PDL-stellvPDL</t>
  </si>
  <si>
    <t>PKL_PERS_IST_121_PFK/BFK</t>
  </si>
  <si>
    <t>PKL_AG_Brutto_IST_121_PFK/BFK</t>
  </si>
  <si>
    <t>PKL_PERS_IST_122_PK/BK</t>
  </si>
  <si>
    <t>PKL_AG_Brutto_IST_121_PK/BK</t>
  </si>
  <si>
    <t>PKL_PERS_IST_123_PK/BK o.</t>
  </si>
  <si>
    <t>PKL_AG_Brutto_IST_123_PK/BK o.</t>
  </si>
  <si>
    <t>PKL_PERS_IST_12_SUM</t>
  </si>
  <si>
    <t>PKL_AG_Brutto_IST_12_SUM</t>
  </si>
  <si>
    <t>PKL_PERS_IST_131_43b_PFK/BFK</t>
  </si>
  <si>
    <t>PKL_AG_Brutto_IST_131_43b_PFK/BFK</t>
  </si>
  <si>
    <t>PKL_PERS_IST_13_43b_SUM</t>
  </si>
  <si>
    <t>PKL_AG_Brutto_IST_13_43b_SUM</t>
  </si>
  <si>
    <t>PKL_PERS_IST_14_LuV</t>
  </si>
  <si>
    <t>PKL_AG_Brutto_IST_14_LuV</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</si>
  <si>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</si>
  <si>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</si>
  <si>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</si>
  <si>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</si>
  <si>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</si>
  <si>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</si>
  <si>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</si>
  <si>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</si>
  <si>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</si>
  <si>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</si>
  <si>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</si>
  <si>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</si>
  <si>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</si>
  <si>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</si>
  <si>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</si>
  <si>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</si>
  <si>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</si>
  <si>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</si>
  <si>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</si>
  <si>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PERS_STICHT_121_PFK/BFK</t>
  </si>
  <si>
    <t>PERS_STICHT_122_PK/BK</t>
  </si>
  <si>
    <t>PERS_STICHT_123_PK/BK o.</t>
  </si>
  <si>
    <t>PERS_STICHT_12_SUM</t>
  </si>
  <si>
    <t>PERS_STICHT_13_43b_SUM</t>
  </si>
  <si>
    <t>PERS_PROGN_111_PDL-stellvPDL</t>
  </si>
  <si>
    <t>PERS_PROGN_121_PFK/BFK</t>
  </si>
  <si>
    <t>PERS_PROGN_122_PK/BK</t>
  </si>
  <si>
    <t>PERS_PROGN_123_PK/BK o.</t>
  </si>
  <si>
    <t>PERS_PROGN_12_SUM</t>
  </si>
  <si>
    <t>PERS_PROGN_13_43b_SUM</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</si>
  <si>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</si>
  <si>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</si>
  <si>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</si>
  <si>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</si>
  <si>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</si>
  <si>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</si>
  <si>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</si>
  <si>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</si>
  <si>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</si>
  <si>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</si>
  <si>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</si>
  <si>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SK_Zeitraum_Wahl</t>
  </si>
  <si>
    <t>SK_ZEITR_VON</t>
  </si>
  <si>
    <t>SK_ZEITR_BIS</t>
  </si>
  <si>
    <t>SK_BT_abweichender Zeitraum</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</si>
  <si>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</si>
  <si>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</si>
  <si>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</si>
  <si>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</si>
  <si>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</si>
  <si>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</si>
  <si>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</si>
  <si>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</si>
  <si>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</si>
  <si>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</si>
  <si>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</si>
  <si>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</si>
  <si>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</si>
  <si>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FL_ZEITR_35_VW</t>
  </si>
  <si>
    <t>FL_ZEITR_37_ZEILE1</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</si>
  <si>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</si>
  <si>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</si>
  <si>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</si>
  <si>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</si>
  <si>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</si>
  <si>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</si>
  <si>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</si>
  <si>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</si>
  <si>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</si>
  <si>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</si>
  <si>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</si>
  <si>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</si>
  <si>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</si>
  <si>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</si>
  <si>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</si>
  <si>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FL_PROGN_34_REINIGUNG</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</si>
  <si>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</si>
  <si>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</si>
  <si>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</si>
  <si>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</si>
  <si>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</si>
  <si>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</si>
  <si>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</si>
  <si>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</si>
  <si>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</si>
  <si>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</si>
  <si>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</si>
  <si>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</si>
  <si>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</si>
  <si>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</si>
  <si>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</si>
  <si>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</si>
  <si>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</si>
  <si>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</si>
  <si>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FL_PROGN-BT_34_REINIGUNG</t>
  </si>
  <si>
    <t>FL_PROGN-BT_37_EINTR</t>
  </si>
  <si>
    <t>FL_PROGN-BT_37_ZEILE1</t>
  </si>
  <si>
    <t>FL_PROGN-BT_38_EINTR</t>
  </si>
  <si>
    <t>FL_PROGN-BT_38_ZEILE2</t>
  </si>
  <si>
    <t>FL_PROGN-BT_3_SUM</t>
  </si>
  <si>
    <t>SK_PROGN_UR_PROZ</t>
  </si>
  <si>
    <t>SK_PROGN_UR_BETR</t>
  </si>
  <si>
    <t>FORD_VK_111_PDL-stellvPDL</t>
  </si>
  <si>
    <t>FORD_VK_131_43b</t>
  </si>
  <si>
    <t>24./25.06.206</t>
  </si>
  <si>
    <t>KAT</t>
  </si>
  <si>
    <t>A35:L51</t>
  </si>
  <si>
    <t xml:space="preserve">Tabellen und Formeln für Plausibilitätsprüfung für TAB Forderung </t>
  </si>
  <si>
    <t>Forderung</t>
  </si>
  <si>
    <t>P31:P59</t>
  </si>
  <si>
    <t>3. Prüfung  - Prüfkriterien, Links, Bewertungsergebnis aus TAB KAT (A35:L51) mit Anzeige ja, nein, leer und der Anzeige der entsprechenden Links verformelt</t>
  </si>
  <si>
    <t>Verknüpfungstabelle</t>
  </si>
  <si>
    <t>eingefügt, Bezüge zu den Inhalten des Antrages hergestellt</t>
  </si>
  <si>
    <t>Formel für Berechnung PK €/VK/J inkl. PNK, stfreie % + UR in J15, J17; J19 hinterlegt, Schriftfarbe identisch mit Füllfarbe, somit nicht sichtbar</t>
  </si>
  <si>
    <t>die Belegungdaten (Ist) für 24 Monate eingetragen?</t>
  </si>
  <si>
    <t>F39</t>
  </si>
  <si>
    <t xml:space="preserve"> bisher =WENN(UND(ODER('Allgemeine Angaben'!K44=30;'Allgemeine Angaben'!K44&gt;30);'Belegung_wö. Arbeitszeit'!C16&lt;24);"Belegung für letzten 24 Kalendermonate angeben.";"")</t>
  </si>
  <si>
    <t>zw. BT IST - Beginn und LZ-Beginn dürfen nicht mehr als 30 M liegen</t>
  </si>
  <si>
    <t>C19</t>
  </si>
  <si>
    <t xml:space="preserve"> =WENN(DATEDIF(C14;'Allgemeine Angaben'!H50;"m")&gt;30;"Belegungsbeginn darf nicht mehr als 30 Monate vor Laufzeitbeginn liegen";"")  // bedingt formatiert als Plausi-Feld</t>
  </si>
  <si>
    <t>Beispiel:</t>
  </si>
  <si>
    <t>Antrag</t>
  </si>
  <si>
    <t>LZ</t>
  </si>
  <si>
    <t>Ist-Zeitraum ab</t>
  </si>
  <si>
    <t>frühestens</t>
  </si>
  <si>
    <t>VV - Beginn</t>
  </si>
  <si>
    <t>M zw. VV + LZ Beginn</t>
  </si>
  <si>
    <t>LE soll 24 M angeben, wenn zw. LZ-Beginn und VV-Beginn 30 M und mehr liegen, Korrektur der bish. Formel, damit ein BT-Zeitraum über 24 M nicht möglich ist!</t>
  </si>
  <si>
    <t>Zeitraum VV zu LZ-Beginn in M:</t>
  </si>
  <si>
    <r>
      <t xml:space="preserve">für die Wahl Zeitraumes von 19 Monaten zwischen </t>
    </r>
    <r>
      <rPr>
        <sz val="10"/>
        <color rgb="FFFF0000"/>
        <rFont val="Arial"/>
        <family val="2"/>
      </rPr>
      <t>LZ-Beginn</t>
    </r>
    <r>
      <rPr>
        <sz val="10"/>
        <color theme="1"/>
        <rFont val="Arial"/>
        <family val="2"/>
      </rPr>
      <t xml:space="preserve"> und VV-Beginn</t>
    </r>
  </si>
  <si>
    <t>LE muss BT für 24 M angeben, sofern zw. LZ-Beginn und VV-Beginn 30 M liegen, wenn LE eine Neueinrichtung ist, kann er keine BT angeben und wenn  zw. LZ-Beginn und dem VV-Beginn keine 30 M liegen,gibt der LE für einen kürzeren Zeitraum die BT angeben (mind. Abstand zw. VV + LZ-Beginn = 19 M)</t>
  </si>
  <si>
    <t>Formel korrigiert, Abstand zw. LZ- und VV-Beginn</t>
  </si>
  <si>
    <t xml:space="preserve">  =WENN(H44=H50;0;WENN(UND(H44&gt;0;L4&gt;0);DATEDIF(H44;H50;"m");""))</t>
  </si>
  <si>
    <t>VV-Beginn</t>
  </si>
  <si>
    <t>LZ-Beginn</t>
  </si>
  <si>
    <t>Diff. Zw. VV und LZ-Beginn</t>
  </si>
  <si>
    <t>Antrag - Datum (max. 4 M vor LZ-Beginn)</t>
  </si>
  <si>
    <t>1. Jahr</t>
  </si>
  <si>
    <t>2. Jahr</t>
  </si>
  <si>
    <t>3. Jahr</t>
  </si>
  <si>
    <t>4. Jahr</t>
  </si>
  <si>
    <t>BT-Beginn (max. 30 M vor LZ-Beginn)</t>
  </si>
  <si>
    <t xml:space="preserve">BT-Ende </t>
  </si>
  <si>
    <t>4 M vor LZ Beginn</t>
  </si>
  <si>
    <t>VV = LZ</t>
  </si>
  <si>
    <t>Prüfung BT-Angabe</t>
  </si>
  <si>
    <t>oder</t>
  </si>
  <si>
    <t xml:space="preserve">Diff. VV + LZ-Beginn </t>
  </si>
  <si>
    <t>BT-Angabe von 24 M ansonsten kein Angabe-Muss</t>
  </si>
  <si>
    <t>1. Version - entsprechend Hinweistext</t>
  </si>
  <si>
    <t>2. Version - entsprechend RV</t>
  </si>
  <si>
    <r>
      <t xml:space="preserve">Pflichtangabe, sofern Zeitraum zw. </t>
    </r>
    <r>
      <rPr>
        <sz val="10"/>
        <rFont val="Arial"/>
        <family val="2"/>
      </rPr>
      <t>LZ-Beginn</t>
    </r>
    <r>
      <rPr>
        <sz val="10"/>
        <color theme="1"/>
        <rFont val="Arial"/>
        <family val="2"/>
      </rPr>
      <t xml:space="preserve"> u. VV Beginn mind. 19 M umfasst! </t>
    </r>
  </si>
  <si>
    <t>Pflichtangabe, sofern Zeitraum zw. LZ-Beginn u. VV Beginn mind. 19 M umfasst!</t>
  </si>
  <si>
    <t>B216</t>
  </si>
  <si>
    <t>bisher: =B214+B190</t>
  </si>
  <si>
    <t>neu: B214+B190+B165</t>
  </si>
  <si>
    <t>neu: =WENNFEHLER(SUMME(C193:C213;C170:C189;C159:C164)/B216;0)</t>
  </si>
  <si>
    <t xml:space="preserve"> bisher: =WENNFEHLER(SUMME(C193:C213;C170:C189;)/B216;0)</t>
  </si>
  <si>
    <t>C216</t>
  </si>
  <si>
    <r>
      <rPr>
        <b/>
        <sz val="10"/>
        <color rgb="FFFF0000"/>
        <rFont val="Arial"/>
        <family val="2"/>
      </rPr>
      <t>Formel passt nicht ganz zu den Hinweisen aber zum RV:</t>
    </r>
    <r>
      <rPr>
        <sz val="10"/>
        <color theme="1"/>
        <rFont val="Arial"/>
        <family val="2"/>
      </rPr>
      <t xml:space="preserve"> =WENN(UND(ODER('Belegung_wö. Arbeitszeit'!C30=0;'</t>
    </r>
    <r>
      <rPr>
        <sz val="10"/>
        <rFont val="Arial"/>
        <family val="2"/>
      </rPr>
      <t>Belegung_wö. Arbeitszeit'!C16&lt;&gt;24</t>
    </r>
    <r>
      <rPr>
        <sz val="10"/>
        <color theme="1"/>
        <rFont val="Arial"/>
        <family val="2"/>
      </rPr>
      <t>);KAT!G35&gt;29,99);1;0)</t>
    </r>
  </si>
  <si>
    <t xml:space="preserve"> bisher: =D214+D190</t>
  </si>
  <si>
    <t>D216</t>
  </si>
  <si>
    <t>Ist-PK gesamt für 43b korr. - bisher ohne 1.3.1</t>
  </si>
  <si>
    <t>neu: =D214+D190+D165</t>
  </si>
  <si>
    <t xml:space="preserve"> Bisher: =WENNFEHLER(SUMME(C150:C150;C112:C149;#BEZUG!;C78:C108;C38:C69)/(B154-SUMME(B70:B74));0)</t>
  </si>
  <si>
    <t>C154</t>
  </si>
  <si>
    <t>neu: =WENNFEHLER(SUMME(C112:C150;C78:C108;C38:C69)/(B154-SUMME(B70:B74));0)</t>
  </si>
  <si>
    <t>M154</t>
  </si>
  <si>
    <t xml:space="preserve"> bisher: =WENNFEHLER(SUMME(M150:M150;M112:M149;#BEZUG!;M78:M108;M38:M69)/($H$154-SUMME($H$70:$H$74));0)</t>
  </si>
  <si>
    <t>bisher: =WENNFEHLER(SUMME(N150:N150;N112:N149;#BEZUG!;N78:N108;N38:N69)/($H$154-SUMME($H$70:$H$74));0)</t>
  </si>
  <si>
    <t>N154</t>
  </si>
  <si>
    <t xml:space="preserve"> neu: =WENNFEHLER(SUMME(M112:M150;M78:M108;M38:M69)/($H$154-SUMME($H$70:$H$74));0)</t>
  </si>
  <si>
    <t>neu: =WENNFEHLER(SUMME(N112:N150;N78:N108;N38:N69)/($H$154-SUMME($H$70:$H$74));0)</t>
  </si>
  <si>
    <t>bisher: =WENNFEHLER(SUMME(O150:O150;O112:O149;#BEZUG!;O78:O108;O38:O69)/($H$154-SUMME($H$70:$H$74));0)</t>
  </si>
  <si>
    <t>O154</t>
  </si>
  <si>
    <t>neu: =WENNFEHLER(SUMME(O112:O150;O78:O108;O38:O69)/($H$154-SUMME($H$70:$H$74));0)</t>
  </si>
  <si>
    <t xml:space="preserve"> bisher =WENNFEHLER(SUMME(P150:P150;P112:P149;#BEZUG!;P78:P108;P38:P69)/($H$154-SUMME($H$70:$H$74));0)</t>
  </si>
  <si>
    <t>P154</t>
  </si>
  <si>
    <t>neu =WENNFEHLER(SUMME(P112:P150;P78:P108;P38:P69)/($H$154-SUMME($H$70:$H$74));0)</t>
  </si>
  <si>
    <t>bisher =WENNFEHLER(SUMME(Q150:Q150;Q112:Q149;#BEZUG!;Q78:Q108;Q38:Q69)/($H$154-SUMME($H$70:$H$74));0)</t>
  </si>
  <si>
    <t>Q154</t>
  </si>
  <si>
    <t>neu =WENNFEHLER(SUMME(Q112:Q150;Q78:Q108;Q38:Q69)/($H$154-SUMME($H$70:$H$74));0)</t>
  </si>
  <si>
    <t xml:space="preserve"> bisher =WENNFEHLER(SUMME(R150:R150;R112:R149;#BEZUG!;R78:R108;R38:R69)/($H$154-SUMME($H$70:$H$74));0)</t>
  </si>
  <si>
    <t>R154</t>
  </si>
  <si>
    <t>neu =WENNFEHLER(SUMME(R112:R150;R78:R108;R38:R69)/($H$154-SUMME($H$70:$H$74));0)</t>
  </si>
  <si>
    <t>bisher =WENNFEHLER(SUMME(S150:S150;S112:S149;#BEZUG!;S78:S108;S38:S69)/($H$154-SUMME($H$70:$H$74));0)</t>
  </si>
  <si>
    <t>S154</t>
  </si>
  <si>
    <t>neu =WENNFEHLER(SUMME(S112:S150;S78:S108;S38:S69)/($H$154-SUMME($H$70:$H$74));0)</t>
  </si>
  <si>
    <t>bisher =WENNFEHLER(SUMME(T150:T150;T112:T149;#BEZUG!;T78:T108;T38:T69)/($H$154-SUMME($H$70:$H$74));0)</t>
  </si>
  <si>
    <t>T154</t>
  </si>
  <si>
    <t>neu =WENNFEHLER(SUMME(T112:T150;T78:T108;T38:T69)/($H$154-SUMME($H$70:$H$74));0)</t>
  </si>
  <si>
    <t>bisher =WENNFEHLER(SUMME(U150:U150;U112:U149;#BEZUG!;U78:U108;U38:U69)/($H$154-SUMME($H$70:$H$74));0)</t>
  </si>
  <si>
    <t>U154</t>
  </si>
  <si>
    <t>neu =WENNFEHLER(SUMME(U112:U150;U78:U108;U38:U69)/($H$154-SUMME($H$70:$H$74));0)</t>
  </si>
  <si>
    <t>bisher =WENNFEHLER(SUMME(V150:V150;V112:V149;#BEZUG!;V78:V108;V38:V69)/($H$154-SUMME($H$70:$H$74));0)</t>
  </si>
  <si>
    <t>V154</t>
  </si>
  <si>
    <t xml:space="preserve"> neu=WENNFEHLER(SUMME(V112:V150;V78:V108;V38:V69)/($H$154-SUMME($H$70:$H$74));0)</t>
  </si>
  <si>
    <t>bisher =WENNFEHLER(SUMME(W150:W150;W112:W149;#BEZUG!;W78:W108;W38:W69)/($H$154-SUMME($H$70:$H$74));0)</t>
  </si>
  <si>
    <t>W154</t>
  </si>
  <si>
    <t>neu =WENNFEHLER(SUMME(W112:W150;W78:W108;W38:W69)/($H$154-SUMME($H$70:$H$74));0)</t>
  </si>
  <si>
    <t>VV &lt;&gt;LZ, Diff. LZ und VV &lt; 30</t>
  </si>
  <si>
    <t>VV &lt;&gt;LZ, Diff. LZ und VV &gt; 29,99</t>
  </si>
  <si>
    <r>
      <t xml:space="preserve">Pflichtangabe, sofern Zeitraum zw. </t>
    </r>
    <r>
      <rPr>
        <sz val="10"/>
        <rFont val="Arial"/>
        <family val="2"/>
      </rPr>
      <t>LZ-Beginn</t>
    </r>
    <r>
      <rPr>
        <sz val="10"/>
        <color theme="1"/>
        <rFont val="Arial"/>
        <family val="2"/>
      </rPr>
      <t xml:space="preserve"> u. VV Beginn mind. </t>
    </r>
    <r>
      <rPr>
        <b/>
        <sz val="10"/>
        <color rgb="FF0070C0"/>
        <rFont val="Arial"/>
        <family val="2"/>
      </rPr>
      <t>30 M</t>
    </r>
    <r>
      <rPr>
        <sz val="10"/>
        <color theme="1"/>
        <rFont val="Arial"/>
        <family val="2"/>
      </rPr>
      <t xml:space="preserve"> umfasst! </t>
    </r>
    <r>
      <rPr>
        <b/>
        <sz val="10"/>
        <color rgb="FF0070C0"/>
        <rFont val="Arial"/>
        <family val="2"/>
      </rPr>
      <t>Sofern zw. LZ-Beginn und VV-Beginn weniger als 30 M liegen, gibt der LE einen kürzeren BT-Zeitraum mit BT an</t>
    </r>
    <r>
      <rPr>
        <sz val="10"/>
        <color theme="1"/>
        <rFont val="Arial"/>
        <family val="2"/>
      </rPr>
      <t xml:space="preserve"> // </t>
    </r>
    <r>
      <rPr>
        <sz val="10"/>
        <color rgb="FFFF0000"/>
        <rFont val="Arial"/>
        <family val="2"/>
      </rPr>
      <t>Bedingung analog RV (2. Version siehe H58)</t>
    </r>
  </si>
  <si>
    <t>&gt; 29,99</t>
  </si>
  <si>
    <t xml:space="preserve"> neu: =WENN(UND(ODER('Allgemeine Angaben'!K44=30;'Allgemeine Angaben'!K44&gt;30);'Belegung_wö. Arbeitszeit'!C16&lt;&gt;24);"Belegung für letzten 24 Kalendermonate angeben.";"")</t>
  </si>
  <si>
    <t>I51</t>
  </si>
  <si>
    <t>I53</t>
  </si>
  <si>
    <t xml:space="preserve"> neu=Personalkostenaufstellung!W279</t>
  </si>
  <si>
    <t xml:space="preserve"> bisher=Personalkostenaufstellung!x279</t>
  </si>
  <si>
    <t xml:space="preserve"> neu =Personalkostenaufstellung!W280</t>
  </si>
  <si>
    <t>bisher =Personalkostenaufstellung!x280</t>
  </si>
  <si>
    <t>J29</t>
  </si>
  <si>
    <t>Schriftgröße 10</t>
  </si>
  <si>
    <t>Erfassungsfelder Zeile 15 - 29</t>
  </si>
  <si>
    <t>ohne Zellschutz</t>
  </si>
  <si>
    <t>D78</t>
  </si>
  <si>
    <t>Hyperlink angepasst -&gt; Bezug zu TAB Belegung_wö. Arbeitszeit</t>
  </si>
  <si>
    <t>B33;B75;b109,b151,b154,b165,b190,b214,b216,b225,b274</t>
  </si>
  <si>
    <t>benutzdefiniertes Zellformat 0,0000 "VK"</t>
  </si>
  <si>
    <t>h33,h75,h109,h151,h154,h165,h190,h214,h216,h225,h274</t>
  </si>
  <si>
    <t>J36</t>
  </si>
  <si>
    <t xml:space="preserve"> bisher: =WENNFEHLER(RUNDEN(SUMME(J22;J27;J30;J33);2);"")</t>
  </si>
  <si>
    <t xml:space="preserve"> neu: =WENNFEHLER(RUNDEN(SUMME(J22;J27;J30;J33;J12);2);"")</t>
  </si>
  <si>
    <t>Entgelt von PDL/stellv. PDL fehlte</t>
  </si>
  <si>
    <t>A20:B20</t>
  </si>
  <si>
    <t>Belegungstage für diesen Zeitraum: , Zellen verbunden</t>
  </si>
  <si>
    <t>C20</t>
  </si>
  <si>
    <t>Erfassungsfeld für BT, zentriert, Zahl ohne Nachkommastelle</t>
  </si>
  <si>
    <t>G33</t>
  </si>
  <si>
    <t>D32</t>
  </si>
  <si>
    <t xml:space="preserve"> Hinweis, wenn Stichtagsbelegung &gt; als Platzzahl</t>
  </si>
  <si>
    <t xml:space="preserve"> =WENN(UND(KAT!E7&gt;0;ODER(C14="";C15=""));"Bitte Belegungszeitraum vollständig angeben";"")</t>
  </si>
  <si>
    <t xml:space="preserve"> =WENN(UND(ODER(KAT!E7=30;KAT!E7&gt;30);'Belegung_wö. Arbeitszeit'!C16&lt;&gt;24);"Belegung für letzten 24 Kalendermonate angeben.";"")</t>
  </si>
  <si>
    <t>bisheriger Bezug zu Allgemeine Angaben K44 durch KATE7 ersetzt</t>
  </si>
  <si>
    <t>G35</t>
  </si>
  <si>
    <t>Bezug zu KATE7</t>
  </si>
  <si>
    <t>Formel und bedingt Formatierung entfernt</t>
  </si>
  <si>
    <t xml:space="preserve"> =WENN(Personalkostenaufstellung!H33&lt;&gt;KAT!C12;1;0)</t>
  </si>
  <si>
    <t xml:space="preserve"> =WENN(Personalkostenaufstellung!H216&lt;&gt;KAT!C16;1;0)</t>
  </si>
  <si>
    <t>F42</t>
  </si>
  <si>
    <t>F43</t>
  </si>
  <si>
    <t xml:space="preserve">VK Ford. PDL / stellv. PDL&gt; als RV bzw. PDL/stellv. PDL = 0 VK </t>
  </si>
  <si>
    <t xml:space="preserve"> =WENN(ODER(Personalkostenaufstellung!H33&gt;KAT!C12;Personalkostenaufstellung!H33=0);1;0)</t>
  </si>
  <si>
    <t>Fehlermeldung wird mit neuer Formel bei Neueinrichtungen nicht angezeigt</t>
  </si>
  <si>
    <r>
      <t xml:space="preserve"> neu: =</t>
    </r>
    <r>
      <rPr>
        <sz val="9"/>
        <color rgb="FFFF0000"/>
        <rFont val="Arial"/>
        <family val="2"/>
      </rPr>
      <t>wenn(H50&gt;H44</t>
    </r>
    <r>
      <rPr>
        <sz val="9"/>
        <color theme="1"/>
        <rFont val="Arial"/>
        <family val="2"/>
      </rPr>
      <t>;WENN(ODER(SUMME(K57:K63)&lt;100;SUMME(K57:K63)&gt;100);"Anteil der Kostenträger entspricht nicht 100%.";"")</t>
    </r>
  </si>
  <si>
    <t>K64</t>
  </si>
  <si>
    <t>Belegung_wö_Arbeitszeit</t>
  </si>
  <si>
    <r>
      <t xml:space="preserve"> </t>
    </r>
    <r>
      <rPr>
        <sz val="9"/>
        <color rgb="FFFF0000"/>
        <rFont val="Arial"/>
        <family val="2"/>
      </rPr>
      <t>=WENN(H50&gt;H44</t>
    </r>
    <r>
      <rPr>
        <sz val="9"/>
        <color rgb="FF000000"/>
        <rFont val="Arial"/>
        <family val="2"/>
      </rPr>
      <t>;WENN(UND(H50&gt;0;K65&lt;5,001);"Mappe 'Allgemeine Angaben' und Mappe 'Forderung' an den KSV senden!";"");"")</t>
    </r>
  </si>
  <si>
    <r>
      <t xml:space="preserve"> =WENN(UND('Allgemeine Angaben'!H50&gt;'Belegung_wö. Arbeitszeit'!H44;</t>
    </r>
    <r>
      <rPr>
        <sz val="9"/>
        <rFont val="Arial"/>
        <family val="2"/>
      </rPr>
      <t>DATEDIF(C14;'Allgemeine Angaben'!H50;"m")&gt;30);"Belegungsbeginn darf nicht mehr als 30 Monate vor Laufzeitbeginn liegen";"")</t>
    </r>
  </si>
  <si>
    <t>Erläuterung der Änderungen gegenüber der Vorversion (Änderungshistorie) nach 21.5.2026</t>
  </si>
  <si>
    <t>Bitte auswählen</t>
  </si>
  <si>
    <t>6.7.2026 dtr</t>
  </si>
  <si>
    <t>Zeile 46</t>
  </si>
  <si>
    <t>Pflegesätze auf zwei Nachkommastellen gerundet</t>
  </si>
  <si>
    <t>Geschäftsbereich Gesundheitspartner</t>
  </si>
  <si>
    <t>Bereich Pflege/HKP</t>
  </si>
  <si>
    <t>Fachbereich Vertrags- und Qualitätsmanagement SAC</t>
  </si>
  <si>
    <t>Blatt nicht sperren und einblenden</t>
  </si>
  <si>
    <t>IK_KZP</t>
  </si>
  <si>
    <t>dav_KZP_Plätze</t>
  </si>
  <si>
    <t>132g</t>
  </si>
  <si>
    <t>BEL_letze12M_PG1</t>
  </si>
  <si>
    <t>BEL_letze12M_PG2</t>
  </si>
  <si>
    <t>BEL_letze12M_PG3</t>
  </si>
  <si>
    <t>BEL_letze12M_PG4</t>
  </si>
  <si>
    <t>BEL_letze12M_PG5</t>
  </si>
  <si>
    <t>BEL_letze12M_SUM</t>
  </si>
  <si>
    <t>BEL_PROG_DAV_KZP_PG1</t>
  </si>
  <si>
    <t>BEL_PROG_DAV_KZP_PG2</t>
  </si>
  <si>
    <t>BEL_PROG_DAV_KZP_PG3</t>
  </si>
  <si>
    <t>BEL_PROG_DAV_KZP_PG4</t>
  </si>
  <si>
    <t>BEL_PROG_DAV_KZP_PG5</t>
  </si>
  <si>
    <t>BEL_PROG_DAV_KZP_SUM</t>
  </si>
  <si>
    <t>PKL_PERS_IST_112_QM</t>
  </si>
  <si>
    <t>PKL_AG_Brutto_IST_112_QM</t>
  </si>
  <si>
    <t>PKL_PERS_IST_113_HM</t>
  </si>
  <si>
    <t>PKL_AG_Brutto_IST_113_HM</t>
  </si>
  <si>
    <t>PKL_PERS_IST_121_PFK/BFK_DAV_PRÄSK</t>
  </si>
  <si>
    <t>PKL_PERS_IST_122_PK/BK_DAV_PRÄSK</t>
  </si>
  <si>
    <t>PKL_PERS_IST_123_PK/BK o._DAV_PRÄSK</t>
  </si>
  <si>
    <t>PKL_IST_121_PFK/BFK_ANT_113c</t>
  </si>
  <si>
    <t>PKL_IST_122_PK/BKANT_113c</t>
  </si>
  <si>
    <t>PKL_IST_123_PK/BK o.113c</t>
  </si>
  <si>
    <t>PKL_PERS_IST_131_43b_PK/BK</t>
  </si>
  <si>
    <t>PKL_AG_Brutto_IST_131_43b_PK/BK</t>
  </si>
  <si>
    <t>PKL_PERS_IST_132_43b_PK/BK o.</t>
  </si>
  <si>
    <t>PKL_AG_Brutto_IST_132_43b_PK/BK o.</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</si>
  <si>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</si>
  <si>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</si>
  <si>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</si>
  <si>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</si>
  <si>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</si>
  <si>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</si>
  <si>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</si>
  <si>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</si>
  <si>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</si>
  <si>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</si>
  <si>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</si>
  <si>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</si>
  <si>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</si>
  <si>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</si>
  <si>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</si>
  <si>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PERS_STICHT_112_QM</t>
  </si>
  <si>
    <t>PERS_STICHT_113_HM</t>
  </si>
  <si>
    <t>PERS_STICHT_11_SUM</t>
  </si>
  <si>
    <t>PERS_STICHT_121_PFK/BFK_DAV_PRÄSK</t>
  </si>
  <si>
    <t>PERS_STICHT_122_PK/BK_DAV_PRÄSK</t>
  </si>
  <si>
    <t>PERS_STICHT_123_PK/BK o._DAV_PRÄSK</t>
  </si>
  <si>
    <t>ANT_113c_STICHT_121_PFK/BFK</t>
  </si>
  <si>
    <t>ANT_113c_STICHT_122_PK/BK</t>
  </si>
  <si>
    <t>ANT_113c_STICHT_123_PK/BK o.</t>
  </si>
  <si>
    <t xml:space="preserve">PERS_STICHT_131_43b_PK/BK </t>
  </si>
  <si>
    <t xml:space="preserve">PERS_STICHT_132_43b_PK/BK o. </t>
  </si>
  <si>
    <t>PERS_STICHT_14_LuV_LTG</t>
  </si>
  <si>
    <t>PERS_STICHT_14_LuV_VW</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</si>
  <si>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</si>
  <si>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</si>
  <si>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</si>
  <si>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</si>
  <si>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</si>
  <si>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</si>
  <si>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</si>
  <si>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</si>
  <si>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PERS_PROGN_112_QM</t>
  </si>
  <si>
    <t>PERS_PROGN_113_HM</t>
  </si>
  <si>
    <t>PERS_PROGN_11_SUM</t>
  </si>
  <si>
    <t>PERS_PROGN_121_PFK/BFK_DAV_PRÄSK</t>
  </si>
  <si>
    <t>PERS_PROGN_122_PK/BK_DAV_PRÄSK</t>
  </si>
  <si>
    <t>PERS_PROGN_123_PK/BK o._DAV_PRÄSK</t>
  </si>
  <si>
    <t>ANT_113c_PROGN_121_PFK/BFK</t>
  </si>
  <si>
    <t>ANT_113c_PROGN_122_PK/BK</t>
  </si>
  <si>
    <t>ANT_113c_PROGN_123_PK/BK o.</t>
  </si>
  <si>
    <t xml:space="preserve">PERS_PROGN_131_43b_PK/BK </t>
  </si>
  <si>
    <t xml:space="preserve">PERS_PROGN_132_43b_PK/BK o. </t>
  </si>
  <si>
    <t>PERS_PROGN_14_LuV_LTG</t>
  </si>
  <si>
    <t>PERS_PROGN_14_LuV_VW</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</si>
  <si>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</si>
  <si>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</si>
  <si>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</si>
  <si>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</si>
  <si>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</si>
  <si>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</si>
  <si>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</si>
  <si>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</si>
  <si>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</si>
  <si>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</si>
  <si>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</si>
  <si>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</si>
  <si>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</si>
  <si>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</si>
  <si>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</si>
  <si>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</si>
  <si>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</si>
  <si>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</si>
  <si>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</si>
  <si>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</si>
  <si>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</si>
  <si>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</si>
  <si>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GES_PeKo_PROGN_15_HW_SUM</t>
  </si>
  <si>
    <t>GES_PeKo_PROGN_16_KÜCHE_SUM</t>
  </si>
  <si>
    <t>GES_PeKo_PROGN_17_HAT_SUM</t>
  </si>
  <si>
    <t>PeKo_PROGN_18_FwD_STELLE</t>
  </si>
  <si>
    <t>PeKo_PROGN_18_FSJ_STELLE</t>
  </si>
  <si>
    <t>FL_ZEITR_33_WÄSCHE-KZ</t>
  </si>
  <si>
    <t>FL_ZEITR_34_REINIGUNG</t>
  </si>
  <si>
    <t>FL_ZEITR_36_HT</t>
  </si>
  <si>
    <t>FL_ZEITR_37_EINTR</t>
  </si>
  <si>
    <t>FL_ZEITR_38_EINTR</t>
  </si>
  <si>
    <t>FL_PROGN_33_WÄSCHE-KZ</t>
  </si>
  <si>
    <t>FL_PROGN_35_VW</t>
  </si>
  <si>
    <t>FL_PROGN_36_HT</t>
  </si>
  <si>
    <t>FL_PROGN-BT_33_WÄSCHE-KZ</t>
  </si>
  <si>
    <t>FL_PROGN-BT_35_VW</t>
  </si>
  <si>
    <t>FL_PROGN-BT_36_HT</t>
  </si>
  <si>
    <t>FORD_VK_112_QM</t>
  </si>
  <si>
    <t>FORD_VK_113_HM</t>
  </si>
  <si>
    <t>FORD_VK_121_PFK/BFK</t>
  </si>
  <si>
    <t>FORD_VK_122_PK/BK</t>
  </si>
  <si>
    <t>FORD_VK_123_PK/BK o.</t>
  </si>
  <si>
    <t>FORD_VK_15_HW</t>
  </si>
  <si>
    <t>FORD_VK_16_KÜCHE</t>
  </si>
  <si>
    <t>FORD_VK_17_HAT</t>
  </si>
  <si>
    <t>FORD_Anzahhl_18_FwD_FSJ</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</si>
  <si>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</si>
  <si>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</si>
  <si>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</si>
  <si>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</si>
  <si>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</si>
  <si>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</si>
  <si>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</si>
  <si>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</si>
  <si>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</si>
  <si>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</si>
  <si>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</si>
  <si>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FORD_Anzahl_18_FwD_FSJ_DAV_VST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</si>
  <si>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</si>
  <si>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</si>
  <si>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</si>
  <si>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</si>
  <si>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</si>
  <si>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</si>
  <si>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</si>
  <si>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</si>
  <si>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</si>
  <si>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</si>
  <si>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</si>
  <si>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FORD_Anzahl_18_FwD_FSJ_DAV_KZP</t>
  </si>
  <si>
    <t>FORD_ANT_113c_121_PFK/BFK</t>
  </si>
  <si>
    <t>FORD_ANT_113c_122_PK/BK</t>
  </si>
  <si>
    <t>FORD_ANT_113c_123_PK/BK o.</t>
  </si>
  <si>
    <t>FORD_PR_131_43b_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</si>
  <si>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</si>
  <si>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</si>
  <si>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</si>
  <si>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</si>
  <si>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</si>
  <si>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</si>
  <si>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</si>
  <si>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</si>
  <si>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</si>
  <si>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</si>
  <si>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</si>
  <si>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</si>
  <si>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</si>
  <si>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</si>
  <si>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</si>
  <si>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</si>
  <si>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</si>
  <si>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t>VWBUD_GES_PeKo_PROGN</t>
  </si>
  <si>
    <t>VWBUD_PeKo_BREUCK</t>
  </si>
  <si>
    <t>VWBUD_PeKo_SK-FL_BERUECK</t>
  </si>
  <si>
    <t>VWBUD_PROZENT</t>
  </si>
  <si>
    <t>VWBUD_BETRAG</t>
  </si>
  <si>
    <t>VWBUD_AUFSCHLAG</t>
  </si>
  <si>
    <t>VWBUD_AUFSCHLAG_BETRAG</t>
  </si>
  <si>
    <t>VWBUD_N_AUSG_STELLENANT</t>
  </si>
  <si>
    <t>VWBUD_PK_JE_VK</t>
  </si>
  <si>
    <t>VWBUD_ERGEBNIS</t>
  </si>
  <si>
    <t>Verhandlungsart - stat</t>
  </si>
  <si>
    <t>indiv. Verh.</t>
  </si>
  <si>
    <t>L6</t>
  </si>
  <si>
    <t>L4</t>
  </si>
  <si>
    <t>D6</t>
  </si>
  <si>
    <t>D11</t>
  </si>
  <si>
    <t>D13</t>
  </si>
  <si>
    <t>D15</t>
  </si>
  <si>
    <t>J15</t>
  </si>
  <si>
    <t>D17</t>
  </si>
  <si>
    <t>J17</t>
  </si>
  <si>
    <t>D19</t>
  </si>
  <si>
    <t>J19</t>
  </si>
  <si>
    <t>D21</t>
  </si>
  <si>
    <t>J21</t>
  </si>
  <si>
    <t>D25</t>
  </si>
  <si>
    <t>D27</t>
  </si>
  <si>
    <t>D29</t>
  </si>
  <si>
    <t>D31</t>
  </si>
  <si>
    <t>J31</t>
  </si>
  <si>
    <t>D33</t>
  </si>
  <si>
    <t>J33</t>
  </si>
  <si>
    <t>D35</t>
  </si>
  <si>
    <t>H40</t>
  </si>
  <si>
    <t>H44</t>
  </si>
  <si>
    <t>L46</t>
  </si>
  <si>
    <t>H50</t>
  </si>
  <si>
    <t>K50</t>
  </si>
  <si>
    <t>H52</t>
  </si>
  <si>
    <t>K52</t>
  </si>
  <si>
    <t>K57</t>
  </si>
  <si>
    <t>K58</t>
  </si>
  <si>
    <t>K59</t>
  </si>
  <si>
    <t>K60</t>
  </si>
  <si>
    <t>K61</t>
  </si>
  <si>
    <t>K62</t>
  </si>
  <si>
    <t>K63</t>
  </si>
  <si>
    <t>K65</t>
  </si>
  <si>
    <t>G6</t>
  </si>
  <si>
    <t>C14</t>
  </si>
  <si>
    <t>C15</t>
  </si>
  <si>
    <t>BEL_letze24M_PG1</t>
  </si>
  <si>
    <t>BEL_letze24M_PG3</t>
  </si>
  <si>
    <t>BEL_letze24M_PG2</t>
  </si>
  <si>
    <t>Bel_letzte24 M_bis</t>
  </si>
  <si>
    <t>Bel_letzte24 M_von</t>
  </si>
  <si>
    <t>BEL_letze24M_PG4</t>
  </si>
  <si>
    <t>BEL_letze24M_PG5</t>
  </si>
  <si>
    <t>BEL_letze24M_SUM</t>
  </si>
  <si>
    <t>C24</t>
  </si>
  <si>
    <t>C25</t>
  </si>
  <si>
    <t>C26</t>
  </si>
  <si>
    <t>C27</t>
  </si>
  <si>
    <t>C28</t>
  </si>
  <si>
    <t>C30</t>
  </si>
  <si>
    <t>D24</t>
  </si>
  <si>
    <t>D26</t>
  </si>
  <si>
    <t>D28</t>
  </si>
  <si>
    <t>D30</t>
  </si>
  <si>
    <t>E24</t>
  </si>
  <si>
    <t>E25</t>
  </si>
  <si>
    <t>E26</t>
  </si>
  <si>
    <t>E27</t>
  </si>
  <si>
    <t>E28</t>
  </si>
  <si>
    <t>E30</t>
  </si>
  <si>
    <t>F37</t>
  </si>
  <si>
    <t>BelTage_letzten12M</t>
  </si>
  <si>
    <t>B33</t>
  </si>
  <si>
    <t>E33</t>
  </si>
  <si>
    <t>B75</t>
  </si>
  <si>
    <t>E75</t>
  </si>
  <si>
    <t>B109</t>
  </si>
  <si>
    <t>E109</t>
  </si>
  <si>
    <t>B151</t>
  </si>
  <si>
    <t>E151</t>
  </si>
  <si>
    <t>B154</t>
  </si>
  <si>
    <t>E154</t>
  </si>
  <si>
    <t>B165</t>
  </si>
  <si>
    <t>E165</t>
  </si>
  <si>
    <t>B190</t>
  </si>
  <si>
    <t>E190</t>
  </si>
  <si>
    <t>B214</t>
  </si>
  <si>
    <t>E214</t>
  </si>
  <si>
    <t>E216</t>
  </si>
  <si>
    <t>B225</t>
  </si>
  <si>
    <t>E225</t>
  </si>
  <si>
    <t>PKL_PERS_IST_15_HW_Kü_HAT</t>
  </si>
  <si>
    <t>PKL_AG_Brutto_IST_15_HW_KÜ_HAT</t>
  </si>
  <si>
    <t>B274</t>
  </si>
  <si>
    <t>E274</t>
  </si>
  <si>
    <t>B279</t>
  </si>
  <si>
    <t>D279</t>
  </si>
  <si>
    <t>D280</t>
  </si>
  <si>
    <t>M12</t>
  </si>
  <si>
    <t>M13</t>
  </si>
  <si>
    <t>M14</t>
  </si>
  <si>
    <t>M15</t>
  </si>
  <si>
    <t>P17</t>
  </si>
  <si>
    <t>P18</t>
  </si>
  <si>
    <t>P20</t>
  </si>
  <si>
    <t>G290</t>
  </si>
  <si>
    <t>H290</t>
  </si>
  <si>
    <t>J290</t>
  </si>
  <si>
    <t>G292</t>
  </si>
  <si>
    <t>H292</t>
  </si>
  <si>
    <t>J292</t>
  </si>
  <si>
    <t>G293</t>
  </si>
  <si>
    <t>G296</t>
  </si>
  <si>
    <t>G298</t>
  </si>
  <si>
    <t>H293</t>
  </si>
  <si>
    <t>J298</t>
  </si>
  <si>
    <t>G12</t>
  </si>
  <si>
    <t>G15</t>
  </si>
  <si>
    <t>G17</t>
  </si>
  <si>
    <t>G19</t>
  </si>
  <si>
    <t>ständige Anwesenh. PFK</t>
  </si>
  <si>
    <t>G22</t>
  </si>
  <si>
    <t>G27</t>
  </si>
  <si>
    <t>PERS_STICHT_14_LuV_EL</t>
  </si>
  <si>
    <t>unbesetzt</t>
  </si>
  <si>
    <t>G30</t>
  </si>
  <si>
    <t>H24</t>
  </si>
  <si>
    <t>G51</t>
  </si>
  <si>
    <t>G53</t>
  </si>
  <si>
    <t>H12</t>
  </si>
  <si>
    <t>H15</t>
  </si>
  <si>
    <t>H17</t>
  </si>
  <si>
    <t>H19</t>
  </si>
  <si>
    <t>H22</t>
  </si>
  <si>
    <t>H27</t>
  </si>
  <si>
    <t>H30</t>
  </si>
  <si>
    <t>PERS_PROGN_14_EL</t>
  </si>
  <si>
    <t>H33</t>
  </si>
  <si>
    <t>PERS_STICHT_15-17_HW_Kü_HAT</t>
  </si>
  <si>
    <t>PERS_PROGN_15-17_HW_Kü_HAT</t>
  </si>
  <si>
    <t>H51</t>
  </si>
  <si>
    <t>H53</t>
  </si>
  <si>
    <t>H39</t>
  </si>
  <si>
    <t>H41</t>
  </si>
  <si>
    <t>H42</t>
  </si>
  <si>
    <t>I44</t>
  </si>
  <si>
    <t>J44</t>
  </si>
  <si>
    <t>I46</t>
  </si>
  <si>
    <t>J46</t>
  </si>
  <si>
    <t>I48</t>
  </si>
  <si>
    <t>J48</t>
  </si>
  <si>
    <t>J12</t>
  </si>
  <si>
    <t>J22</t>
  </si>
  <si>
    <t>J27</t>
  </si>
  <si>
    <t>J30</t>
  </si>
  <si>
    <t>GES_PeKo_PROGN_14_EL</t>
  </si>
  <si>
    <t>GES_PeKo_PROGN_15-17_HW_Kü_HAT</t>
  </si>
  <si>
    <t>C16</t>
  </si>
  <si>
    <t>H16</t>
  </si>
  <si>
    <t>H18</t>
  </si>
  <si>
    <t>H20</t>
  </si>
  <si>
    <t>H21</t>
  </si>
  <si>
    <t>H23</t>
  </si>
  <si>
    <t>H25</t>
  </si>
  <si>
    <t>H26</t>
  </si>
  <si>
    <t>H28</t>
  </si>
  <si>
    <t>H29</t>
  </si>
  <si>
    <t>H43</t>
  </si>
  <si>
    <t>H45</t>
  </si>
  <si>
    <t>H47</t>
  </si>
  <si>
    <t>H46</t>
  </si>
  <si>
    <t>H48</t>
  </si>
  <si>
    <t>H49</t>
  </si>
  <si>
    <t>C48</t>
  </si>
  <si>
    <t>C49</t>
  </si>
  <si>
    <t>J24</t>
  </si>
  <si>
    <t>J26</t>
  </si>
  <si>
    <t>J28</t>
  </si>
  <si>
    <t>M20</t>
  </si>
  <si>
    <t>M21</t>
  </si>
  <si>
    <t>M22</t>
  </si>
  <si>
    <t>M23</t>
  </si>
  <si>
    <t>M24</t>
  </si>
  <si>
    <t>M25</t>
  </si>
  <si>
    <t>M26</t>
  </si>
  <si>
    <t>M27</t>
  </si>
  <si>
    <t>M28</t>
  </si>
  <si>
    <t>M29</t>
  </si>
  <si>
    <t>M30</t>
  </si>
  <si>
    <t>M43</t>
  </si>
  <si>
    <t>M44</t>
  </si>
  <si>
    <t>M45</t>
  </si>
  <si>
    <t>M47</t>
  </si>
  <si>
    <t>M46</t>
  </si>
  <si>
    <t>M48</t>
  </si>
  <si>
    <t>M49</t>
  </si>
  <si>
    <t>M50</t>
  </si>
  <si>
    <t>J53</t>
  </si>
  <si>
    <t>L53</t>
  </si>
  <si>
    <t>M8</t>
  </si>
  <si>
    <t>FORD_PR_PDL/ stellv. PDL_</t>
  </si>
  <si>
    <t>FORD_VK_Pflege/Betreuung_PG 1-5</t>
  </si>
  <si>
    <t>FORD_PR_Pflege/ Betreuung_PG 1-5</t>
  </si>
  <si>
    <t>J10</t>
  </si>
  <si>
    <t>M10</t>
  </si>
  <si>
    <t>FORD_VK_14_EL</t>
  </si>
  <si>
    <t>FORD_VK_LuV</t>
  </si>
  <si>
    <t>FORD_PR_LuV</t>
  </si>
  <si>
    <t>J14</t>
  </si>
  <si>
    <t>FORD_VK_HW_Kü_HAT</t>
  </si>
  <si>
    <t>FORD_PR_HW_Kü_HAT</t>
  </si>
  <si>
    <t>J16</t>
  </si>
  <si>
    <t>M16</t>
  </si>
  <si>
    <t>J18</t>
  </si>
  <si>
    <t>FORD_PR_14_EL</t>
  </si>
  <si>
    <r>
      <t>PKL_PERS_IST_14</t>
    </r>
    <r>
      <rPr>
        <sz val="11"/>
        <color rgb="FFFF0000"/>
        <rFont val="Arial"/>
        <family val="2"/>
      </rPr>
      <t>_EL</t>
    </r>
  </si>
  <si>
    <r>
      <t>PKL_AG_Brutto_IST_14_</t>
    </r>
    <r>
      <rPr>
        <sz val="11"/>
        <color rgb="FFFF0000"/>
        <rFont val="Arial"/>
        <family val="2"/>
      </rPr>
      <t>EL</t>
    </r>
  </si>
  <si>
    <t>Achtung müsste eher C280 sein, nach Anpassung im Antrag anpassen in Kalk.</t>
  </si>
  <si>
    <t>L20</t>
  </si>
  <si>
    <t>L21</t>
  </si>
  <si>
    <t>L22</t>
  </si>
  <si>
    <t>L23</t>
  </si>
  <si>
    <t>L24</t>
  </si>
  <si>
    <t>L25</t>
  </si>
  <si>
    <t>L26</t>
  </si>
  <si>
    <t>L27</t>
  </si>
  <si>
    <t>L28</t>
  </si>
  <si>
    <t>L29</t>
  </si>
  <si>
    <t>L30</t>
  </si>
  <si>
    <t>L43</t>
  </si>
  <si>
    <t>L44</t>
  </si>
  <si>
    <t>L45</t>
  </si>
  <si>
    <t>L47</t>
  </si>
  <si>
    <t>L48</t>
  </si>
  <si>
    <t>L49</t>
  </si>
  <si>
    <t>L50</t>
  </si>
  <si>
    <t>C17, C18</t>
  </si>
  <si>
    <t>Wennfehler(…...;"") in Formel eingefügt, dadr. Fehlerhinweis Zahl weg</t>
  </si>
  <si>
    <t>Formatierung Zahl ohne Nachkommastelle</t>
  </si>
  <si>
    <t xml:space="preserve">Hinweise zur Aufforderung zum Abschluss einer Pflegesatzvereinbarung gemäß §§ 84, 85 SGB XI sowie von Vereinbarungen nach § 75 SGB XII für Kurzzeitpflegeeinrichtungen	</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</si>
  <si>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</si>
  <si>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</si>
  <si>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</si>
  <si>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</si>
  <si>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</si>
  <si>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</si>
  <si>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</si>
  <si>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</si>
  <si>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</si>
  <si>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</si>
  <si>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</si>
  <si>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</si>
  <si>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r>
      <rPr>
        <b/>
        <sz val="11"/>
        <color theme="1"/>
        <rFont val="Arial"/>
        <family val="2"/>
      </rPr>
      <t>1. Allgemeine Hinweise</t>
    </r>
    <r>
      <rPr>
        <sz val="11"/>
        <color theme="1"/>
        <rFont val="Arial"/>
        <family val="2"/>
      </rPr>
      <t xml:space="preserve"> 
Die Neufassung des Rahmenvertrages zur Kurzzeitpflege gemäß § 75 Abs. 1 SGB XI im Freistaat Sachsen (in Kraft ab 1. Juli 2026) erforderte eine Überarbeitung der Antragsunterlagen. Es sind außerdem die Anforderungen nach dem SächsWTG und der SächsWTVO zu beachten. 
Der Antrag gilt für Kurzzeitpflegeeinrichtungen nach § 1 Abs. 6 des Rahmenvertrages. Das sind Einrichtungen, welche auf der Grundlage einer fachlich eigenständigen Konzeption, mit eigenständigem Personalkörper und in abgegrenzter räumlicher Einheit selbständig wirtschaften.
Die vollständig ausgefüllten Antragsunterlagen sind gemäß § 85 Abs. 2 und Abs. 3 SGB XI den Leistungsträgern oder deren Arbeitsgemeinschaften, auf die im Jahr vor Beginn der Pflegesatzverhandlungen mehr als fünf vom Hundert der Berechnungstage der Kurzzeitpflegeeinrichtung entfallen, spätestens sechs Wochen vor dem beantragten Vereinbarungszeitraum durch den Träger der Kurzzeitpflegeeinrichtung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Kurzzeitpflegeeinrichtung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</si>
  <si>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</si>
  <si>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</si>
  <si>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weiteren Bearbeitung des Antrags ist es unbedingt erforderlich, dass das Datum der Zulassung angegeben wird. 
Der Vereinbarungszeitraum umfasst regelmäßig mindestens 12 Monate.
Die Parteien der Pflegesatzvereinbarung sind gemäß § 85 Abs. 2 SGB XI zu ermitteln und ihr Anteil an den Belegungstagen der Kurzzeitpflegeeinrichtung entsprechend anzugeben. Der Anteil der Bewohner, die ergänzende Leistungen der Sozialhilfe erhalten, ist zusätzlich als Davonposition auszuweisen. 
Bei der nachrichtlichen Angabe (Ausbildungsbetrieb und / oder Praktikumsbetrieb nach dem Pflegeberufegesetz) handelt es sich um eine ja-nein-Option. Die Kurzzeitpflegeeinrichtung trifft hier die Aussage, ob eine solche Situation für sie vorliegt. Aufwendungen der Kurzzeitpflegeeinrichtung, die nach anderen gesetzlichen Vorgaben finanziert werden, dürfen im Pflegesatz bzw. in den Entgelten nicht enthalten sein.</t>
    </r>
  </si>
  <si>
    <r>
      <rPr>
        <b/>
        <sz val="11"/>
        <color theme="1"/>
        <rFont val="Arial"/>
        <family val="2"/>
      </rPr>
      <t xml:space="preserve">2.2. Mappe Belegung / wöchentliche Arbeitszeit
</t>
    </r>
    <r>
      <rPr>
        <sz val="11"/>
        <color theme="1"/>
        <rFont val="Arial"/>
        <family val="2"/>
      </rPr>
      <t xml:space="preserve">Auslastungsquote
Die Auslastungsquote der Kurzzeitpflegeeinrichtung orientiert sich an der tatsächlichen Auslastung der letzten zwei Jahre, mindestens aber 78 %. In diesem Rahmen kann eine Abweichung von 5 % unter der tatsächlichen Auslastung der letzten zwei Jahre kalkuliert werden. Abweichend hiervon gilt für neu zugelassene solitäre Kurzzeitpflegeeinrichtungen für das erste Jahr der Zulassung eine Auslastungsquote von 70 % und für das zweite Jahr der Zulassung eine Auslastungsquote von 73 % unabhängig von der tatsächlichen Auslastungsquote.
jährliche Öffnungstage: 365 Tage
</t>
    </r>
  </si>
  <si>
    <r>
      <t xml:space="preserve">Belegungsdaten
Bei bestehenden Kurzzeitpflegeeinrichtungen sind die Belegungstage für 24 Monate insgesamt zu ermitteln. Der Beginn des Belegungszeitraumes darf nicht mehr als 30 Monate vor Laufzeitbeginn liegen. Kann auf Grund einer kürzeren Dauer nach der Zulassung dieser Umfang noch nicht erreicht werden, verkürzt sich die Angabe des Belegungszeitraums entsprechend.
Zur Erhebung der Pflegebedürftigen ist ein Stichtag zu wählen, der nicht länger als 3 Monate vor der Antragstellung liegen sollte und die Belegung anzugeben. Grundlage für die Prüfung ist das Datum der Antragstellung aus der Mappe Allgemeine Angaben.
Die Kurzzeitpflegeeinrichtung kann bei der prognostischen Belegung Pflegebedürftige in allen Pflegegraden oder nur in einigen Pflegegraden angeben. 
Die prognostische Belegung muss der Gesamtplatzzahl im Versorgungsvertrag entsprechen.
Es werden pflegegradunabhängig eine Personalmenge, eine Personalrelation und ein Pflegesatz ermittelt (siehe dazu 2.6. Forderung).
Wöchentliche Arbeitszeit
Es ist die einrichtungsintern geregelte wöchentliche Arbeitszeit je Vollkraft (VK) nachrichtlich anzugeben. 
</t>
    </r>
    <r>
      <rPr>
        <sz val="11"/>
        <color rgb="FFFF0000"/>
        <rFont val="Arial"/>
        <family val="2"/>
      </rPr>
      <t>Bitte beachten</t>
    </r>
    <r>
      <rPr>
        <sz val="11"/>
        <color rgb="FF000000"/>
        <rFont val="Arial"/>
        <family val="2"/>
      </rPr>
      <t xml:space="preserve">: Laut Rahmenvertrag erfolgt die Ermittlung des Stellenumfangs und der Personalaufwendungen immer auf Basis von 40 Stunden / Woche für eine VK.
</t>
    </r>
  </si>
  <si>
    <r>
      <rPr>
        <b/>
        <sz val="11"/>
        <color rgb="FF000000"/>
        <rFont val="Arial"/>
        <family val="2"/>
      </rPr>
      <t>2.3. Mappe Personalkostenaufstellung</t>
    </r>
    <r>
      <rPr>
        <sz val="11"/>
        <color rgb="FF000000"/>
        <rFont val="Arial"/>
        <family val="2"/>
      </rPr>
      <t xml:space="preserve">
Die Personalkostenaufstellung umfasst ausschließlich Mitarbeiter der Kurzzeitpflegeeinrichtung und ggf. eingesetzte Leiharbeitskräfte.
Die Personalkostenaufstellung bezieht sich im linken Teil auf den Zeitraum von 12 Monaten mit Angabe der Belegungstage für diesen Zeitraum.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in die Personalkostenaufstellung aufzunehmen.
Die Kennzeichnung der Mitarbeiter als Geringfügig Beschäftigte erfolgt ausschließlich, wenn die Voraussetzungen des § 8 SGB IV vorliegen.
Im Rahmen der Plausibilitätsprüfung stellt die Kurzzeitpflegeeinrichtung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Kurzzeitpflegeeinrichtung gibt im oberen Teil an, auf welcher Basis die Mitarbeiter entlohnt werden. Kommt ein Tarif / eine AVR zur Anwendung, kann mit der Verhandlungsaufforderung das Werk auch als Link übermittelt werden.
Jeder Mitarbeiter ist entsprechend seiner Tätigkeit einem Funktionsbereich zuzuordnen. Stellensplitting ist möglich. Die Differenzierung innerhalb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</si>
  <si>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t>Die Personalrelation für PDL und stellvertretende PDL beträgt bis 1 zu 20.
Die ggf. verbleibenden Stellenanteile von PDL und stellvertretender PDL sind in den zugeordneten Funktionsbereichen gesondert in der Spalte Beschäftigungsgruppe / Funktion zu kennzeichnen.
Funktionsbereiche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einen gemeinsamen Funktionsbereich. Die Personalrelation beträgt bis 1 zu 1,7.
Die Kosten für ggf. einzusetzende Leiharbeitskräfte basieren nicht auf dem Vergütungsmodell der Mitarbeiter der Kurzzeitpflegeeinrichtung und sind insofern als durchschnittliche Arbeitgeberbruttopersonalkosten (inkl. Arbeitgeberanteil zur Sozialversicherung) je Stellenanteil einzutragen.
Die Mitarbeiter der zusätzlichen Betreuung und Aktivierung nach § 43b SGB XI bilden einen separaten Funktionsbereich. Die Personalrelation beträgt 1 zu 20.
Im Funktionsbereich Leitung / Verwaltung (inkl. Anrechnung der Personalanteile bei Leistungserbringung durch den Träger oder Dritte) beträgt die Personalrelation bis 1 zu 15.
Der Funktionsbereich Hauswirtschaft / Küche / Haustechnik wird zusammengefasst. Die Personalrelation (inkl. Anrechnung der Personalanteile bei Leistungserbringung durch Fremddienstleister) beträgt bis 1 zu 4,5.</t>
  </si>
  <si>
    <r>
      <rPr>
        <b/>
        <sz val="11"/>
        <color rgb="FF000000"/>
        <rFont val="Arial"/>
        <family val="2"/>
      </rPr>
      <t>2.4. Mappe Personalaufwendungen</t>
    </r>
    <r>
      <rPr>
        <sz val="11"/>
        <color rgb="FF000000"/>
        <rFont val="Arial"/>
        <family val="2"/>
      </rPr>
      <t xml:space="preserve">
Die Kurzzeitpflegeeinrichtung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Kurzzeitpflegeeinrichtung hat entsprechend § 20a Abs. 3 des Rahmenvertrages die ständige Anwesenheit einer Pflegefachperson zu gewährleisten.
Wurde in der Mappe Personalkostenaufstellung für die Prognose die maximal mögliche Personalmenge lt. Rahmenvertrag in dem jeweiligen Funktionsbereich erreicht oder überschritten, erfolgt ein Hinweis.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EstG gewährt,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</si>
  <si>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 xml:space="preserve">2.5. Mappe Sachaufwendungen
</t>
    </r>
    <r>
      <rPr>
        <sz val="11"/>
        <color rgb="FF000000"/>
        <rFont val="Arial"/>
        <family val="2"/>
      </rPr>
      <t xml:space="preserve">Zur Berücksichtigung von Einzelpositionen siehe Hinweise Sachaufwendungen.
Die Sachaufwendungen sind für den Zeitraum von 12 Monaten anzugeben. Dieser Zeitraum soll mit dem angegebenen Zeitraum der Personalkosten übereinstimmen. Wird hier ein abweichender Zeitraum zugrunde gelegt, sind für diesen Zeitraum zusätzlich die Belegungstage anzugeben.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
</t>
    </r>
  </si>
  <si>
    <r>
      <rPr>
        <b/>
        <sz val="11"/>
        <color rgb="FF000000"/>
        <rFont val="Arial"/>
        <family val="2"/>
      </rPr>
      <t xml:space="preserve">2.6. Mappe Forderung
</t>
    </r>
    <r>
      <rPr>
        <sz val="11"/>
        <color rgb="FF000000"/>
        <rFont val="Arial"/>
        <family val="2"/>
      </rPr>
      <t xml:space="preserve">Personelle Ausstattung der Kurzzeitpflegeeinrichtung:
Die Angaben zur Personalausstattung erfolgen in VK und als Personalrelation. Es wird die Zahl der Einsatzstellen Freiwillige Dienste / FSJ ausgewiesen.
Die Werte werden automatisch aus der Mappe Personalaufwendungen übernommen bzw. errechnet. Änderungen können ausschließlich in der Mappe Personalkostenaufstellung vorgenommen werden.
</t>
    </r>
  </si>
  <si>
    <t>Pflegesätze und Entgelte:
Es werden aus den bisher gemachten Angaben zur Auslastung, zu den Personalaufwendungen und zu den Sachaufwendungen für die Kurzzeitpflege ein pflegegradunabhängiger Pflegesatz, der Vergütungszuschlag nach § 43 b SGB XI, die Entgelte für Unterkunft und für Verpflegung ermittelt. Änderungen können ausschließlich in der Mappe Personalkostenaufstellung und / oder Sachaufwendungen vorgenommen werden.</t>
  </si>
  <si>
    <t>Prüfung der Angaben im Antrag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Entgelte für Unterkunft und für Verpflegung bzw. des Vergütungszuschlages gemäß § 43 b SGB XI möglich.</t>
  </si>
  <si>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zusammen. Hier kann die Kurzzeitpflegeeinrichtung keine Änderungen vornehmen. Ggf. sind Korrekturen auf den vorhergehenden Seiten erforderlich.</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</si>
  <si>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</si>
  <si>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 xml:space="preserve"> ='Belegung_wö. Arbeitszeit'!G6/100</t>
  </si>
  <si>
    <t>AQ2</t>
  </si>
  <si>
    <t>M165:W165</t>
  </si>
  <si>
    <t xml:space="preserve"> Formel korrigiert, da bisherigerige Formel unkorrekt (wie bspw. M165=WENNFEHLER(SUMME(M159:M164)/($H$75-SUMME($H$70:$H$74));0)) </t>
  </si>
  <si>
    <t>X275;Y275</t>
  </si>
  <si>
    <t>Format angepasst, ohne dicken Unterstrich</t>
  </si>
  <si>
    <t>I15;I16</t>
  </si>
  <si>
    <t>ohne Ausfüllfarbe</t>
  </si>
  <si>
    <t>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Kurzzeitpflegeeinrichtung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oder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</si>
  <si>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t xml:space="preserve">Wurde in den beiden Funktionsbereichen Leitung / Verwaltung und Hauswirtschaft / Küche / Haustechnik die maximale Personalmenge lt. Rahmenvertrag erreicht, können keine weiteren Personalanteile im entsprechenden Bereich der Fremdleistungen berücksichtigt werden.
Kurzzeitpflegeeinrichtungen können eine höhere personelle Ausstattung mit Pflege- und Betreuungspersonal vereinbaren, wenn in der bestehenden Pflegesatzvereinbarung eine höhere Personalausstattung vereinbart ist und diese personelle Ausstattung von der Kurzzeitpflegeeinrichtung tatsächlich vorgehalten wird (Bestandsschutz).
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Pflegeeinrichtungen haben die Entlohnung grundsätzlich in Geld zu zahlen. Mit Zustimmung der betreffenden Arbeitnehmerinnen und Arbeitnehmer ist es ebenfalls möglich, die Entlohnung anstatt der Zahlung in Geld auch anteilig in Form von Sach- und Dienstleistungen und anderen geldwerten Leistungen (z.B. Beiträge zur betrieblichen Altersvorsorge) zu leisten. In diesen Fällen müssen die entsprechenden Sach- oder Dienstleistungen oder anderen geldwerten Leistungen mit ihrem Geldwert unter „weitere zusätzliche Zuschläge / Zulagen / betriebliche Altersversorgung abgebildet werden. Bei der betrieblichen Altersvorsorge ist in dem Fall zu beachten, dass dann ein pauschaler Zuschlag für alle Mitarbeiter (siehe oberer Teil der Tabelle) ausgeschlossen ist.
Die Zustimmung der betreffenden Arbeitnehmerinnen und Arbeitnehmer ist nachzuweisen.
Die Kurzzeitpflegeeinrichtung kann bei der prognostischen Eintragung des monatlichen Grundlohns / -gehalts entscheiden, ob die Angabe je Stellenanteil oder je VK erfolgt. Einer VK liegt immer eine wöchentliche Arbeitszeit von 40 Stunden zu Grunde. 
An diese Wahl ist die Kurzzeitpflegeeinrichtung dann für alle Mitarbeiter bei der Eintragung gebunden.
Es ist zwischen Vermögenswirksamen Leistungen (VWL) und betrieblicher Altersversorgung zu unterscheiden. Die VWL gehen in den arbeitszeitnormierten Stundenlohn ein.
Zu den regelmäßigen und fixen pflegetypischen Zulagen gehören Pflege- und Geriatriezulagen, Schicht- und Wechselschichtzulagen für ständige Schicht- / Wechselschichtarbeit, Erschwerniszulagen, Stellenzulagen o. ä.
</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</si>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</sst>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 _€"/>
    <numFmt numFmtId="170" formatCode="0\ &quot;%&quot;"/>
    <numFmt numFmtId="171" formatCode="#,##0.000\ &quot;€&quot;"/>
    <numFmt numFmtId="172" formatCode="0.000%"/>
    <numFmt numFmtId="173" formatCode="0.0000"/>
    <numFmt numFmtId="174" formatCode="#,##0.0000"/>
    <numFmt numFmtId="175" formatCode="0.0\ %"/>
    <numFmt numFmtId="176" formatCode="#,##0.000"/>
    <numFmt numFmtId="177" formatCode="#,##0.00\ &quot;€/VK&quot;"/>
    <numFmt numFmtId="178" formatCode="0.00_ &quot;€&quot;"/>
    <numFmt numFmtId="179" formatCode="_-\ #,##0.00\ &quot;€/VK&quot;"/>
    <numFmt numFmtId="180" formatCode="0.00\ &quot;%&quot;"/>
    <numFmt numFmtId="181" formatCode="&quot;letzten&quot;\ 0\ &quot;Kalendermonate&quot;"/>
    <numFmt numFmtId="182" formatCode="&quot;in den&quot;\ 0"/>
    <numFmt numFmtId="183" formatCode="0.00\ &quot;€&quot;"/>
    <numFmt numFmtId="184" formatCode="0.0000000"/>
    <numFmt numFmtId="185" formatCode="0.00\ &quot;h&quot;"/>
    <numFmt numFmtId="186" formatCode="#,##0\ &quot;€/VK&quot;"/>
    <numFmt numFmtId="187" formatCode="&quot;bis:&quot;\ dd/mm/yyyy"/>
    <numFmt numFmtId="188" formatCode="#,##0.0000_ ;[Red]\-#,##0.0000\ "/>
    <numFmt numFmtId="189" formatCode="0\ &quot;M&quot;"/>
    <numFmt numFmtId="190" formatCode="0.0000\ &quot;VK&quot;"/>
    <numFmt numFmtId="191" formatCode="00000"/>
    <numFmt numFmtId="192" formatCode="#,##0.0"/>
  </numFmts>
  <fonts count="172"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1"/>
      <color theme="9" tint="-0.499984740745262"/>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8"/>
      <color rgb="FF0070C0"/>
      <name val="Arial"/>
      <family val="2"/>
    </font>
    <font>
      <sz val="11"/>
      <color rgb="FFC00000"/>
      <name val="Arial"/>
      <family val="2"/>
    </font>
    <font>
      <i/>
      <sz val="10"/>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name val="Arial"/>
      <family val="2"/>
    </font>
    <font>
      <sz val="10"/>
      <color theme="1"/>
      <name val="Palatino Linotype"/>
      <family val="2"/>
      <scheme val="minor"/>
    </font>
    <font>
      <b/>
      <u/>
      <sz val="10"/>
      <name val="Arial"/>
      <family val="2"/>
    </font>
    <font>
      <sz val="14"/>
      <name val="Arial"/>
      <family val="2"/>
    </font>
    <font>
      <b/>
      <i/>
      <sz val="9"/>
      <color rgb="FF0070C0"/>
      <name val="Arial"/>
      <family val="2"/>
    </font>
    <font>
      <b/>
      <i/>
      <sz val="9"/>
      <color theme="1"/>
      <name val="Arial"/>
      <family val="2"/>
    </font>
    <font>
      <b/>
      <sz val="16"/>
      <color rgb="FFFF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b/>
      <sz val="9"/>
      <color theme="1"/>
      <name val="Arial"/>
      <family val="2"/>
    </font>
    <font>
      <u val="double"/>
      <sz val="10"/>
      <color theme="3"/>
      <name val="Arial"/>
      <family val="2"/>
    </font>
    <font>
      <u/>
      <sz val="10"/>
      <color theme="3"/>
      <name val="Arial"/>
      <family val="2"/>
    </font>
    <font>
      <b/>
      <sz val="9"/>
      <name val="Arial"/>
      <family val="2"/>
    </font>
    <font>
      <b/>
      <sz val="10"/>
      <name val="Wingdings"/>
      <charset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0"/>
      <color rgb="FFFFC000"/>
      <name val="Arial"/>
      <family val="2"/>
    </font>
    <font>
      <sz val="11"/>
      <color theme="9" tint="-0.249977111117893"/>
      <name val="Arial"/>
      <family val="2"/>
    </font>
    <font>
      <sz val="10"/>
      <color theme="9" tint="-0.249977111117893"/>
      <name val="Arial"/>
      <family val="2"/>
    </font>
    <font>
      <u/>
      <sz val="10"/>
      <color rgb="FFFF0000"/>
      <name val="Arial"/>
      <family val="2"/>
    </font>
    <font>
      <b/>
      <i/>
      <sz val="11"/>
      <color theme="1"/>
      <name val="Arial"/>
      <family val="2"/>
    </font>
    <font>
      <b/>
      <u/>
      <sz val="10"/>
      <color rgb="FFFF0000"/>
      <name val="Arial"/>
      <family val="2"/>
    </font>
    <font>
      <b/>
      <sz val="9"/>
      <color rgb="FFFF0000"/>
      <name val="Arial"/>
      <family val="2"/>
    </font>
    <font>
      <b/>
      <sz val="9"/>
      <color rgb="FF0070C0"/>
      <name val="Arial"/>
      <family val="2"/>
    </font>
    <font>
      <b/>
      <sz val="9"/>
      <color theme="3" tint="-0.249977111117893"/>
      <name val="Arial"/>
      <family val="2"/>
    </font>
    <font>
      <b/>
      <sz val="10"/>
      <color theme="0" tint="-4.9989318521683403E-2"/>
      <name val="Arial"/>
      <family val="2"/>
    </font>
    <font>
      <sz val="12"/>
      <color theme="1"/>
      <name val="Arial"/>
      <family val="2"/>
    </font>
    <font>
      <sz val="12"/>
      <color theme="3" tint="-0.249977111117893"/>
      <name val="Arial"/>
      <family val="2"/>
    </font>
    <font>
      <b/>
      <u/>
      <sz val="12"/>
      <name val="Arial"/>
      <family val="2"/>
    </font>
    <font>
      <sz val="11"/>
      <color theme="0" tint="-0.14999847407452621"/>
      <name val="Arial"/>
      <family val="2"/>
    </font>
    <font>
      <sz val="10"/>
      <color theme="0" tint="-0.14999847407452621"/>
      <name val="Arial"/>
      <family val="2"/>
    </font>
    <font>
      <b/>
      <sz val="18"/>
      <color theme="0"/>
      <name val="Arial"/>
      <family val="2"/>
    </font>
    <font>
      <sz val="7"/>
      <color theme="0" tint="-0.34998626667073579"/>
      <name val="Arial"/>
      <family val="2"/>
    </font>
    <font>
      <sz val="11"/>
      <color theme="0"/>
      <name val="Arial"/>
      <family val="2"/>
    </font>
    <font>
      <sz val="11"/>
      <color theme="1"/>
      <name val="Calibri"/>
      <family val="2"/>
    </font>
    <font>
      <b/>
      <u/>
      <sz val="9"/>
      <color theme="1"/>
      <name val="Arial"/>
      <family val="2"/>
    </font>
    <font>
      <b/>
      <strike/>
      <sz val="10"/>
      <name val="Arial"/>
      <family val="2"/>
    </font>
    <font>
      <strike/>
      <sz val="10"/>
      <color theme="1"/>
      <name val="Arial"/>
      <family val="2"/>
    </font>
    <font>
      <b/>
      <strike/>
      <sz val="10"/>
      <color theme="1"/>
      <name val="Arial"/>
      <family val="2"/>
    </font>
    <font>
      <strike/>
      <sz val="10"/>
      <name val="Arial"/>
      <family val="2"/>
    </font>
    <font>
      <strike/>
      <sz val="10"/>
      <color rgb="FFFF0000"/>
      <name val="Arial"/>
      <family val="2"/>
    </font>
    <font>
      <b/>
      <strike/>
      <sz val="10"/>
      <color rgb="FFFF0000"/>
      <name val="Arial"/>
      <family val="2"/>
    </font>
    <font>
      <b/>
      <sz val="11"/>
      <color rgb="FFFF0000"/>
      <name val="Arial"/>
      <family val="2"/>
    </font>
    <font>
      <b/>
      <sz val="16"/>
      <name val="Arial"/>
      <family val="2"/>
    </font>
    <font>
      <b/>
      <sz val="16"/>
      <color rgb="FF0070C0"/>
      <name val="Arial"/>
      <family val="2"/>
    </font>
    <font>
      <b/>
      <sz val="16"/>
      <color theme="3"/>
      <name val="Arial"/>
      <family val="2"/>
    </font>
    <font>
      <b/>
      <sz val="12"/>
      <color rgb="FFFF0000"/>
      <name val="Arial"/>
      <family val="2"/>
    </font>
    <font>
      <b/>
      <sz val="12"/>
      <color rgb="FF0070C0"/>
      <name val="Arial"/>
      <family val="2"/>
    </font>
    <font>
      <b/>
      <sz val="12"/>
      <color theme="3"/>
      <name val="Arial"/>
      <family val="2"/>
    </font>
    <font>
      <b/>
      <sz val="14"/>
      <name val="Arial"/>
      <family val="2"/>
    </font>
    <font>
      <sz val="8"/>
      <name val="Arial Narrow"/>
      <family val="2"/>
    </font>
    <font>
      <b/>
      <sz val="9"/>
      <name val="Arial Narrow"/>
      <family val="2"/>
    </font>
    <font>
      <i/>
      <sz val="14"/>
      <color rgb="FFFF0000"/>
      <name val="Arial"/>
      <family val="2"/>
    </font>
    <font>
      <b/>
      <i/>
      <sz val="14"/>
      <color rgb="FFFF0000"/>
      <name val="Arial"/>
      <family val="2"/>
    </font>
    <font>
      <u/>
      <sz val="10"/>
      <name val="Arial"/>
      <family val="2"/>
    </font>
    <font>
      <u/>
      <sz val="9"/>
      <color theme="1"/>
      <name val="Arial"/>
      <family val="2"/>
    </font>
    <font>
      <u/>
      <sz val="10"/>
      <color rgb="FFF0F5E6"/>
      <name val="Arial"/>
      <family val="2"/>
    </font>
    <font>
      <sz val="8"/>
      <color theme="3"/>
      <name val="Arial"/>
      <family val="2"/>
    </font>
    <font>
      <b/>
      <sz val="12"/>
      <color theme="0"/>
      <name val="Arial"/>
      <family val="2"/>
    </font>
    <font>
      <b/>
      <sz val="16"/>
      <color theme="1"/>
      <name val="Arial"/>
      <family val="2"/>
    </font>
    <font>
      <sz val="16"/>
      <color rgb="FFFF0000"/>
      <name val="Arial"/>
      <family val="2"/>
    </font>
    <font>
      <sz val="10"/>
      <color rgb="FFFF00FF"/>
      <name val="Arial"/>
      <family val="2"/>
    </font>
    <font>
      <sz val="9"/>
      <color theme="7"/>
      <name val="Arial"/>
      <family val="2"/>
    </font>
    <font>
      <i/>
      <sz val="10"/>
      <color rgb="FFFF0000"/>
      <name val="Wingdings"/>
      <charset val="2"/>
    </font>
    <font>
      <b/>
      <sz val="11"/>
      <color theme="3"/>
      <name val="Arial"/>
      <family val="2"/>
    </font>
    <font>
      <sz val="8"/>
      <color rgb="FF7030A0"/>
      <name val="Arial"/>
      <family val="2"/>
    </font>
    <font>
      <sz val="10"/>
      <color rgb="FFF0F5E6"/>
      <name val="Arial"/>
      <family val="2"/>
    </font>
    <font>
      <sz val="11"/>
      <color rgb="FFF0F5E6"/>
      <name val="Arial"/>
      <family val="2"/>
    </font>
    <font>
      <u/>
      <sz val="9"/>
      <color rgb="FF081EFC"/>
      <name val="Arial"/>
      <family val="2"/>
    </font>
    <font>
      <sz val="10"/>
      <color theme="6" tint="0.79998168889431442"/>
      <name val="Arial"/>
      <family val="2"/>
    </font>
    <font>
      <sz val="8"/>
      <color theme="0" tint="-0.14999847407452621"/>
      <name val="Arial"/>
      <family val="2"/>
    </font>
    <font>
      <strike/>
      <sz val="9"/>
      <color theme="1"/>
      <name val="Arial"/>
      <family val="2"/>
    </font>
    <font>
      <sz val="10"/>
      <color rgb="FF000000"/>
      <name val="Arial"/>
      <family val="2"/>
    </font>
    <font>
      <sz val="9"/>
      <color rgb="FF000000"/>
      <name val="Arial"/>
      <family val="2"/>
    </font>
    <font>
      <sz val="11"/>
      <color rgb="FF000000"/>
      <name val="Arial"/>
      <family val="2"/>
    </font>
    <font>
      <sz val="11"/>
      <color theme="7"/>
      <name val="Arial"/>
      <family val="2"/>
    </font>
    <font>
      <sz val="14"/>
      <color theme="1"/>
      <name val="Arial"/>
      <family val="2"/>
    </font>
    <font>
      <b/>
      <sz val="11"/>
      <color theme="1"/>
      <name val="Palatino Linotype"/>
      <family val="2"/>
      <scheme val="minor"/>
    </font>
    <font>
      <u/>
      <sz val="14"/>
      <color theme="1"/>
      <name val="Arial"/>
      <family val="2"/>
    </font>
    <font>
      <u/>
      <sz val="8"/>
      <color theme="1"/>
      <name val="Arial"/>
      <family val="2"/>
    </font>
    <font>
      <b/>
      <u/>
      <sz val="14"/>
      <color theme="1"/>
      <name val="Arial"/>
      <family val="2"/>
    </font>
    <font>
      <b/>
      <sz val="11"/>
      <color rgb="FF000000"/>
      <name val="Arial"/>
      <family val="2"/>
    </font>
    <font>
      <b/>
      <sz val="14"/>
      <color theme="1"/>
      <name val="Arial"/>
      <family val="2"/>
    </font>
    <font>
      <sz val="14"/>
      <color theme="1"/>
      <name val="Palatino Linotype"/>
      <family val="2"/>
      <scheme val="minor"/>
    </font>
    <font>
      <sz val="11"/>
      <color rgb="FFEE0000"/>
      <name val="Arial"/>
      <family val="2"/>
    </font>
  </fonts>
  <fills count="55">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lightGray">
        <fgColor theme="6" tint="0.59996337778862885"/>
        <bgColor indexed="65"/>
      </patternFill>
    </fill>
    <fill>
      <patternFill patternType="solid">
        <fgColor indexed="47"/>
        <bgColor indexed="64"/>
      </patternFill>
    </fill>
    <fill>
      <patternFill patternType="solid">
        <fgColor theme="7" tint="0.79998168889431442"/>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rgb="FFF2F2F2"/>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BFD95"/>
        <bgColor indexed="64"/>
      </patternFill>
    </fill>
    <fill>
      <patternFill patternType="solid">
        <fgColor rgb="FFFFF4CA"/>
        <bgColor indexed="64"/>
      </patternFill>
    </fill>
    <fill>
      <patternFill patternType="solid">
        <fgColor theme="7" tint="0.59999389629810485"/>
        <bgColor indexed="64"/>
      </patternFill>
    </fill>
    <fill>
      <patternFill patternType="solid">
        <fgColor rgb="FFCCECFF"/>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99CCFF"/>
        <bgColor indexed="64"/>
      </patternFill>
    </fill>
    <fill>
      <patternFill patternType="solid">
        <fgColor rgb="FFFFFF66"/>
        <bgColor indexed="64"/>
      </patternFill>
    </fill>
    <fill>
      <patternFill patternType="solid">
        <fgColor rgb="FF00B050"/>
        <bgColor indexed="64"/>
      </patternFill>
    </fill>
    <fill>
      <patternFill patternType="solid">
        <fgColor theme="4"/>
        <bgColor indexed="64"/>
      </patternFill>
    </fill>
    <fill>
      <patternFill patternType="solid">
        <fgColor theme="4" tint="-9.9978637043366805E-2"/>
        <bgColor indexed="64"/>
      </patternFill>
    </fill>
    <fill>
      <patternFill patternType="solid">
        <fgColor theme="5" tint="0.39997558519241921"/>
        <bgColor indexed="64"/>
      </patternFill>
    </fill>
    <fill>
      <patternFill patternType="solid">
        <fgColor rgb="FFD9D9D9"/>
        <bgColor indexed="64"/>
      </patternFill>
    </fill>
    <fill>
      <patternFill patternType="lightGray">
        <fgColor theme="6" tint="0.59996337778862885"/>
        <bgColor rgb="FFFFFFFF"/>
      </patternFill>
    </fill>
    <fill>
      <patternFill patternType="lightGray">
        <fgColor theme="6" tint="0.79998168889431442"/>
        <bgColor indexed="65"/>
      </patternFill>
    </fill>
    <fill>
      <patternFill patternType="lightGray">
        <fgColor theme="6" tint="0.79998168889431442"/>
        <bgColor theme="0"/>
      </patternFill>
    </fill>
    <fill>
      <patternFill patternType="solid">
        <fgColor theme="0" tint="-0.249977111117893"/>
        <bgColor indexed="64"/>
      </patternFill>
    </fill>
    <fill>
      <patternFill patternType="solid">
        <fgColor theme="6" tint="-0.249977111117893"/>
        <bgColor indexed="64"/>
      </patternFill>
    </fill>
    <fill>
      <patternFill patternType="solid">
        <fgColor rgb="FFFDDCCC"/>
        <bgColor indexed="64"/>
      </patternFill>
    </fill>
    <fill>
      <patternFill patternType="solid">
        <fgColor rgb="FFE0FDC1"/>
        <bgColor indexed="64"/>
      </patternFill>
    </fill>
    <fill>
      <patternFill patternType="solid">
        <fgColor rgb="FF00B0F0"/>
        <bgColor indexed="64"/>
      </patternFill>
    </fill>
    <fill>
      <patternFill patternType="lightGray">
        <fgColor theme="6" tint="0.79998168889431442"/>
        <bgColor theme="6" tint="0.79998168889431442"/>
      </patternFill>
    </fill>
    <fill>
      <patternFill patternType="solid">
        <fgColor rgb="FFF5FEEC"/>
        <bgColor indexed="64"/>
      </patternFill>
    </fill>
    <fill>
      <patternFill patternType="solid">
        <fgColor theme="5"/>
        <bgColor indexed="64"/>
      </patternFill>
    </fill>
    <fill>
      <patternFill patternType="solid">
        <fgColor theme="2"/>
        <bgColor indexed="64"/>
      </patternFill>
    </fill>
    <fill>
      <patternFill patternType="solid">
        <fgColor rgb="FFFFCCFF"/>
        <bgColor indexed="64"/>
      </patternFill>
    </fill>
    <fill>
      <patternFill patternType="solid">
        <fgColor rgb="FFCCFFFF"/>
        <bgColor indexed="64"/>
      </patternFill>
    </fill>
    <fill>
      <patternFill patternType="solid">
        <fgColor rgb="FFFF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dotted">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bottom style="dotted">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22">
    <xf numFmtId="0" fontId="0" fillId="0" borderId="0"/>
    <xf numFmtId="164" fontId="31" fillId="0" borderId="0" applyFont="0" applyFill="0" applyBorder="0" applyAlignment="0" applyProtection="0"/>
    <xf numFmtId="0" fontId="44"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xf numFmtId="0" fontId="31" fillId="16" borderId="66" applyNumberFormat="0" applyAlignment="0">
      <protection locked="0"/>
    </xf>
    <xf numFmtId="0" fontId="31" fillId="18" borderId="0" applyNumberFormat="0" applyBorder="0" applyAlignment="0" applyProtection="0"/>
    <xf numFmtId="175" fontId="42" fillId="0" borderId="0" applyFont="0" applyFill="0" applyBorder="0" applyAlignment="0" applyProtection="0"/>
    <xf numFmtId="0" fontId="31" fillId="17" borderId="0" applyNumberFormat="0" applyFont="0" applyBorder="0" applyAlignment="0" applyProtection="0"/>
    <xf numFmtId="0" fontId="31" fillId="18" borderId="0" applyNumberFormat="0" applyFont="0" applyBorder="0" applyAlignment="0" applyProtection="0"/>
    <xf numFmtId="14" fontId="42" fillId="16" borderId="14" applyFont="0" applyFill="0" applyBorder="0" applyAlignment="0" applyProtection="0">
      <alignment vertical="center"/>
      <protection locked="0"/>
    </xf>
    <xf numFmtId="0" fontId="31" fillId="16" borderId="66" applyNumberFormat="0" applyAlignment="0">
      <protection locked="0"/>
    </xf>
    <xf numFmtId="0" fontId="35" fillId="16" borderId="14" applyNumberFormat="0" applyFont="0" applyAlignment="0">
      <protection locked="0"/>
    </xf>
    <xf numFmtId="0" fontId="42" fillId="0" borderId="0" applyNumberFormat="0" applyFont="0" applyBorder="0" applyAlignment="0"/>
    <xf numFmtId="0" fontId="42" fillId="20" borderId="0" applyNumberFormat="0" applyFont="0" applyBorder="0" applyAlignment="0" applyProtection="0"/>
    <xf numFmtId="0" fontId="42" fillId="0" borderId="0" applyBorder="0">
      <alignment vertical="center"/>
    </xf>
    <xf numFmtId="2" fontId="42" fillId="0" borderId="0" applyFont="0" applyFill="0" applyBorder="0" applyAlignment="0" applyProtection="0"/>
    <xf numFmtId="49" fontId="42" fillId="0" borderId="0" applyFont="0" applyFill="0" applyBorder="0" applyAlignment="0" applyProtection="0">
      <alignment vertical="center"/>
    </xf>
    <xf numFmtId="176" fontId="42"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42" fillId="0" borderId="0" applyBorder="0">
      <alignment vertical="center"/>
    </xf>
  </cellStyleXfs>
  <cellXfs count="1899">
    <xf numFmtId="0" fontId="0" fillId="0" borderId="0" xfId="0"/>
    <xf numFmtId="0" fontId="30"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Alignment="1" applyProtection="1">
      <alignment horizontal="center"/>
      <protection hidden="1"/>
    </xf>
    <xf numFmtId="0" fontId="38" fillId="0" borderId="0" xfId="0" applyFont="1" applyAlignment="1" applyProtection="1">
      <alignment horizontal="right"/>
      <protection hidden="1"/>
    </xf>
    <xf numFmtId="0" fontId="38" fillId="0" borderId="0" xfId="0" applyFont="1" applyProtection="1">
      <protection hidden="1"/>
    </xf>
    <xf numFmtId="0" fontId="32" fillId="0" borderId="0" xfId="0" applyFont="1" applyProtection="1">
      <protection hidden="1"/>
    </xf>
    <xf numFmtId="0" fontId="30" fillId="0" borderId="0" xfId="0" applyFont="1" applyProtection="1">
      <protection hidden="1"/>
    </xf>
    <xf numFmtId="0" fontId="42" fillId="0" borderId="5" xfId="0" applyFont="1" applyBorder="1" applyProtection="1">
      <protection hidden="1"/>
    </xf>
    <xf numFmtId="0" fontId="43" fillId="0" borderId="0" xfId="0" applyFont="1" applyAlignment="1" applyProtection="1">
      <alignment vertical="top"/>
      <protection hidden="1"/>
    </xf>
    <xf numFmtId="0" fontId="43" fillId="0" borderId="5" xfId="0" applyFont="1" applyBorder="1" applyAlignment="1" applyProtection="1">
      <alignment vertical="top"/>
      <protection hidden="1"/>
    </xf>
    <xf numFmtId="0" fontId="43" fillId="0" borderId="0" xfId="0" applyFont="1" applyProtection="1">
      <protection hidden="1"/>
    </xf>
    <xf numFmtId="0" fontId="37" fillId="0" borderId="0" xfId="0" applyFont="1" applyProtection="1">
      <protection hidden="1"/>
    </xf>
    <xf numFmtId="0" fontId="30" fillId="0" borderId="0" xfId="0" applyFont="1" applyAlignment="1" applyProtection="1">
      <alignment horizontal="right"/>
      <protection hidden="1"/>
    </xf>
    <xf numFmtId="0" fontId="37" fillId="0" borderId="0" xfId="0" applyFont="1"/>
    <xf numFmtId="0" fontId="42" fillId="0" borderId="0" xfId="0" applyFont="1"/>
    <xf numFmtId="0" fontId="0" fillId="0" borderId="5" xfId="0" applyBorder="1"/>
    <xf numFmtId="2" fontId="0" fillId="0" borderId="0" xfId="0" applyNumberFormat="1" applyProtection="1">
      <protection hidden="1"/>
    </xf>
    <xf numFmtId="0" fontId="0" fillId="0" borderId="4" xfId="0" applyBorder="1"/>
    <xf numFmtId="0" fontId="0" fillId="0" borderId="2" xfId="0" applyBorder="1"/>
    <xf numFmtId="0" fontId="43" fillId="0" borderId="2" xfId="0" applyFont="1" applyBorder="1" applyAlignment="1" applyProtection="1">
      <alignment horizontal="center" vertical="top"/>
      <protection hidden="1"/>
    </xf>
    <xf numFmtId="0" fontId="0" fillId="0" borderId="3" xfId="0" applyBorder="1"/>
    <xf numFmtId="0" fontId="30" fillId="0" borderId="6" xfId="0" applyFont="1" applyBorder="1" applyProtection="1">
      <protection hidden="1"/>
    </xf>
    <xf numFmtId="0" fontId="30" fillId="0" borderId="7" xfId="0" applyFont="1" applyBorder="1" applyProtection="1">
      <protection hidden="1"/>
    </xf>
    <xf numFmtId="0" fontId="30" fillId="0" borderId="4" xfId="0" applyFont="1" applyBorder="1" applyProtection="1">
      <protection hidden="1"/>
    </xf>
    <xf numFmtId="2" fontId="42" fillId="0" borderId="7" xfId="0" applyNumberFormat="1" applyFont="1" applyBorder="1" applyProtection="1">
      <protection hidden="1"/>
    </xf>
    <xf numFmtId="0" fontId="30" fillId="0" borderId="7" xfId="0" applyFont="1" applyBorder="1" applyAlignment="1" applyProtection="1">
      <alignment horizontal="right"/>
      <protection hidden="1"/>
    </xf>
    <xf numFmtId="2" fontId="30" fillId="0" borderId="7" xfId="0" applyNumberFormat="1" applyFont="1" applyBorder="1" applyAlignment="1" applyProtection="1">
      <alignment horizontal="right"/>
      <protection hidden="1"/>
    </xf>
    <xf numFmtId="2" fontId="42" fillId="0" borderId="0" xfId="0" applyNumberFormat="1" applyFont="1" applyProtection="1">
      <protection hidden="1"/>
    </xf>
    <xf numFmtId="0" fontId="30" fillId="0" borderId="5" xfId="0" applyFont="1" applyBorder="1" applyProtection="1">
      <protection hidden="1"/>
    </xf>
    <xf numFmtId="0" fontId="36" fillId="0" borderId="0" xfId="0" applyFont="1" applyAlignment="1" applyProtection="1">
      <alignment vertical="center"/>
      <protection hidden="1"/>
    </xf>
    <xf numFmtId="165" fontId="30" fillId="3" borderId="14" xfId="0" applyNumberFormat="1" applyFont="1" applyFill="1" applyBorder="1" applyProtection="1">
      <protection locked="0"/>
    </xf>
    <xf numFmtId="0" fontId="0" fillId="0" borderId="4" xfId="0" applyBorder="1" applyAlignment="1" applyProtection="1">
      <alignment vertical="center"/>
      <protection hidden="1"/>
    </xf>
    <xf numFmtId="0" fontId="30"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41"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41" fillId="0" borderId="0" xfId="0" applyFont="1"/>
    <xf numFmtId="0" fontId="45" fillId="0" borderId="0" xfId="0" applyFont="1" applyProtection="1">
      <protection hidden="1"/>
    </xf>
    <xf numFmtId="0" fontId="46" fillId="0" borderId="0" xfId="0" applyFont="1" applyProtection="1">
      <protection hidden="1"/>
    </xf>
    <xf numFmtId="0" fontId="37" fillId="0" borderId="4" xfId="0" applyFont="1" applyBorder="1" applyAlignment="1" applyProtection="1">
      <alignment horizontal="center"/>
      <protection hidden="1"/>
    </xf>
    <xf numFmtId="0" fontId="37" fillId="0" borderId="5" xfId="0" applyFont="1" applyBorder="1" applyAlignment="1" applyProtection="1">
      <alignment horizontal="center"/>
      <protection hidden="1"/>
    </xf>
    <xf numFmtId="0" fontId="41" fillId="0" borderId="0" xfId="0" applyFont="1" applyProtection="1">
      <protection hidden="1"/>
    </xf>
    <xf numFmtId="0" fontId="30" fillId="0" borderId="4" xfId="0" applyFont="1" applyBorder="1" applyAlignment="1" applyProtection="1">
      <alignment vertical="center"/>
      <protection hidden="1"/>
    </xf>
    <xf numFmtId="0" fontId="37" fillId="7" borderId="14" xfId="0" applyFont="1" applyFill="1" applyBorder="1" applyAlignment="1" applyProtection="1">
      <alignment horizontal="center" vertical="center"/>
      <protection hidden="1"/>
    </xf>
    <xf numFmtId="0" fontId="37" fillId="0" borderId="0" xfId="0" applyFont="1" applyAlignment="1" applyProtection="1">
      <alignment horizontal="center" vertical="center"/>
      <protection hidden="1"/>
    </xf>
    <xf numFmtId="0" fontId="37" fillId="0" borderId="0" xfId="0" applyFont="1" applyAlignment="1" applyProtection="1">
      <alignment horizontal="right" vertical="center"/>
      <protection hidden="1"/>
    </xf>
    <xf numFmtId="0" fontId="30" fillId="0" borderId="5" xfId="0" applyFont="1" applyBorder="1" applyAlignment="1" applyProtection="1">
      <alignment vertical="center"/>
      <protection hidden="1"/>
    </xf>
    <xf numFmtId="0" fontId="36" fillId="0" borderId="4" xfId="0" applyFont="1" applyBorder="1" applyProtection="1">
      <protection hidden="1"/>
    </xf>
    <xf numFmtId="0" fontId="47" fillId="0" borderId="0" xfId="0" applyFont="1" applyAlignment="1" applyProtection="1">
      <alignment horizontal="right"/>
      <protection hidden="1"/>
    </xf>
    <xf numFmtId="0" fontId="37" fillId="0" borderId="0" xfId="0" applyFont="1" applyAlignment="1" applyProtection="1">
      <alignment horizontal="left" vertical="center"/>
      <protection hidden="1"/>
    </xf>
    <xf numFmtId="0" fontId="30" fillId="0" borderId="19" xfId="0" applyFont="1" applyBorder="1" applyProtection="1">
      <protection hidden="1"/>
    </xf>
    <xf numFmtId="0" fontId="30" fillId="2" borderId="20" xfId="0" applyFont="1" applyFill="1" applyBorder="1" applyAlignment="1" applyProtection="1">
      <alignment horizontal="center"/>
      <protection hidden="1"/>
    </xf>
    <xf numFmtId="0" fontId="30" fillId="2" borderId="21" xfId="0" applyFont="1" applyFill="1" applyBorder="1" applyAlignment="1" applyProtection="1">
      <alignment horizontal="center"/>
      <protection hidden="1"/>
    </xf>
    <xf numFmtId="0" fontId="30" fillId="2" borderId="22" xfId="0" applyFont="1" applyFill="1" applyBorder="1" applyAlignment="1" applyProtection="1">
      <alignment horizontal="center"/>
      <protection hidden="1"/>
    </xf>
    <xf numFmtId="0" fontId="30" fillId="0" borderId="0" xfId="0" applyFont="1" applyAlignment="1" applyProtection="1">
      <alignment horizontal="center"/>
      <protection hidden="1"/>
    </xf>
    <xf numFmtId="0" fontId="36" fillId="0" borderId="19" xfId="0" applyFont="1" applyBorder="1" applyProtection="1">
      <protection hidden="1"/>
    </xf>
    <xf numFmtId="0" fontId="30" fillId="2" borderId="23" xfId="0" applyFont="1" applyFill="1" applyBorder="1" applyAlignment="1" applyProtection="1">
      <alignment horizontal="center"/>
      <protection hidden="1"/>
    </xf>
    <xf numFmtId="1" fontId="30" fillId="7" borderId="23" xfId="0" applyNumberFormat="1" applyFont="1" applyFill="1" applyBorder="1" applyAlignment="1" applyProtection="1">
      <alignment horizontal="center"/>
      <protection hidden="1"/>
    </xf>
    <xf numFmtId="0" fontId="36" fillId="0" borderId="24" xfId="0" applyFont="1" applyBorder="1" applyProtection="1">
      <protection hidden="1"/>
    </xf>
    <xf numFmtId="0" fontId="30" fillId="0" borderId="24" xfId="0" applyFont="1" applyBorder="1" applyProtection="1">
      <protection hidden="1"/>
    </xf>
    <xf numFmtId="0" fontId="36" fillId="0" borderId="7" xfId="0" applyFont="1" applyBorder="1" applyProtection="1">
      <protection hidden="1"/>
    </xf>
    <xf numFmtId="0" fontId="52" fillId="0" borderId="0" xfId="0" applyFont="1" applyProtection="1">
      <protection hidden="1"/>
    </xf>
    <xf numFmtId="0" fontId="53" fillId="0" borderId="0" xfId="0" applyFont="1" applyProtection="1">
      <protection hidden="1"/>
    </xf>
    <xf numFmtId="0" fontId="54" fillId="0" borderId="0" xfId="0" applyFont="1" applyProtection="1">
      <protection hidden="1"/>
    </xf>
    <xf numFmtId="0" fontId="42" fillId="0" borderId="0" xfId="0" applyFont="1" applyProtection="1">
      <protection hidden="1"/>
    </xf>
    <xf numFmtId="0" fontId="42" fillId="0" borderId="5" xfId="0" applyFont="1" applyBorder="1"/>
    <xf numFmtId="1" fontId="37" fillId="3" borderId="28" xfId="0" applyNumberFormat="1" applyFont="1" applyFill="1" applyBorder="1" applyAlignment="1" applyProtection="1">
      <alignment horizontal="center"/>
      <protection locked="0"/>
    </xf>
    <xf numFmtId="0" fontId="42" fillId="0" borderId="4" xfId="0" applyFont="1" applyBorder="1" applyProtection="1">
      <protection hidden="1"/>
    </xf>
    <xf numFmtId="0" fontId="47" fillId="0" borderId="0" xfId="0" applyFont="1"/>
    <xf numFmtId="0" fontId="57" fillId="0" borderId="0" xfId="0" applyFont="1"/>
    <xf numFmtId="0" fontId="59" fillId="0" borderId="0" xfId="0" applyFont="1" applyProtection="1">
      <protection hidden="1"/>
    </xf>
    <xf numFmtId="0" fontId="32" fillId="0" borderId="5" xfId="0" applyFont="1" applyBorder="1" applyProtection="1">
      <protection hidden="1"/>
    </xf>
    <xf numFmtId="0" fontId="0" fillId="2" borderId="0" xfId="0" applyFill="1" applyProtection="1">
      <protection hidden="1"/>
    </xf>
    <xf numFmtId="0" fontId="37" fillId="0" borderId="4" xfId="0" applyFont="1" applyBorder="1" applyAlignment="1" applyProtection="1">
      <alignment horizontal="left" vertical="center"/>
      <protection hidden="1"/>
    </xf>
    <xf numFmtId="0" fontId="37"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61" fillId="0" borderId="4" xfId="0" applyFont="1" applyBorder="1" applyProtection="1">
      <protection hidden="1"/>
    </xf>
    <xf numFmtId="0" fontId="0" fillId="0" borderId="23"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42"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43" fillId="7" borderId="14" xfId="0" applyNumberFormat="1" applyFont="1" applyFill="1" applyBorder="1" applyAlignment="1" applyProtection="1">
      <alignment horizontal="right" vertical="center"/>
      <protection hidden="1"/>
    </xf>
    <xf numFmtId="0" fontId="0" fillId="0" borderId="30" xfId="0" applyBorder="1" applyAlignment="1" applyProtection="1">
      <alignment vertical="center"/>
      <protection hidden="1"/>
    </xf>
    <xf numFmtId="167" fontId="42" fillId="0" borderId="0" xfId="0" applyNumberFormat="1" applyFont="1" applyAlignment="1" applyProtection="1">
      <alignment horizontal="right" vertical="center"/>
      <protection hidden="1"/>
    </xf>
    <xf numFmtId="0" fontId="42" fillId="0" borderId="30" xfId="0" applyFont="1" applyBorder="1" applyAlignment="1" applyProtection="1">
      <alignment vertical="center"/>
      <protection hidden="1"/>
    </xf>
    <xf numFmtId="0" fontId="56" fillId="0" borderId="0" xfId="0" applyFont="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43"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37" fillId="2" borderId="0" xfId="0" applyFont="1" applyFill="1" applyProtection="1">
      <protection hidden="1"/>
    </xf>
    <xf numFmtId="16" fontId="42"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43" fillId="7" borderId="12" xfId="0" applyNumberFormat="1" applyFont="1" applyFill="1" applyBorder="1" applyAlignment="1" applyProtection="1">
      <alignment horizontal="right" vertical="center"/>
      <protection hidden="1"/>
    </xf>
    <xf numFmtId="3" fontId="37" fillId="0" borderId="0" xfId="0" applyNumberFormat="1" applyFont="1" applyAlignment="1" applyProtection="1">
      <alignment horizontal="right" vertical="center"/>
      <protection hidden="1"/>
    </xf>
    <xf numFmtId="0" fontId="30" fillId="2" borderId="0" xfId="0" applyFont="1" applyFill="1" applyProtection="1">
      <protection hidden="1"/>
    </xf>
    <xf numFmtId="2" fontId="30" fillId="0" borderId="0" xfId="0" applyNumberFormat="1" applyFont="1" applyAlignment="1" applyProtection="1">
      <alignment horizontal="center"/>
      <protection hidden="1"/>
    </xf>
    <xf numFmtId="0" fontId="36" fillId="2" borderId="0" xfId="0" applyFont="1" applyFill="1" applyProtection="1">
      <protection hidden="1"/>
    </xf>
    <xf numFmtId="2" fontId="42" fillId="2" borderId="0" xfId="0" applyNumberFormat="1" applyFont="1" applyFill="1" applyProtection="1">
      <protection hidden="1"/>
    </xf>
    <xf numFmtId="0" fontId="30" fillId="0" borderId="0" xfId="0" quotePrefix="1" applyFont="1" applyAlignment="1" applyProtection="1">
      <alignment horizontal="left"/>
      <protection hidden="1"/>
    </xf>
    <xf numFmtId="2" fontId="42" fillId="7" borderId="7" xfId="0" applyNumberFormat="1" applyFont="1" applyFill="1" applyBorder="1" applyProtection="1">
      <protection hidden="1"/>
    </xf>
    <xf numFmtId="0" fontId="30" fillId="0" borderId="0" xfId="0" applyFont="1" applyAlignment="1" applyProtection="1">
      <alignment vertical="top"/>
      <protection hidden="1"/>
    </xf>
    <xf numFmtId="1" fontId="37" fillId="0" borderId="0" xfId="0" applyNumberFormat="1" applyFont="1" applyProtection="1">
      <protection hidden="1"/>
    </xf>
    <xf numFmtId="0" fontId="30" fillId="0" borderId="13" xfId="0" applyFont="1" applyBorder="1" applyProtection="1">
      <protection hidden="1"/>
    </xf>
    <xf numFmtId="0" fontId="42" fillId="0" borderId="12" xfId="0" applyFont="1" applyBorder="1" applyProtection="1">
      <protection hidden="1"/>
    </xf>
    <xf numFmtId="0" fontId="42" fillId="0" borderId="18" xfId="0" applyFont="1" applyBorder="1" applyProtection="1">
      <protection hidden="1"/>
    </xf>
    <xf numFmtId="0" fontId="30" fillId="0" borderId="18" xfId="0" applyFont="1" applyBorder="1" applyProtection="1">
      <protection hidden="1"/>
    </xf>
    <xf numFmtId="0" fontId="30" fillId="0" borderId="0" xfId="0" applyFont="1" applyAlignment="1" applyProtection="1">
      <alignment horizontal="left"/>
      <protection hidden="1"/>
    </xf>
    <xf numFmtId="0" fontId="30" fillId="0" borderId="12" xfId="0" applyFont="1" applyBorder="1" applyProtection="1">
      <protection hidden="1"/>
    </xf>
    <xf numFmtId="0" fontId="30" fillId="0" borderId="1" xfId="0" applyFont="1" applyBorder="1" applyProtection="1">
      <protection hidden="1"/>
    </xf>
    <xf numFmtId="0" fontId="30" fillId="0" borderId="2" xfId="0" applyFont="1" applyBorder="1" applyProtection="1">
      <protection hidden="1"/>
    </xf>
    <xf numFmtId="0" fontId="30" fillId="0" borderId="3" xfId="0" applyFont="1" applyBorder="1" applyProtection="1">
      <protection hidden="1"/>
    </xf>
    <xf numFmtId="0" fontId="67" fillId="0" borderId="0" xfId="0" applyFont="1" applyProtection="1">
      <protection hidden="1"/>
    </xf>
    <xf numFmtId="0" fontId="49" fillId="0" borderId="0" xfId="0" applyFont="1" applyAlignment="1" applyProtection="1">
      <alignment horizontal="left"/>
      <protection hidden="1"/>
    </xf>
    <xf numFmtId="0" fontId="30" fillId="8" borderId="0" xfId="0" applyFont="1" applyFill="1" applyProtection="1">
      <protection hidden="1"/>
    </xf>
    <xf numFmtId="0" fontId="42" fillId="8" borderId="0" xfId="0" applyFont="1" applyFill="1" applyAlignment="1" applyProtection="1">
      <alignment horizontal="right"/>
      <protection hidden="1"/>
    </xf>
    <xf numFmtId="0" fontId="0" fillId="8" borderId="0" xfId="0" applyFill="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47" fillId="8" borderId="18" xfId="0" applyFont="1" applyFill="1" applyBorder="1" applyAlignment="1" applyProtection="1">
      <alignment horizontal="right"/>
      <protection hidden="1"/>
    </xf>
    <xf numFmtId="0" fontId="30" fillId="2" borderId="12" xfId="0" applyFont="1" applyFill="1" applyBorder="1" applyAlignment="1" applyProtection="1">
      <alignment horizontal="right"/>
      <protection hidden="1"/>
    </xf>
    <xf numFmtId="169" fontId="37" fillId="7" borderId="13" xfId="0" applyNumberFormat="1" applyFont="1" applyFill="1" applyBorder="1" applyProtection="1">
      <protection hidden="1"/>
    </xf>
    <xf numFmtId="169" fontId="36" fillId="7" borderId="13" xfId="0" applyNumberFormat="1" applyFont="1" applyFill="1" applyBorder="1" applyProtection="1">
      <protection hidden="1"/>
    </xf>
    <xf numFmtId="0" fontId="37" fillId="7" borderId="18" xfId="0" applyFont="1" applyFill="1" applyBorder="1" applyAlignment="1" applyProtection="1">
      <alignment horizontal="left"/>
      <protection hidden="1"/>
    </xf>
    <xf numFmtId="0" fontId="51" fillId="0" borderId="0" xfId="0" applyFont="1"/>
    <xf numFmtId="0" fontId="33" fillId="0" borderId="0" xfId="0" applyFont="1"/>
    <xf numFmtId="14" fontId="30" fillId="3" borderId="15" xfId="0" applyNumberFormat="1" applyFont="1" applyFill="1" applyBorder="1" applyAlignment="1" applyProtection="1">
      <alignment horizontal="center" vertical="center"/>
      <protection locked="0"/>
    </xf>
    <xf numFmtId="14" fontId="42" fillId="3" borderId="15" xfId="0" applyNumberFormat="1" applyFont="1" applyFill="1" applyBorder="1" applyAlignment="1" applyProtection="1">
      <alignment horizontal="center" vertical="center"/>
      <protection locked="0"/>
    </xf>
    <xf numFmtId="170" fontId="37" fillId="3" borderId="14" xfId="0" applyNumberFormat="1" applyFont="1" applyFill="1" applyBorder="1" applyAlignment="1" applyProtection="1">
      <alignment horizontal="center" vertical="center"/>
      <protection locked="0"/>
    </xf>
    <xf numFmtId="0" fontId="43" fillId="2" borderId="0" xfId="0" applyFont="1" applyFill="1" applyAlignment="1" applyProtection="1">
      <alignment vertical="top"/>
      <protection hidden="1"/>
    </xf>
    <xf numFmtId="0" fontId="36" fillId="2" borderId="0" xfId="0" applyFont="1" applyFill="1" applyAlignment="1" applyProtection="1">
      <alignment vertical="center"/>
      <protection hidden="1"/>
    </xf>
    <xf numFmtId="0" fontId="30" fillId="2" borderId="24" xfId="0" applyFont="1" applyFill="1" applyBorder="1" applyAlignment="1" applyProtection="1">
      <alignment horizontal="center" vertical="top"/>
      <protection hidden="1"/>
    </xf>
    <xf numFmtId="0" fontId="30" fillId="2" borderId="24" xfId="0" applyFont="1" applyFill="1" applyBorder="1" applyAlignment="1" applyProtection="1">
      <alignment horizontal="center" vertical="top" wrapText="1"/>
      <protection hidden="1"/>
    </xf>
    <xf numFmtId="0" fontId="36" fillId="2" borderId="23" xfId="0" applyFont="1" applyFill="1" applyBorder="1" applyAlignment="1" applyProtection="1">
      <alignment horizontal="center"/>
      <protection hidden="1"/>
    </xf>
    <xf numFmtId="0" fontId="36" fillId="0" borderId="0" xfId="0" applyFont="1" applyAlignment="1" applyProtection="1">
      <alignment horizontal="center"/>
      <protection hidden="1"/>
    </xf>
    <xf numFmtId="167" fontId="42" fillId="0" borderId="0" xfId="0" applyNumberFormat="1" applyFont="1" applyAlignment="1" applyProtection="1">
      <alignment horizontal="right"/>
      <protection hidden="1"/>
    </xf>
    <xf numFmtId="0" fontId="36" fillId="0" borderId="0" xfId="0" applyFont="1"/>
    <xf numFmtId="3" fontId="30" fillId="7" borderId="23" xfId="0" applyNumberFormat="1" applyFont="1" applyFill="1" applyBorder="1" applyAlignment="1" applyProtection="1">
      <alignment horizontal="center"/>
      <protection hidden="1"/>
    </xf>
    <xf numFmtId="0" fontId="56" fillId="8" borderId="0" xfId="0" applyFont="1" applyFill="1" applyProtection="1">
      <protection hidden="1"/>
    </xf>
    <xf numFmtId="169" fontId="30" fillId="8" borderId="0" xfId="0" applyNumberFormat="1" applyFont="1" applyFill="1" applyProtection="1">
      <protection hidden="1"/>
    </xf>
    <xf numFmtId="2" fontId="30" fillId="3" borderId="8" xfId="0" applyNumberFormat="1" applyFont="1" applyFill="1" applyBorder="1" applyAlignment="1" applyProtection="1">
      <alignment horizontal="center"/>
      <protection locked="0"/>
    </xf>
    <xf numFmtId="2" fontId="30" fillId="3" borderId="13" xfId="0" applyNumberFormat="1" applyFont="1" applyFill="1" applyBorder="1" applyAlignment="1" applyProtection="1">
      <alignment horizontal="center"/>
      <protection locked="0"/>
    </xf>
    <xf numFmtId="2" fontId="30" fillId="0" borderId="17" xfId="0" applyNumberFormat="1" applyFont="1" applyBorder="1" applyAlignment="1" applyProtection="1">
      <alignment horizontal="right"/>
      <protection hidden="1"/>
    </xf>
    <xf numFmtId="14" fontId="30" fillId="3" borderId="14" xfId="0" applyNumberFormat="1" applyFont="1" applyFill="1" applyBorder="1" applyAlignment="1" applyProtection="1">
      <alignment horizontal="center" vertical="center"/>
      <protection locked="0"/>
    </xf>
    <xf numFmtId="14" fontId="36" fillId="7" borderId="14" xfId="0" applyNumberFormat="1" applyFont="1" applyFill="1" applyBorder="1" applyAlignment="1" applyProtection="1">
      <alignment horizontal="center" vertical="center"/>
      <protection hidden="1"/>
    </xf>
    <xf numFmtId="0" fontId="36" fillId="0" borderId="4" xfId="0" applyFont="1" applyBorder="1" applyAlignment="1" applyProtection="1">
      <alignment vertical="center"/>
      <protection hidden="1"/>
    </xf>
    <xf numFmtId="3" fontId="36" fillId="7" borderId="15" xfId="0" applyNumberFormat="1" applyFont="1" applyFill="1" applyBorder="1" applyAlignment="1" applyProtection="1">
      <alignment horizontal="center" vertical="center"/>
      <protection hidden="1"/>
    </xf>
    <xf numFmtId="0" fontId="0" fillId="0" borderId="2" xfId="0" applyBorder="1" applyProtection="1">
      <protection hidden="1"/>
    </xf>
    <xf numFmtId="0" fontId="43" fillId="0" borderId="0" xfId="0" applyFont="1" applyAlignment="1">
      <alignment horizontal="right"/>
    </xf>
    <xf numFmtId="2" fontId="42" fillId="0" borderId="0" xfId="0" applyNumberFormat="1" applyFont="1" applyAlignment="1" applyProtection="1">
      <alignment vertical="center"/>
      <protection hidden="1"/>
    </xf>
    <xf numFmtId="10" fontId="42" fillId="7" borderId="15" xfId="0" applyNumberFormat="1" applyFont="1" applyFill="1" applyBorder="1" applyAlignment="1" applyProtection="1">
      <alignment horizontal="right" vertical="center"/>
      <protection hidden="1"/>
    </xf>
    <xf numFmtId="165" fontId="42" fillId="7" borderId="11" xfId="0" applyNumberFormat="1" applyFont="1" applyFill="1" applyBorder="1" applyAlignment="1" applyProtection="1">
      <alignment horizontal="right" vertical="center"/>
      <protection hidden="1"/>
    </xf>
    <xf numFmtId="165" fontId="42"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30" fillId="2" borderId="19" xfId="0" applyFont="1" applyFill="1" applyBorder="1" applyAlignment="1" applyProtection="1">
      <alignment horizontal="center" vertical="top"/>
      <protection hidden="1"/>
    </xf>
    <xf numFmtId="14" fontId="30" fillId="2" borderId="24" xfId="0" applyNumberFormat="1" applyFont="1" applyFill="1" applyBorder="1" applyAlignment="1" applyProtection="1">
      <alignment horizontal="center" vertical="top"/>
      <protection hidden="1"/>
    </xf>
    <xf numFmtId="0" fontId="74" fillId="0" borderId="0" xfId="0" applyFont="1"/>
    <xf numFmtId="0" fontId="37" fillId="10" borderId="28" xfId="0" applyFont="1" applyFill="1" applyBorder="1" applyAlignment="1">
      <alignment horizontal="left" vertical="center"/>
    </xf>
    <xf numFmtId="0" fontId="37" fillId="10" borderId="41" xfId="0" applyFont="1" applyFill="1" applyBorder="1" applyAlignment="1">
      <alignment horizontal="left" vertical="center" wrapText="1"/>
    </xf>
    <xf numFmtId="0" fontId="37" fillId="10" borderId="29" xfId="0" applyFont="1" applyFill="1" applyBorder="1" applyAlignment="1">
      <alignment horizontal="left" vertical="center"/>
    </xf>
    <xf numFmtId="0" fontId="37" fillId="0" borderId="42" xfId="0" applyFont="1" applyBorder="1" applyAlignment="1">
      <alignment horizontal="left" vertical="top" wrapText="1"/>
    </xf>
    <xf numFmtId="0" fontId="42" fillId="0" borderId="24" xfId="0" quotePrefix="1" applyFont="1" applyBorder="1" applyAlignment="1">
      <alignment horizontal="left" vertical="top" wrapText="1"/>
    </xf>
    <xf numFmtId="0" fontId="42" fillId="0" borderId="43" xfId="0" quotePrefix="1" applyFont="1" applyBorder="1" applyAlignment="1">
      <alignment horizontal="left" vertical="top" wrapText="1"/>
    </xf>
    <xf numFmtId="0" fontId="37" fillId="0" borderId="44" xfId="0" applyFont="1" applyBorder="1" applyAlignment="1">
      <alignment horizontal="left" vertical="top" wrapText="1"/>
    </xf>
    <xf numFmtId="0" fontId="42" fillId="0" borderId="14" xfId="0" quotePrefix="1" applyFont="1" applyBorder="1" applyAlignment="1">
      <alignment horizontal="left" vertical="top" wrapText="1"/>
    </xf>
    <xf numFmtId="0" fontId="42" fillId="0" borderId="45" xfId="0" quotePrefix="1" applyFont="1" applyBorder="1" applyAlignment="1">
      <alignment horizontal="left" vertical="top" wrapText="1"/>
    </xf>
    <xf numFmtId="0" fontId="42" fillId="0" borderId="45" xfId="0" applyFont="1" applyBorder="1" applyAlignment="1">
      <alignment horizontal="left" vertical="top" wrapText="1"/>
    </xf>
    <xf numFmtId="0" fontId="37" fillId="0" borderId="46" xfId="0" applyFont="1" applyBorder="1" applyAlignment="1">
      <alignment horizontal="left" vertical="top" wrapText="1"/>
    </xf>
    <xf numFmtId="0" fontId="42" fillId="0" borderId="47" xfId="0" quotePrefix="1" applyFont="1" applyBorder="1" applyAlignment="1">
      <alignment horizontal="left" vertical="top" wrapText="1"/>
    </xf>
    <xf numFmtId="0" fontId="42" fillId="0" borderId="48" xfId="0" applyFont="1" applyBorder="1" applyAlignment="1">
      <alignment horizontal="left" vertical="top" wrapText="1"/>
    </xf>
    <xf numFmtId="0" fontId="37" fillId="0" borderId="49" xfId="0" applyFont="1" applyBorder="1" applyAlignment="1">
      <alignment horizontal="left" vertical="top" wrapText="1"/>
    </xf>
    <xf numFmtId="0" fontId="42" fillId="0" borderId="50" xfId="0" applyFont="1" applyBorder="1" applyAlignment="1">
      <alignment horizontal="left" vertical="top" wrapText="1"/>
    </xf>
    <xf numFmtId="0" fontId="42" fillId="0" borderId="51" xfId="0" applyFont="1" applyBorder="1" applyAlignment="1">
      <alignment horizontal="left" vertical="top" wrapText="1"/>
    </xf>
    <xf numFmtId="0" fontId="42" fillId="0" borderId="14" xfId="0" applyFont="1" applyBorder="1" applyAlignment="1">
      <alignment horizontal="left" vertical="top" wrapText="1"/>
    </xf>
    <xf numFmtId="0" fontId="42" fillId="0" borderId="47" xfId="0" applyFont="1" applyBorder="1" applyAlignment="1">
      <alignment horizontal="left" vertical="top" wrapText="1"/>
    </xf>
    <xf numFmtId="0" fontId="74" fillId="0" borderId="0" xfId="0" applyFont="1" applyAlignment="1">
      <alignment vertical="center"/>
    </xf>
    <xf numFmtId="0" fontId="37" fillId="0" borderId="0" xfId="0" applyFont="1" applyAlignment="1">
      <alignment vertical="center"/>
    </xf>
    <xf numFmtId="0" fontId="49" fillId="0" borderId="0" xfId="0" applyFont="1" applyAlignment="1">
      <alignment horizontal="left" vertical="center"/>
    </xf>
    <xf numFmtId="0" fontId="30" fillId="0" borderId="0" xfId="0" applyFont="1" applyAlignment="1">
      <alignment horizontal="left" vertical="center"/>
    </xf>
    <xf numFmtId="0" fontId="40" fillId="0" borderId="0" xfId="0" applyFont="1"/>
    <xf numFmtId="0" fontId="49" fillId="0" borderId="0" xfId="0" applyFont="1"/>
    <xf numFmtId="0" fontId="31" fillId="6" borderId="4" xfId="0" applyFont="1" applyFill="1" applyBorder="1"/>
    <xf numFmtId="0" fontId="31" fillId="6" borderId="0" xfId="0" applyFont="1" applyFill="1"/>
    <xf numFmtId="0" fontId="31" fillId="6" borderId="5" xfId="0" applyFont="1" applyFill="1" applyBorder="1"/>
    <xf numFmtId="0" fontId="37" fillId="6" borderId="4" xfId="0" applyFont="1" applyFill="1" applyBorder="1"/>
    <xf numFmtId="0" fontId="37" fillId="6" borderId="1" xfId="0" applyFont="1" applyFill="1" applyBorder="1"/>
    <xf numFmtId="0" fontId="31" fillId="6" borderId="2" xfId="0" applyFont="1" applyFill="1" applyBorder="1"/>
    <xf numFmtId="0" fontId="31" fillId="6" borderId="3" xfId="0" applyFont="1" applyFill="1" applyBorder="1"/>
    <xf numFmtId="0" fontId="31" fillId="6" borderId="6" xfId="0" applyFont="1" applyFill="1" applyBorder="1"/>
    <xf numFmtId="0" fontId="31" fillId="6" borderId="7" xfId="0" applyFont="1" applyFill="1" applyBorder="1"/>
    <xf numFmtId="0" fontId="31" fillId="6" borderId="8" xfId="0" applyFont="1" applyFill="1" applyBorder="1"/>
    <xf numFmtId="0" fontId="42" fillId="6" borderId="0" xfId="0" applyFont="1" applyFill="1"/>
    <xf numFmtId="0" fontId="42" fillId="6" borderId="5" xfId="0" applyFont="1" applyFill="1" applyBorder="1"/>
    <xf numFmtId="0" fontId="37" fillId="3" borderId="14" xfId="0" applyFont="1" applyFill="1" applyBorder="1" applyAlignment="1" applyProtection="1">
      <alignment horizontal="center"/>
      <protection locked="0"/>
    </xf>
    <xf numFmtId="0" fontId="42" fillId="6" borderId="0" xfId="0" applyFont="1" applyFill="1" applyProtection="1">
      <protection hidden="1"/>
    </xf>
    <xf numFmtId="0" fontId="31" fillId="3" borderId="14" xfId="0" applyFont="1" applyFill="1" applyBorder="1" applyProtection="1">
      <protection locked="0"/>
    </xf>
    <xf numFmtId="0" fontId="46" fillId="6" borderId="0" xfId="0" applyFont="1" applyFill="1"/>
    <xf numFmtId="0" fontId="0" fillId="6" borderId="4" xfId="0" applyFill="1" applyBorder="1"/>
    <xf numFmtId="167" fontId="42" fillId="9" borderId="0" xfId="0" applyNumberFormat="1" applyFont="1" applyFill="1" applyProtection="1">
      <protection hidden="1"/>
    </xf>
    <xf numFmtId="0" fontId="54" fillId="0" borderId="0" xfId="0" applyFont="1" applyAlignment="1" applyProtection="1">
      <alignment vertical="center"/>
      <protection hidden="1"/>
    </xf>
    <xf numFmtId="0" fontId="32" fillId="0" borderId="0" xfId="0" applyFont="1"/>
    <xf numFmtId="0" fontId="69" fillId="0" borderId="0" xfId="0" applyFont="1"/>
    <xf numFmtId="171" fontId="30" fillId="0" borderId="0" xfId="0" applyNumberFormat="1" applyFont="1"/>
    <xf numFmtId="172" fontId="30" fillId="0" borderId="0" xfId="0" applyNumberFormat="1" applyFont="1"/>
    <xf numFmtId="0" fontId="65" fillId="0" borderId="0" xfId="0" applyFont="1"/>
    <xf numFmtId="0" fontId="66" fillId="0" borderId="0" xfId="0" applyFont="1"/>
    <xf numFmtId="0" fontId="58" fillId="0" borderId="0" xfId="0" applyFont="1"/>
    <xf numFmtId="0" fontId="30" fillId="2" borderId="13" xfId="0" applyFont="1" applyFill="1" applyBorder="1" applyAlignment="1" applyProtection="1">
      <alignment horizontal="right"/>
      <protection hidden="1"/>
    </xf>
    <xf numFmtId="169" fontId="37" fillId="7" borderId="13" xfId="0" applyNumberFormat="1" applyFont="1" applyFill="1" applyBorder="1" applyAlignment="1" applyProtection="1">
      <alignment horizontal="right"/>
      <protection hidden="1"/>
    </xf>
    <xf numFmtId="167" fontId="37" fillId="7" borderId="34" xfId="1" applyNumberFormat="1" applyFont="1" applyFill="1" applyBorder="1" applyAlignment="1" applyProtection="1">
      <alignment horizontal="right" vertical="center"/>
      <protection hidden="1"/>
    </xf>
    <xf numFmtId="0" fontId="81" fillId="0" borderId="0" xfId="0" applyFont="1"/>
    <xf numFmtId="0" fontId="36" fillId="0" borderId="0" xfId="0" applyFont="1" applyAlignment="1" applyProtection="1">
      <alignment horizontal="left"/>
      <protection hidden="1"/>
    </xf>
    <xf numFmtId="10" fontId="42" fillId="3" borderId="15" xfId="3" applyNumberFormat="1" applyFont="1" applyFill="1" applyBorder="1" applyAlignment="1" applyProtection="1">
      <alignment horizontal="right" vertical="center"/>
      <protection locked="0"/>
    </xf>
    <xf numFmtId="0" fontId="42" fillId="12" borderId="23" xfId="0" applyFont="1" applyFill="1" applyBorder="1" applyAlignment="1">
      <alignment horizontal="center" wrapText="1"/>
    </xf>
    <xf numFmtId="0" fontId="42" fillId="12" borderId="24" xfId="0" applyFont="1" applyFill="1" applyBorder="1" applyAlignment="1">
      <alignment horizontal="center"/>
    </xf>
    <xf numFmtId="0" fontId="42" fillId="13" borderId="23" xfId="0" applyFont="1" applyFill="1" applyBorder="1" applyAlignment="1">
      <alignment horizontal="center" wrapText="1"/>
    </xf>
    <xf numFmtId="0" fontId="0" fillId="0" borderId="0" xfId="0" applyAlignment="1" applyProtection="1">
      <alignment horizontal="center" vertical="center"/>
      <protection hidden="1"/>
    </xf>
    <xf numFmtId="0" fontId="81" fillId="0" borderId="0" xfId="0" applyFont="1" applyProtection="1">
      <protection hidden="1"/>
    </xf>
    <xf numFmtId="0" fontId="82" fillId="0" borderId="0" xfId="0" applyFont="1" applyAlignment="1" applyProtection="1">
      <alignment vertical="center"/>
      <protection hidden="1"/>
    </xf>
    <xf numFmtId="0" fontId="30" fillId="0" borderId="0" xfId="0" applyFont="1" applyAlignment="1" applyProtection="1">
      <alignment horizontal="right" vertical="center"/>
      <protection hidden="1"/>
    </xf>
    <xf numFmtId="0" fontId="82" fillId="0" borderId="0" xfId="0" applyFont="1" applyAlignment="1">
      <alignment horizontal="left" vertical="top"/>
    </xf>
    <xf numFmtId="0" fontId="42" fillId="9" borderId="0" xfId="0" applyFont="1" applyFill="1" applyProtection="1">
      <protection hidden="1"/>
    </xf>
    <xf numFmtId="0" fontId="42" fillId="9" borderId="0" xfId="0" applyFont="1" applyFill="1" applyAlignment="1" applyProtection="1">
      <alignment vertical="center"/>
      <protection hidden="1"/>
    </xf>
    <xf numFmtId="167" fontId="42" fillId="9" borderId="0" xfId="0" applyNumberFormat="1" applyFont="1" applyFill="1" applyAlignment="1" applyProtection="1">
      <alignment vertical="center"/>
      <protection hidden="1"/>
    </xf>
    <xf numFmtId="0" fontId="30" fillId="9" borderId="0" xfId="0" applyFont="1" applyFill="1" applyAlignment="1" applyProtection="1">
      <alignment vertical="center"/>
      <protection hidden="1"/>
    </xf>
    <xf numFmtId="165" fontId="42" fillId="7" borderId="32" xfId="0" applyNumberFormat="1" applyFont="1" applyFill="1" applyBorder="1" applyAlignment="1" applyProtection="1">
      <alignment vertical="center"/>
      <protection hidden="1"/>
    </xf>
    <xf numFmtId="0" fontId="30" fillId="9" borderId="0" xfId="0" applyFont="1" applyFill="1" applyProtection="1">
      <protection hidden="1"/>
    </xf>
    <xf numFmtId="165" fontId="37" fillId="7" borderId="34" xfId="1" applyNumberFormat="1" applyFont="1" applyFill="1" applyBorder="1" applyAlignment="1" applyProtection="1">
      <alignment horizontal="right" vertical="center"/>
      <protection hidden="1"/>
    </xf>
    <xf numFmtId="0" fontId="51" fillId="0" borderId="0" xfId="0" applyFont="1" applyProtection="1">
      <protection hidden="1"/>
    </xf>
    <xf numFmtId="0" fontId="57" fillId="0" borderId="0" xfId="0" applyFont="1" applyAlignment="1" applyProtection="1">
      <alignment vertical="center"/>
      <protection hidden="1"/>
    </xf>
    <xf numFmtId="0" fontId="42" fillId="11" borderId="55" xfId="0" applyFont="1" applyFill="1" applyBorder="1" applyAlignment="1">
      <alignment vertical="center"/>
    </xf>
    <xf numFmtId="0" fontId="42" fillId="11" borderId="40" xfId="0" applyFont="1" applyFill="1" applyBorder="1" applyAlignment="1">
      <alignment vertical="center"/>
    </xf>
    <xf numFmtId="0" fontId="42" fillId="11" borderId="0" xfId="0" applyFont="1" applyFill="1" applyAlignment="1">
      <alignment vertical="center"/>
    </xf>
    <xf numFmtId="0" fontId="37" fillId="11" borderId="40" xfId="0" applyFont="1" applyFill="1" applyBorder="1" applyAlignment="1">
      <alignment vertical="center"/>
    </xf>
    <xf numFmtId="49" fontId="94" fillId="11" borderId="0" xfId="0" applyNumberFormat="1" applyFont="1" applyFill="1" applyAlignment="1">
      <alignment horizontal="center" vertical="center"/>
    </xf>
    <xf numFmtId="0" fontId="37" fillId="11" borderId="0" xfId="0" applyFont="1" applyFill="1" applyAlignment="1">
      <alignment vertical="center"/>
    </xf>
    <xf numFmtId="49" fontId="37" fillId="11" borderId="0" xfId="0" applyNumberFormat="1" applyFont="1" applyFill="1" applyAlignment="1">
      <alignment horizontal="left" vertical="center"/>
    </xf>
    <xf numFmtId="49" fontId="37" fillId="11" borderId="0" xfId="0" applyNumberFormat="1" applyFont="1" applyFill="1" applyAlignment="1">
      <alignment horizontal="center" vertical="center"/>
    </xf>
    <xf numFmtId="0" fontId="35" fillId="11" borderId="0" xfId="5" applyFont="1" applyFill="1" applyBorder="1" applyAlignment="1" applyProtection="1"/>
    <xf numFmtId="0" fontId="37" fillId="11" borderId="0" xfId="0" applyFont="1" applyFill="1" applyAlignment="1">
      <alignment horizontal="right"/>
    </xf>
    <xf numFmtId="14" fontId="35" fillId="11" borderId="0" xfId="5" applyNumberFormat="1" applyFont="1" applyFill="1" applyBorder="1" applyProtection="1"/>
    <xf numFmtId="0" fontId="37" fillId="11" borderId="1" xfId="0" applyFont="1" applyFill="1" applyBorder="1" applyAlignment="1">
      <alignment vertical="center"/>
    </xf>
    <xf numFmtId="0" fontId="37" fillId="11" borderId="2" xfId="0" applyFont="1" applyFill="1" applyBorder="1" applyAlignment="1">
      <alignment vertical="center"/>
    </xf>
    <xf numFmtId="0" fontId="37" fillId="11" borderId="4" xfId="0" applyFont="1" applyFill="1" applyBorder="1" applyAlignment="1">
      <alignment vertical="center"/>
    </xf>
    <xf numFmtId="0" fontId="37" fillId="11" borderId="6" xfId="0" applyFont="1" applyFill="1" applyBorder="1" applyAlignment="1">
      <alignment vertical="center"/>
    </xf>
    <xf numFmtId="0" fontId="42" fillId="11" borderId="60" xfId="0" applyFont="1" applyFill="1" applyBorder="1" applyAlignment="1">
      <alignment vertical="center"/>
    </xf>
    <xf numFmtId="0" fontId="36" fillId="6" borderId="0" xfId="0" applyFont="1" applyFill="1"/>
    <xf numFmtId="4" fontId="36" fillId="0" borderId="10" xfId="0" applyNumberFormat="1" applyFont="1" applyBorder="1" applyAlignment="1" applyProtection="1">
      <alignment horizontal="center"/>
      <protection hidden="1"/>
    </xf>
    <xf numFmtId="4" fontId="36" fillId="20" borderId="15" xfId="0" applyNumberFormat="1" applyFont="1" applyFill="1" applyBorder="1" applyAlignment="1" applyProtection="1">
      <alignment horizontal="center"/>
      <protection hidden="1"/>
    </xf>
    <xf numFmtId="165" fontId="37" fillId="7" borderId="15" xfId="0" applyNumberFormat="1" applyFont="1" applyFill="1" applyBorder="1" applyAlignment="1" applyProtection="1">
      <alignment horizontal="right" vertical="center"/>
      <protection hidden="1"/>
    </xf>
    <xf numFmtId="0" fontId="37" fillId="11" borderId="0" xfId="0" applyFont="1" applyFill="1" applyAlignment="1" applyProtection="1">
      <alignment vertical="center"/>
      <protection hidden="1"/>
    </xf>
    <xf numFmtId="0" fontId="96" fillId="6" borderId="0" xfId="0" applyFont="1" applyFill="1" applyProtection="1">
      <protection hidden="1"/>
    </xf>
    <xf numFmtId="0" fontId="54" fillId="6" borderId="0" xfId="0" applyFont="1" applyFill="1" applyProtection="1">
      <protection hidden="1"/>
    </xf>
    <xf numFmtId="0" fontId="97" fillId="0" borderId="0" xfId="0" applyFont="1"/>
    <xf numFmtId="0" fontId="98" fillId="0" borderId="0" xfId="0" applyFont="1"/>
    <xf numFmtId="0" fontId="97" fillId="0" borderId="0" xfId="0" applyFont="1" applyProtection="1">
      <protection hidden="1"/>
    </xf>
    <xf numFmtId="0" fontId="99" fillId="0" borderId="0" xfId="0" applyFont="1" applyProtection="1">
      <protection hidden="1"/>
    </xf>
    <xf numFmtId="2" fontId="97" fillId="0" borderId="0" xfId="0" applyNumberFormat="1" applyFont="1" applyProtection="1">
      <protection hidden="1"/>
    </xf>
    <xf numFmtId="0" fontId="98" fillId="0" borderId="0" xfId="0" applyFont="1" applyProtection="1">
      <protection hidden="1"/>
    </xf>
    <xf numFmtId="0" fontId="99" fillId="0" borderId="0" xfId="0" applyFont="1" applyAlignment="1" applyProtection="1">
      <alignment horizontal="left"/>
      <protection hidden="1"/>
    </xf>
    <xf numFmtId="14" fontId="32" fillId="0" borderId="0" xfId="0" applyNumberFormat="1" applyFont="1"/>
    <xf numFmtId="14" fontId="82" fillId="0" borderId="0" xfId="0" applyNumberFormat="1" applyFont="1"/>
    <xf numFmtId="14" fontId="81" fillId="0" borderId="0" xfId="0" applyNumberFormat="1" applyFont="1"/>
    <xf numFmtId="0" fontId="82" fillId="0" borderId="0" xfId="0" applyFont="1"/>
    <xf numFmtId="0" fontId="37" fillId="11" borderId="55" xfId="0" applyFont="1" applyFill="1" applyBorder="1" applyAlignment="1">
      <alignment vertical="center"/>
    </xf>
    <xf numFmtId="0" fontId="43" fillId="6" borderId="0" xfId="0" applyFont="1" applyFill="1" applyAlignment="1" applyProtection="1">
      <alignment horizontal="right"/>
      <protection hidden="1"/>
    </xf>
    <xf numFmtId="7" fontId="42" fillId="6" borderId="0" xfId="3" applyNumberFormat="1" applyFont="1" applyFill="1" applyBorder="1" applyAlignment="1" applyProtection="1">
      <alignment horizontal="right"/>
      <protection hidden="1"/>
    </xf>
    <xf numFmtId="14" fontId="30" fillId="0" borderId="4" xfId="0" applyNumberFormat="1" applyFont="1" applyBorder="1" applyAlignment="1" applyProtection="1">
      <alignment horizontal="center" vertical="top"/>
      <protection hidden="1"/>
    </xf>
    <xf numFmtId="0" fontId="101" fillId="0" borderId="4" xfId="0" applyFont="1" applyBorder="1" applyAlignment="1" applyProtection="1">
      <alignment horizontal="center"/>
      <protection hidden="1"/>
    </xf>
    <xf numFmtId="0" fontId="36" fillId="0" borderId="7" xfId="0" applyFont="1" applyBorder="1" applyAlignment="1" applyProtection="1">
      <alignment horizontal="right"/>
      <protection hidden="1"/>
    </xf>
    <xf numFmtId="0" fontId="102" fillId="0" borderId="0" xfId="0" applyFont="1"/>
    <xf numFmtId="0" fontId="103" fillId="0" borderId="0" xfId="0" applyFont="1" applyAlignment="1" applyProtection="1">
      <alignment vertical="center"/>
      <protection hidden="1"/>
    </xf>
    <xf numFmtId="0" fontId="103" fillId="0" borderId="0" xfId="0" applyFont="1"/>
    <xf numFmtId="0" fontId="102" fillId="0" borderId="0" xfId="0" applyFont="1" applyAlignment="1">
      <alignment horizontal="left"/>
    </xf>
    <xf numFmtId="0" fontId="104" fillId="0" borderId="0" xfId="0" applyFont="1"/>
    <xf numFmtId="0" fontId="105" fillId="0" borderId="0" xfId="0" applyFont="1"/>
    <xf numFmtId="0" fontId="70" fillId="0" borderId="4" xfId="0" applyFont="1" applyBorder="1" applyAlignment="1" applyProtection="1">
      <alignment horizontal="center" vertical="top" wrapText="1"/>
      <protection hidden="1"/>
    </xf>
    <xf numFmtId="0" fontId="105" fillId="0" borderId="0" xfId="0" applyFont="1" applyAlignment="1" applyProtection="1">
      <alignment vertical="center"/>
      <protection hidden="1"/>
    </xf>
    <xf numFmtId="0" fontId="31" fillId="6" borderId="0" xfId="0" applyFont="1" applyFill="1" applyAlignment="1">
      <alignment horizontal="left"/>
    </xf>
    <xf numFmtId="0" fontId="37" fillId="11" borderId="0" xfId="0" applyFont="1" applyFill="1" applyAlignment="1">
      <alignment horizontal="left"/>
    </xf>
    <xf numFmtId="0" fontId="42" fillId="11" borderId="56" xfId="0" applyFont="1" applyFill="1" applyBorder="1" applyAlignment="1">
      <alignment vertical="center"/>
    </xf>
    <xf numFmtId="0" fontId="37" fillId="11" borderId="40" xfId="0" applyFont="1" applyFill="1" applyBorder="1" applyAlignment="1">
      <alignment horizontal="center" vertical="center"/>
    </xf>
    <xf numFmtId="0" fontId="35" fillId="6" borderId="0" xfId="0" applyFont="1" applyFill="1"/>
    <xf numFmtId="0" fontId="62" fillId="0" borderId="0" xfId="0" applyFont="1"/>
    <xf numFmtId="0" fontId="44" fillId="0" borderId="0" xfId="2" applyBorder="1" applyAlignment="1" applyProtection="1"/>
    <xf numFmtId="0" fontId="32" fillId="6" borderId="0" xfId="0" applyFont="1" applyFill="1"/>
    <xf numFmtId="0" fontId="106" fillId="6" borderId="0" xfId="2" applyFont="1" applyFill="1" applyAlignment="1" applyProtection="1"/>
    <xf numFmtId="0" fontId="107" fillId="0" borderId="0" xfId="0" applyFont="1" applyProtection="1">
      <protection hidden="1"/>
    </xf>
    <xf numFmtId="0" fontId="95" fillId="0" borderId="0" xfId="0" applyFont="1"/>
    <xf numFmtId="171" fontId="70" fillId="6" borderId="32" xfId="0" applyNumberFormat="1" applyFont="1" applyFill="1" applyBorder="1" applyAlignment="1" applyProtection="1">
      <alignment vertical="center"/>
      <protection hidden="1"/>
    </xf>
    <xf numFmtId="0" fontId="41" fillId="9" borderId="0" xfId="0" applyFont="1" applyFill="1" applyAlignment="1" applyProtection="1">
      <alignment vertical="center"/>
      <protection hidden="1"/>
    </xf>
    <xf numFmtId="0" fontId="41" fillId="6" borderId="0" xfId="0" applyFont="1" applyFill="1" applyProtection="1">
      <protection hidden="1"/>
    </xf>
    <xf numFmtId="2" fontId="41" fillId="6" borderId="0" xfId="0" applyNumberFormat="1" applyFont="1" applyFill="1" applyAlignment="1" applyProtection="1">
      <alignment horizontal="right"/>
      <protection hidden="1"/>
    </xf>
    <xf numFmtId="0" fontId="29" fillId="3" borderId="7" xfId="0" applyFont="1" applyFill="1" applyBorder="1" applyAlignment="1" applyProtection="1">
      <alignment horizontal="center"/>
      <protection locked="0"/>
    </xf>
    <xf numFmtId="0" fontId="37" fillId="11" borderId="60" xfId="0" applyFont="1" applyFill="1" applyBorder="1" applyAlignment="1">
      <alignment horizontal="left" vertical="center"/>
    </xf>
    <xf numFmtId="3" fontId="36" fillId="20" borderId="15" xfId="0" applyNumberFormat="1" applyFont="1" applyFill="1" applyBorder="1" applyAlignment="1">
      <alignment horizontal="center"/>
    </xf>
    <xf numFmtId="165" fontId="42" fillId="22" borderId="15" xfId="0" applyNumberFormat="1" applyFont="1" applyFill="1" applyBorder="1" applyAlignment="1" applyProtection="1">
      <alignment horizontal="right" vertical="center"/>
      <protection locked="0"/>
    </xf>
    <xf numFmtId="14" fontId="28" fillId="3" borderId="14" xfId="0" applyNumberFormat="1" applyFont="1" applyFill="1" applyBorder="1" applyAlignment="1" applyProtection="1">
      <alignment horizontal="center" vertical="center"/>
      <protection locked="0"/>
    </xf>
    <xf numFmtId="14" fontId="36" fillId="3" borderId="14" xfId="0" applyNumberFormat="1" applyFont="1" applyFill="1" applyBorder="1" applyAlignment="1" applyProtection="1">
      <alignment horizontal="center" vertical="center"/>
      <protection locked="0"/>
    </xf>
    <xf numFmtId="1" fontId="28" fillId="3" borderId="20" xfId="0" applyNumberFormat="1" applyFont="1" applyFill="1" applyBorder="1" applyAlignment="1" applyProtection="1">
      <alignment horizontal="center"/>
      <protection locked="0"/>
    </xf>
    <xf numFmtId="1" fontId="28" fillId="3" borderId="21" xfId="0" applyNumberFormat="1" applyFont="1" applyFill="1" applyBorder="1" applyAlignment="1" applyProtection="1">
      <alignment horizontal="center"/>
      <protection locked="0"/>
    </xf>
    <xf numFmtId="1" fontId="28" fillId="3" borderId="22" xfId="0" applyNumberFormat="1" applyFont="1" applyFill="1" applyBorder="1" applyAlignment="1" applyProtection="1">
      <alignment horizontal="center"/>
      <protection locked="0"/>
    </xf>
    <xf numFmtId="3" fontId="28" fillId="3" borderId="20" xfId="0" applyNumberFormat="1" applyFont="1" applyFill="1" applyBorder="1" applyAlignment="1" applyProtection="1">
      <alignment horizontal="center"/>
      <protection locked="0"/>
    </xf>
    <xf numFmtId="3" fontId="28" fillId="3" borderId="21" xfId="0" applyNumberFormat="1" applyFont="1" applyFill="1" applyBorder="1" applyAlignment="1" applyProtection="1">
      <alignment horizontal="center"/>
      <protection locked="0"/>
    </xf>
    <xf numFmtId="3" fontId="28" fillId="3" borderId="22" xfId="0" applyNumberFormat="1" applyFont="1" applyFill="1" applyBorder="1" applyAlignment="1" applyProtection="1">
      <alignment horizontal="center"/>
      <protection locked="0"/>
    </xf>
    <xf numFmtId="7" fontId="42" fillId="3" borderId="14" xfId="19" applyNumberFormat="1" applyFont="1" applyFill="1" applyBorder="1" applyAlignment="1" applyProtection="1">
      <alignment horizontal="right"/>
      <protection locked="0"/>
    </xf>
    <xf numFmtId="168" fontId="37" fillId="15" borderId="14" xfId="0" applyNumberFormat="1" applyFont="1" applyFill="1" applyBorder="1" applyAlignment="1" applyProtection="1">
      <alignment vertical="center"/>
      <protection locked="0"/>
    </xf>
    <xf numFmtId="0" fontId="41" fillId="6" borderId="0" xfId="0" applyFont="1" applyFill="1"/>
    <xf numFmtId="4" fontId="36" fillId="0" borderId="10" xfId="0" applyNumberFormat="1" applyFont="1" applyBorder="1" applyAlignment="1">
      <alignment horizontal="center"/>
    </xf>
    <xf numFmtId="0" fontId="36" fillId="6" borderId="0" xfId="0" applyFont="1" applyFill="1" applyAlignment="1" applyProtection="1">
      <alignment horizontal="center"/>
      <protection hidden="1"/>
    </xf>
    <xf numFmtId="1" fontId="70" fillId="0" borderId="25" xfId="0" applyNumberFormat="1" applyFont="1" applyBorder="1" applyAlignment="1" applyProtection="1">
      <alignment horizontal="center"/>
      <protection hidden="1"/>
    </xf>
    <xf numFmtId="1" fontId="70" fillId="0" borderId="26" xfId="0" applyNumberFormat="1" applyFont="1" applyBorder="1" applyAlignment="1" applyProtection="1">
      <alignment horizontal="center"/>
      <protection hidden="1"/>
    </xf>
    <xf numFmtId="1" fontId="70" fillId="0" borderId="27" xfId="0" applyNumberFormat="1" applyFont="1" applyBorder="1" applyAlignment="1" applyProtection="1">
      <alignment horizontal="center"/>
      <protection hidden="1"/>
    </xf>
    <xf numFmtId="0" fontId="36" fillId="0" borderId="59" xfId="0" applyFont="1" applyBorder="1"/>
    <xf numFmtId="0" fontId="37" fillId="11" borderId="59" xfId="0" applyFont="1" applyFill="1" applyBorder="1" applyAlignment="1">
      <alignment vertical="center"/>
    </xf>
    <xf numFmtId="0" fontId="37" fillId="11" borderId="60" xfId="0" applyFont="1" applyFill="1" applyBorder="1" applyAlignment="1">
      <alignment vertical="center"/>
    </xf>
    <xf numFmtId="0" fontId="37" fillId="11" borderId="0" xfId="0" applyFont="1" applyFill="1"/>
    <xf numFmtId="0" fontId="35" fillId="2" borderId="6" xfId="0" applyFont="1" applyFill="1" applyBorder="1" applyProtection="1">
      <protection hidden="1"/>
    </xf>
    <xf numFmtId="0" fontId="35" fillId="2" borderId="7" xfId="0" applyFont="1" applyFill="1" applyBorder="1" applyProtection="1">
      <protection hidden="1"/>
    </xf>
    <xf numFmtId="0" fontId="35" fillId="2" borderId="8" xfId="0" applyFont="1" applyFill="1" applyBorder="1" applyProtection="1">
      <protection hidden="1"/>
    </xf>
    <xf numFmtId="0" fontId="37" fillId="11" borderId="0" xfId="0" applyFont="1" applyFill="1" applyAlignment="1">
      <alignment horizontal="left" vertical="center"/>
    </xf>
    <xf numFmtId="0" fontId="0" fillId="20" borderId="0" xfId="0" applyFill="1"/>
    <xf numFmtId="0" fontId="37" fillId="11" borderId="0" xfId="0" applyFont="1" applyFill="1" applyAlignment="1">
      <alignment horizontal="center" vertical="center"/>
    </xf>
    <xf numFmtId="0" fontId="37" fillId="6" borderId="0" xfId="0" applyFont="1" applyFill="1" applyAlignment="1">
      <alignment horizontal="center" vertical="center" wrapText="1"/>
    </xf>
    <xf numFmtId="0" fontId="36" fillId="0" borderId="0" xfId="0" applyFont="1" applyAlignment="1">
      <alignment horizontal="center"/>
    </xf>
    <xf numFmtId="4" fontId="36" fillId="20" borderId="0" xfId="0" applyNumberFormat="1" applyFont="1" applyFill="1" applyAlignment="1" applyProtection="1">
      <alignment horizontal="center"/>
      <protection hidden="1"/>
    </xf>
    <xf numFmtId="0" fontId="36" fillId="6" borderId="59" xfId="0" applyFont="1" applyFill="1" applyBorder="1"/>
    <xf numFmtId="4" fontId="36" fillId="20" borderId="52" xfId="0" applyNumberFormat="1" applyFont="1" applyFill="1" applyBorder="1" applyAlignment="1" applyProtection="1">
      <alignment horizontal="left"/>
      <protection hidden="1"/>
    </xf>
    <xf numFmtId="4" fontId="36" fillId="20" borderId="54" xfId="0" applyNumberFormat="1" applyFont="1" applyFill="1" applyBorder="1" applyAlignment="1" applyProtection="1">
      <alignment horizontal="left"/>
      <protection hidden="1"/>
    </xf>
    <xf numFmtId="0" fontId="41" fillId="29" borderId="0" xfId="0" applyFont="1" applyFill="1" applyProtection="1">
      <protection hidden="1"/>
    </xf>
    <xf numFmtId="0" fontId="31" fillId="0" borderId="4" xfId="0" applyFont="1" applyBorder="1"/>
    <xf numFmtId="0" fontId="61" fillId="0" borderId="0" xfId="0" applyFont="1"/>
    <xf numFmtId="0" fontId="31" fillId="0" borderId="0" xfId="0" applyFont="1"/>
    <xf numFmtId="0" fontId="31" fillId="0" borderId="5" xfId="0" applyFont="1" applyBorder="1"/>
    <xf numFmtId="0" fontId="61" fillId="0" borderId="4" xfId="0" applyFont="1" applyBorder="1"/>
    <xf numFmtId="0" fontId="61" fillId="30" borderId="15" xfId="0" applyFont="1" applyFill="1" applyBorder="1" applyAlignment="1" applyProtection="1">
      <alignment horizontal="center" vertical="center"/>
      <protection locked="0"/>
    </xf>
    <xf numFmtId="0" fontId="113" fillId="0" borderId="0" xfId="0" applyFont="1"/>
    <xf numFmtId="0" fontId="61" fillId="0" borderId="5" xfId="0" applyFont="1" applyBorder="1"/>
    <xf numFmtId="0" fontId="114" fillId="0" borderId="0" xfId="0" applyFont="1"/>
    <xf numFmtId="0" fontId="115" fillId="0" borderId="0" xfId="0" applyFont="1"/>
    <xf numFmtId="0" fontId="35" fillId="0" borderId="0" xfId="0" applyFont="1"/>
    <xf numFmtId="0" fontId="113" fillId="0" borderId="4" xfId="0" applyFont="1" applyBorder="1"/>
    <xf numFmtId="0" fontId="73" fillId="0" borderId="0" xfId="0" applyFont="1"/>
    <xf numFmtId="0" fontId="113" fillId="0" borderId="5" xfId="0" applyFont="1" applyBorder="1"/>
    <xf numFmtId="0" fontId="34" fillId="30" borderId="15" xfId="0" applyFont="1" applyFill="1" applyBorder="1" applyAlignment="1" applyProtection="1">
      <alignment horizontal="center" vertical="center"/>
      <protection locked="0"/>
    </xf>
    <xf numFmtId="0" fontId="43" fillId="0" borderId="0" xfId="0" applyFont="1"/>
    <xf numFmtId="0" fontId="73" fillId="0" borderId="5" xfId="0" applyFont="1" applyBorder="1"/>
    <xf numFmtId="0" fontId="35" fillId="0" borderId="5" xfId="0" applyFont="1" applyBorder="1"/>
    <xf numFmtId="0" fontId="37" fillId="30" borderId="15" xfId="0" applyFont="1" applyFill="1" applyBorder="1" applyAlignment="1" applyProtection="1">
      <alignment horizontal="center" vertical="center"/>
      <protection locked="0"/>
    </xf>
    <xf numFmtId="0" fontId="42" fillId="0" borderId="0" xfId="0" applyFont="1" applyAlignment="1">
      <alignment horizontal="left" vertical="top"/>
    </xf>
    <xf numFmtId="0" fontId="42" fillId="0" borderId="5" xfId="0" applyFont="1" applyBorder="1" applyAlignment="1">
      <alignment horizontal="left" vertical="top"/>
    </xf>
    <xf numFmtId="0" fontId="42" fillId="0" borderId="0" xfId="0" applyFont="1" applyAlignment="1">
      <alignment vertical="top"/>
    </xf>
    <xf numFmtId="0" fontId="82" fillId="0" borderId="0" xfId="0" applyFont="1" applyAlignment="1">
      <alignment vertical="top"/>
    </xf>
    <xf numFmtId="0" fontId="42" fillId="0" borderId="0" xfId="0" applyFont="1" applyAlignment="1">
      <alignment horizontal="left"/>
    </xf>
    <xf numFmtId="0" fontId="42" fillId="0" borderId="5" xfId="0" applyFont="1" applyBorder="1" applyAlignment="1">
      <alignment horizontal="left"/>
    </xf>
    <xf numFmtId="0" fontId="31" fillId="0" borderId="81" xfId="0" applyFont="1" applyBorder="1"/>
    <xf numFmtId="0" fontId="31" fillId="0" borderId="82" xfId="0" applyFont="1" applyBorder="1"/>
    <xf numFmtId="0" fontId="35" fillId="0" borderId="82" xfId="0" applyFont="1" applyBorder="1"/>
    <xf numFmtId="0" fontId="42" fillId="0" borderId="82" xfId="0" applyFont="1" applyBorder="1"/>
    <xf numFmtId="0" fontId="42" fillId="0" borderId="83" xfId="0" applyFont="1" applyBorder="1"/>
    <xf numFmtId="0" fontId="31" fillId="6" borderId="0" xfId="0" applyFont="1" applyFill="1" applyAlignment="1">
      <alignment horizontal="center"/>
    </xf>
    <xf numFmtId="0" fontId="31" fillId="0" borderId="0" xfId="0" applyFont="1" applyProtection="1">
      <protection locked="0"/>
    </xf>
    <xf numFmtId="0" fontId="31" fillId="0" borderId="6" xfId="0" applyFont="1" applyBorder="1"/>
    <xf numFmtId="0" fontId="0" fillId="0" borderId="7" xfId="0" applyBorder="1"/>
    <xf numFmtId="0" fontId="35" fillId="0" borderId="7" xfId="0" applyFont="1" applyBorder="1"/>
    <xf numFmtId="0" fontId="31" fillId="0" borderId="8" xfId="0" applyFont="1" applyBorder="1"/>
    <xf numFmtId="0" fontId="44" fillId="0" borderId="0" xfId="2" applyFill="1" applyBorder="1" applyAlignment="1" applyProtection="1">
      <alignment horizontal="center" wrapText="1"/>
      <protection hidden="1"/>
    </xf>
    <xf numFmtId="0" fontId="44" fillId="0" borderId="0" xfId="2" applyFill="1" applyBorder="1" applyAlignment="1" applyProtection="1">
      <protection hidden="1"/>
    </xf>
    <xf numFmtId="0" fontId="116" fillId="0" borderId="8" xfId="0" applyFont="1" applyBorder="1" applyAlignment="1" applyProtection="1">
      <alignment horizontal="right"/>
      <protection hidden="1"/>
    </xf>
    <xf numFmtId="0" fontId="26" fillId="0" borderId="0" xfId="0" applyFont="1" applyAlignment="1" applyProtection="1">
      <alignment vertical="center"/>
      <protection hidden="1"/>
    </xf>
    <xf numFmtId="0" fontId="0" fillId="0" borderId="0" xfId="0" applyAlignment="1">
      <alignment wrapText="1"/>
    </xf>
    <xf numFmtId="0" fontId="42" fillId="31" borderId="0" xfId="21" applyFill="1" applyAlignment="1">
      <alignment vertical="center" wrapText="1"/>
    </xf>
    <xf numFmtId="0" fontId="37" fillId="0" borderId="14" xfId="21" applyFont="1" applyBorder="1" applyAlignment="1">
      <alignment horizontal="center" vertical="center" wrapText="1"/>
    </xf>
    <xf numFmtId="0" fontId="25" fillId="2" borderId="13" xfId="0" applyFont="1" applyFill="1" applyBorder="1" applyAlignment="1" applyProtection="1">
      <alignment horizontal="center"/>
      <protection hidden="1"/>
    </xf>
    <xf numFmtId="0" fontId="25" fillId="2" borderId="18" xfId="0" applyFont="1" applyFill="1" applyBorder="1" applyAlignment="1" applyProtection="1">
      <alignment horizontal="center"/>
      <protection hidden="1"/>
    </xf>
    <xf numFmtId="0" fontId="24" fillId="0" borderId="0" xfId="0" applyFont="1" applyAlignment="1" applyProtection="1">
      <alignment horizontal="right"/>
      <protection hidden="1"/>
    </xf>
    <xf numFmtId="14" fontId="30" fillId="3" borderId="15" xfId="0" applyNumberFormat="1" applyFont="1" applyFill="1" applyBorder="1" applyAlignment="1" applyProtection="1">
      <alignment horizontal="center"/>
      <protection locked="0"/>
    </xf>
    <xf numFmtId="0" fontId="120" fillId="6" borderId="0" xfId="0" applyFont="1" applyFill="1" applyProtection="1">
      <protection hidden="1"/>
    </xf>
    <xf numFmtId="1" fontId="30" fillId="0" borderId="0" xfId="0" applyNumberFormat="1" applyFont="1" applyAlignment="1" applyProtection="1">
      <alignment vertical="center"/>
      <protection hidden="1"/>
    </xf>
    <xf numFmtId="0" fontId="23" fillId="0" borderId="0" xfId="0" applyFont="1" applyProtection="1">
      <protection hidden="1"/>
    </xf>
    <xf numFmtId="1" fontId="23" fillId="7" borderId="14" xfId="0" applyNumberFormat="1" applyFont="1" applyFill="1" applyBorder="1" applyAlignment="1" applyProtection="1">
      <alignment horizontal="center"/>
      <protection hidden="1"/>
    </xf>
    <xf numFmtId="0" fontId="22" fillId="0" borderId="0" xfId="0" applyFont="1" applyProtection="1">
      <protection hidden="1"/>
    </xf>
    <xf numFmtId="14" fontId="32" fillId="0" borderId="0" xfId="0" applyNumberFormat="1" applyFont="1" applyProtection="1">
      <protection hidden="1"/>
    </xf>
    <xf numFmtId="0" fontId="32" fillId="6" borderId="0" xfId="0" applyFont="1" applyFill="1" applyProtection="1">
      <protection hidden="1"/>
    </xf>
    <xf numFmtId="0" fontId="36" fillId="2" borderId="23" xfId="0" applyFont="1" applyFill="1" applyBorder="1" applyAlignment="1" applyProtection="1">
      <alignment horizontal="center" wrapText="1"/>
      <protection hidden="1"/>
    </xf>
    <xf numFmtId="182" fontId="42" fillId="2" borderId="19" xfId="0" applyNumberFormat="1" applyFont="1" applyFill="1" applyBorder="1" applyAlignment="1" applyProtection="1">
      <alignment horizontal="center" vertical="top" wrapText="1"/>
      <protection hidden="1"/>
    </xf>
    <xf numFmtId="181" fontId="37" fillId="0" borderId="0" xfId="0" applyNumberFormat="1" applyFont="1" applyAlignment="1" applyProtection="1">
      <alignment horizontal="center" wrapText="1"/>
      <protection hidden="1"/>
    </xf>
    <xf numFmtId="0" fontId="121" fillId="0" borderId="0" xfId="0" applyFont="1" applyAlignment="1">
      <alignment horizontal="left" vertical="center" indent="6"/>
    </xf>
    <xf numFmtId="0" fontId="21" fillId="0" borderId="0" xfId="0" applyFont="1" applyAlignment="1" applyProtection="1">
      <alignment vertical="center"/>
      <protection hidden="1"/>
    </xf>
    <xf numFmtId="0" fontId="20" fillId="0" borderId="0" xfId="0" applyFont="1"/>
    <xf numFmtId="14" fontId="20" fillId="0" borderId="14" xfId="0" applyNumberFormat="1" applyFont="1" applyBorder="1" applyAlignment="1">
      <alignment horizontal="center" vertical="top" wrapText="1"/>
    </xf>
    <xf numFmtId="0" fontId="20" fillId="0" borderId="14" xfId="0" applyFont="1" applyBorder="1" applyAlignment="1">
      <alignment vertical="top" wrapText="1"/>
    </xf>
    <xf numFmtId="2" fontId="41" fillId="29" borderId="0" xfId="0" applyNumberFormat="1" applyFont="1" applyFill="1" applyAlignment="1" applyProtection="1">
      <alignment horizontal="right"/>
      <protection hidden="1"/>
    </xf>
    <xf numFmtId="14" fontId="42" fillId="3" borderId="14" xfId="0" applyNumberFormat="1" applyFont="1" applyFill="1" applyBorder="1" applyAlignment="1" applyProtection="1">
      <alignment horizontal="center" vertical="center"/>
      <protection locked="0"/>
    </xf>
    <xf numFmtId="14" fontId="30" fillId="6" borderId="0" xfId="0" applyNumberFormat="1" applyFont="1" applyFill="1" applyAlignment="1" applyProtection="1">
      <alignment horizontal="center" vertical="center"/>
      <protection hidden="1"/>
    </xf>
    <xf numFmtId="0" fontId="68" fillId="6" borderId="4" xfId="0" applyFont="1" applyFill="1" applyBorder="1"/>
    <xf numFmtId="0" fontId="68" fillId="6" borderId="5" xfId="0" applyFont="1" applyFill="1" applyBorder="1"/>
    <xf numFmtId="0" fontId="68" fillId="6" borderId="6" xfId="0" applyFont="1" applyFill="1" applyBorder="1"/>
    <xf numFmtId="0" fontId="68" fillId="6" borderId="7" xfId="0" applyFont="1" applyFill="1" applyBorder="1"/>
    <xf numFmtId="0" fontId="68" fillId="6" borderId="8" xfId="0" applyFont="1" applyFill="1" applyBorder="1"/>
    <xf numFmtId="0" fontId="44" fillId="6" borderId="0" xfId="2" applyFill="1" applyBorder="1" applyAlignment="1" applyProtection="1"/>
    <xf numFmtId="0" fontId="61" fillId="0" borderId="1" xfId="0" applyFont="1" applyBorder="1" applyAlignment="1">
      <alignment vertical="center"/>
    </xf>
    <xf numFmtId="0" fontId="14" fillId="0" borderId="2" xfId="0" applyFont="1" applyBorder="1"/>
    <xf numFmtId="0" fontId="14" fillId="0" borderId="84" xfId="0" applyFont="1" applyBorder="1"/>
    <xf numFmtId="0" fontId="61" fillId="0" borderId="56" xfId="0" applyFont="1" applyBorder="1" applyAlignment="1">
      <alignment vertical="center"/>
    </xf>
    <xf numFmtId="0" fontId="61" fillId="0" borderId="55" xfId="0" applyFont="1" applyBorder="1" applyAlignment="1">
      <alignment vertical="center"/>
    </xf>
    <xf numFmtId="0" fontId="73" fillId="0" borderId="55" xfId="0" applyFont="1" applyBorder="1" applyAlignment="1">
      <alignment vertical="center"/>
    </xf>
    <xf numFmtId="0" fontId="37" fillId="11" borderId="2" xfId="0" applyFont="1" applyFill="1" applyBorder="1" applyAlignment="1">
      <alignment horizontal="right" vertical="center"/>
    </xf>
    <xf numFmtId="14" fontId="42" fillId="11" borderId="57" xfId="0" applyNumberFormat="1" applyFont="1" applyFill="1" applyBorder="1" applyAlignment="1">
      <alignment horizontal="left" vertical="center"/>
    </xf>
    <xf numFmtId="0" fontId="14" fillId="15" borderId="0" xfId="0" applyFont="1" applyFill="1"/>
    <xf numFmtId="0" fontId="14" fillId="0" borderId="60" xfId="0" applyFont="1" applyBorder="1"/>
    <xf numFmtId="0" fontId="14" fillId="0" borderId="61" xfId="0" applyFont="1" applyBorder="1"/>
    <xf numFmtId="0" fontId="73" fillId="0" borderId="59" xfId="0" applyFont="1" applyBorder="1" applyAlignment="1">
      <alignment vertical="center"/>
    </xf>
    <xf numFmtId="0" fontId="73" fillId="0" borderId="60" xfId="0" applyFont="1" applyBorder="1" applyAlignment="1">
      <alignment vertical="center"/>
    </xf>
    <xf numFmtId="173" fontId="14" fillId="15" borderId="0" xfId="0" applyNumberFormat="1" applyFont="1" applyFill="1"/>
    <xf numFmtId="0" fontId="14" fillId="32" borderId="76" xfId="0" applyFont="1" applyFill="1" applyBorder="1"/>
    <xf numFmtId="0" fontId="14" fillId="32" borderId="55" xfId="0" applyFont="1" applyFill="1" applyBorder="1"/>
    <xf numFmtId="0" fontId="14" fillId="32" borderId="57" xfId="0" applyFont="1" applyFill="1" applyBorder="1"/>
    <xf numFmtId="0" fontId="73" fillId="11" borderId="40" xfId="0" applyFont="1" applyFill="1" applyBorder="1" applyAlignment="1">
      <alignment vertical="center"/>
    </xf>
    <xf numFmtId="0" fontId="73" fillId="11" borderId="0" xfId="0" applyFont="1" applyFill="1" applyAlignment="1">
      <alignment vertical="center"/>
    </xf>
    <xf numFmtId="0" fontId="14" fillId="11" borderId="0" xfId="0" applyFont="1" applyFill="1"/>
    <xf numFmtId="0" fontId="14" fillId="11" borderId="39" xfId="0" applyFont="1" applyFill="1" applyBorder="1"/>
    <xf numFmtId="0" fontId="0" fillId="0" borderId="14" xfId="0" applyBorder="1"/>
    <xf numFmtId="0" fontId="36" fillId="32" borderId="4" xfId="0" applyFont="1" applyFill="1" applyBorder="1"/>
    <xf numFmtId="0" fontId="37" fillId="32" borderId="0" xfId="0" applyFont="1" applyFill="1" applyAlignment="1">
      <alignment horizontal="left" vertical="center"/>
    </xf>
    <xf numFmtId="0" fontId="14" fillId="32" borderId="39" xfId="0" applyFont="1" applyFill="1" applyBorder="1"/>
    <xf numFmtId="1" fontId="123" fillId="11" borderId="0" xfId="0" applyNumberFormat="1" applyFont="1" applyFill="1" applyAlignment="1">
      <alignment vertical="center"/>
    </xf>
    <xf numFmtId="0" fontId="124" fillId="11" borderId="0" xfId="0" applyFont="1" applyFill="1"/>
    <xf numFmtId="0" fontId="125" fillId="11" borderId="0" xfId="0" applyFont="1" applyFill="1"/>
    <xf numFmtId="1" fontId="37" fillId="11" borderId="0" xfId="0" applyNumberFormat="1" applyFont="1" applyFill="1" applyAlignment="1">
      <alignment vertical="center"/>
    </xf>
    <xf numFmtId="1" fontId="126" fillId="11" borderId="0" xfId="0" applyNumberFormat="1" applyFont="1" applyFill="1" applyAlignment="1">
      <alignment vertical="center"/>
    </xf>
    <xf numFmtId="0" fontId="37" fillId="32" borderId="0" xfId="0" applyFont="1" applyFill="1" applyAlignment="1">
      <alignment vertical="center"/>
    </xf>
    <xf numFmtId="0" fontId="127" fillId="11" borderId="0" xfId="0" applyFont="1" applyFill="1"/>
    <xf numFmtId="0" fontId="126" fillId="11" borderId="0" xfId="0" applyFont="1" applyFill="1" applyAlignment="1">
      <alignment vertical="center"/>
    </xf>
    <xf numFmtId="0" fontId="37" fillId="32" borderId="4" xfId="0" applyFont="1" applyFill="1" applyBorder="1" applyAlignment="1">
      <alignment horizontal="left"/>
    </xf>
    <xf numFmtId="0" fontId="37" fillId="32" borderId="0" xfId="0" applyFont="1" applyFill="1" applyAlignment="1">
      <alignment horizontal="center" vertical="center"/>
    </xf>
    <xf numFmtId="1" fontId="37" fillId="11" borderId="0" xfId="0" applyNumberFormat="1" applyFont="1" applyFill="1" applyAlignment="1">
      <alignment horizontal="left" vertical="center"/>
    </xf>
    <xf numFmtId="0" fontId="128" fillId="32" borderId="4" xfId="0" applyFont="1" applyFill="1" applyBorder="1"/>
    <xf numFmtId="0" fontId="128" fillId="32" borderId="0" xfId="0" applyFont="1" applyFill="1" applyAlignment="1">
      <alignment horizontal="center" vertical="center"/>
    </xf>
    <xf numFmtId="0" fontId="128" fillId="11" borderId="40" xfId="0" applyFont="1" applyFill="1" applyBorder="1" applyAlignment="1">
      <alignment vertical="center"/>
    </xf>
    <xf numFmtId="0" fontId="128" fillId="11" borderId="0" xfId="0" applyFont="1" applyFill="1" applyAlignment="1">
      <alignment vertical="center"/>
    </xf>
    <xf numFmtId="0" fontId="14" fillId="29" borderId="49" xfId="0" applyFont="1" applyFill="1" applyBorder="1"/>
    <xf numFmtId="0" fontId="14" fillId="29" borderId="50" xfId="0" applyFont="1" applyFill="1" applyBorder="1"/>
    <xf numFmtId="0" fontId="14" fillId="29" borderId="64" xfId="0" applyFont="1" applyFill="1" applyBorder="1"/>
    <xf numFmtId="0" fontId="14" fillId="29" borderId="51" xfId="0" applyFont="1" applyFill="1" applyBorder="1"/>
    <xf numFmtId="0" fontId="123" fillId="11" borderId="0" xfId="0" applyFont="1" applyFill="1" applyAlignment="1">
      <alignment vertical="center"/>
    </xf>
    <xf numFmtId="165" fontId="14" fillId="29" borderId="46" xfId="0" applyNumberFormat="1" applyFont="1" applyFill="1" applyBorder="1"/>
    <xf numFmtId="178" fontId="14" fillId="29" borderId="47" xfId="0" applyNumberFormat="1" applyFont="1" applyFill="1" applyBorder="1"/>
    <xf numFmtId="183" fontId="14" fillId="29" borderId="47" xfId="0" applyNumberFormat="1" applyFont="1" applyFill="1" applyBorder="1"/>
    <xf numFmtId="173" fontId="14" fillId="29" borderId="47" xfId="0" applyNumberFormat="1" applyFont="1" applyFill="1" applyBorder="1"/>
    <xf numFmtId="179" fontId="14" fillId="29" borderId="72" xfId="0" applyNumberFormat="1" applyFont="1" applyFill="1" applyBorder="1"/>
    <xf numFmtId="179" fontId="14" fillId="29" borderId="46" xfId="0" applyNumberFormat="1" applyFont="1" applyFill="1" applyBorder="1"/>
    <xf numFmtId="179" fontId="14" fillId="29" borderId="85" xfId="0" applyNumberFormat="1" applyFont="1" applyFill="1" applyBorder="1"/>
    <xf numFmtId="0" fontId="36" fillId="32" borderId="73" xfId="0" applyFont="1" applyFill="1" applyBorder="1"/>
    <xf numFmtId="0" fontId="37" fillId="32" borderId="60" xfId="0" applyFont="1" applyFill="1" applyBorder="1" applyAlignment="1">
      <alignment horizontal="center" vertical="center"/>
    </xf>
    <xf numFmtId="0" fontId="14" fillId="32" borderId="61" xfId="0" applyFont="1" applyFill="1" applyBorder="1"/>
    <xf numFmtId="0" fontId="37" fillId="11" borderId="60" xfId="0" applyFont="1" applyFill="1" applyBorder="1"/>
    <xf numFmtId="0" fontId="37" fillId="11" borderId="60" xfId="0" applyFont="1" applyFill="1" applyBorder="1" applyAlignment="1">
      <alignment horizontal="right"/>
    </xf>
    <xf numFmtId="1" fontId="37" fillId="11" borderId="60" xfId="0" applyNumberFormat="1" applyFont="1" applyFill="1" applyBorder="1" applyAlignment="1">
      <alignment vertical="center"/>
    </xf>
    <xf numFmtId="14" fontId="42" fillId="11" borderId="60" xfId="0" applyNumberFormat="1" applyFont="1" applyFill="1" applyBorder="1" applyAlignment="1">
      <alignment horizontal="left" vertical="center"/>
    </xf>
    <xf numFmtId="0" fontId="14" fillId="11" borderId="61" xfId="0" applyFont="1" applyFill="1" applyBorder="1"/>
    <xf numFmtId="0" fontId="0" fillId="15" borderId="0" xfId="0" applyFill="1" applyAlignment="1">
      <alignment vertical="center"/>
    </xf>
    <xf numFmtId="0" fontId="14" fillId="33" borderId="56" xfId="0" applyFont="1" applyFill="1" applyBorder="1"/>
    <xf numFmtId="0" fontId="14" fillId="33" borderId="55" xfId="0" applyFont="1" applyFill="1" applyBorder="1"/>
    <xf numFmtId="0" fontId="14" fillId="33" borderId="57" xfId="0" applyFont="1" applyFill="1" applyBorder="1"/>
    <xf numFmtId="49" fontId="36" fillId="15" borderId="50" xfId="0" applyNumberFormat="1" applyFont="1" applyFill="1" applyBorder="1" applyAlignment="1" applyProtection="1">
      <alignment horizontal="center" vertical="center"/>
      <protection locked="0"/>
    </xf>
    <xf numFmtId="49" fontId="37" fillId="11" borderId="55" xfId="0" applyNumberFormat="1" applyFont="1" applyFill="1" applyBorder="1" applyAlignment="1">
      <alignment horizontal="center" vertical="center"/>
    </xf>
    <xf numFmtId="0" fontId="14" fillId="11" borderId="57" xfId="0" applyFont="1" applyFill="1" applyBorder="1"/>
    <xf numFmtId="0" fontId="14" fillId="33" borderId="40" xfId="0" applyFont="1" applyFill="1" applyBorder="1"/>
    <xf numFmtId="0" fontId="14" fillId="33" borderId="0" xfId="0" applyFont="1" applyFill="1"/>
    <xf numFmtId="0" fontId="14" fillId="33" borderId="39" xfId="0" applyFont="1" applyFill="1" applyBorder="1"/>
    <xf numFmtId="0" fontId="37" fillId="11" borderId="0" xfId="0" applyFont="1" applyFill="1" applyAlignment="1" applyProtection="1">
      <alignment horizontal="left" vertical="center"/>
      <protection hidden="1"/>
    </xf>
    <xf numFmtId="0" fontId="49" fillId="33" borderId="40" xfId="0" applyFont="1" applyFill="1" applyBorder="1"/>
    <xf numFmtId="14" fontId="49" fillId="25" borderId="4" xfId="0" applyNumberFormat="1" applyFont="1" applyFill="1" applyBorder="1" applyAlignment="1" applyProtection="1">
      <alignment horizontal="left" vertical="center"/>
      <protection hidden="1"/>
    </xf>
    <xf numFmtId="0" fontId="14" fillId="11" borderId="40" xfId="0" applyFont="1" applyFill="1" applyBorder="1"/>
    <xf numFmtId="14" fontId="36" fillId="15" borderId="14" xfId="0" applyNumberFormat="1" applyFont="1" applyFill="1" applyBorder="1" applyAlignment="1" applyProtection="1">
      <alignment horizontal="center" vertical="center"/>
      <protection locked="0"/>
    </xf>
    <xf numFmtId="0" fontId="90" fillId="25" borderId="0" xfId="0" applyFont="1" applyFill="1" applyAlignment="1" applyProtection="1">
      <alignment horizontal="right" vertical="top"/>
      <protection hidden="1"/>
    </xf>
    <xf numFmtId="14" fontId="80" fillId="23" borderId="14" xfId="0" applyNumberFormat="1" applyFont="1" applyFill="1" applyBorder="1" applyAlignment="1" applyProtection="1">
      <alignment horizontal="center" vertical="center"/>
      <protection locked="0"/>
    </xf>
    <xf numFmtId="14" fontId="49" fillId="11" borderId="2" xfId="0" applyNumberFormat="1" applyFont="1" applyFill="1" applyBorder="1" applyAlignment="1" applyProtection="1">
      <alignment vertical="center"/>
      <protection hidden="1"/>
    </xf>
    <xf numFmtId="0" fontId="42" fillId="11" borderId="0" xfId="0" applyFont="1" applyFill="1" applyAlignment="1" applyProtection="1">
      <alignment vertical="center"/>
      <protection hidden="1"/>
    </xf>
    <xf numFmtId="0" fontId="35" fillId="11" borderId="0" xfId="5" applyFont="1" applyFill="1" applyBorder="1" applyAlignment="1" applyProtection="1">
      <protection hidden="1"/>
    </xf>
    <xf numFmtId="0" fontId="37" fillId="11" borderId="0" xfId="0" applyFont="1" applyFill="1" applyAlignment="1" applyProtection="1">
      <alignment horizontal="right"/>
      <protection hidden="1"/>
    </xf>
    <xf numFmtId="14" fontId="35" fillId="11" borderId="0" xfId="5" applyNumberFormat="1" applyFont="1" applyFill="1" applyBorder="1" applyProtection="1">
      <protection hidden="1"/>
    </xf>
    <xf numFmtId="0" fontId="14" fillId="11" borderId="0" xfId="0" applyFont="1" applyFill="1" applyProtection="1">
      <protection hidden="1"/>
    </xf>
    <xf numFmtId="0" fontId="14" fillId="11" borderId="39" xfId="0" applyFont="1" applyFill="1" applyBorder="1" applyProtection="1">
      <protection hidden="1"/>
    </xf>
    <xf numFmtId="0" fontId="14" fillId="15" borderId="0" xfId="0" applyFont="1" applyFill="1" applyProtection="1">
      <protection hidden="1"/>
    </xf>
    <xf numFmtId="0" fontId="14" fillId="6" borderId="0" xfId="0" applyFont="1" applyFill="1"/>
    <xf numFmtId="168" fontId="37" fillId="11" borderId="0" xfId="0" applyNumberFormat="1" applyFont="1" applyFill="1" applyAlignment="1">
      <alignment vertical="center"/>
    </xf>
    <xf numFmtId="0" fontId="14" fillId="11" borderId="45" xfId="0" applyFont="1" applyFill="1" applyBorder="1"/>
    <xf numFmtId="14" fontId="36" fillId="15" borderId="14" xfId="0" applyNumberFormat="1" applyFont="1" applyFill="1" applyBorder="1" applyAlignment="1" applyProtection="1">
      <alignment vertical="center"/>
      <protection locked="0"/>
    </xf>
    <xf numFmtId="14" fontId="36" fillId="15" borderId="45" xfId="0" applyNumberFormat="1" applyFont="1" applyFill="1" applyBorder="1" applyAlignment="1" applyProtection="1">
      <alignment vertical="center"/>
      <protection locked="0"/>
    </xf>
    <xf numFmtId="2" fontId="36" fillId="15" borderId="14" xfId="0" applyNumberFormat="1" applyFont="1" applyFill="1" applyBorder="1" applyAlignment="1" applyProtection="1">
      <alignment vertical="center"/>
      <protection locked="0"/>
    </xf>
    <xf numFmtId="2" fontId="36" fillId="15" borderId="45" xfId="0" applyNumberFormat="1" applyFont="1" applyFill="1" applyBorder="1" applyAlignment="1" applyProtection="1">
      <alignment vertical="center"/>
      <protection locked="0"/>
    </xf>
    <xf numFmtId="2" fontId="14" fillId="15" borderId="0" xfId="0" applyNumberFormat="1" applyFont="1" applyFill="1" applyProtection="1">
      <protection hidden="1"/>
    </xf>
    <xf numFmtId="0" fontId="14" fillId="33" borderId="60" xfId="0" applyFont="1" applyFill="1" applyBorder="1"/>
    <xf numFmtId="0" fontId="14" fillId="33" borderId="61" xfId="0" applyFont="1" applyFill="1" applyBorder="1"/>
    <xf numFmtId="0" fontId="37" fillId="11" borderId="59" xfId="0" applyFont="1" applyFill="1" applyBorder="1" applyAlignment="1">
      <alignment horizontal="left" vertical="center"/>
    </xf>
    <xf numFmtId="0" fontId="37" fillId="11" borderId="60" xfId="0" applyFont="1" applyFill="1" applyBorder="1" applyAlignment="1">
      <alignment horizontal="left" vertical="top"/>
    </xf>
    <xf numFmtId="0" fontId="42" fillId="11" borderId="60" xfId="0" applyFont="1" applyFill="1" applyBorder="1" applyAlignment="1">
      <alignment horizontal="left" vertical="top"/>
    </xf>
    <xf numFmtId="168" fontId="37" fillId="15" borderId="47" xfId="0" applyNumberFormat="1" applyFont="1" applyFill="1" applyBorder="1" applyAlignment="1" applyProtection="1">
      <alignment vertical="center"/>
      <protection locked="0"/>
    </xf>
    <xf numFmtId="168" fontId="37" fillId="11" borderId="60" xfId="0" applyNumberFormat="1" applyFont="1" applyFill="1" applyBorder="1" applyAlignment="1">
      <alignment vertical="center"/>
    </xf>
    <xf numFmtId="0" fontId="0" fillId="15" borderId="0" xfId="0" applyFill="1" applyAlignment="1">
      <alignment horizontal="left" vertical="center"/>
    </xf>
    <xf numFmtId="0" fontId="36" fillId="24" borderId="6" xfId="0" applyFont="1" applyFill="1" applyBorder="1" applyAlignment="1">
      <alignment horizontal="center" vertical="top" wrapText="1"/>
    </xf>
    <xf numFmtId="0" fontId="36" fillId="24" borderId="23" xfId="0" applyFont="1" applyFill="1" applyBorder="1" applyAlignment="1">
      <alignment horizontal="center" vertical="top" wrapText="1"/>
    </xf>
    <xf numFmtId="0" fontId="130" fillId="15" borderId="40" xfId="0" applyFont="1" applyFill="1" applyBorder="1" applyAlignment="1">
      <alignment vertical="center" wrapText="1"/>
    </xf>
    <xf numFmtId="0" fontId="129" fillId="23" borderId="75" xfId="0" applyFont="1" applyFill="1" applyBorder="1" applyAlignment="1" applyProtection="1">
      <alignment horizontal="center" vertical="center" wrapText="1"/>
      <protection locked="0"/>
    </xf>
    <xf numFmtId="0" fontId="37" fillId="11" borderId="48" xfId="0" applyFont="1" applyFill="1" applyBorder="1" applyAlignment="1">
      <alignment horizontal="center" vertical="center" wrapText="1"/>
    </xf>
    <xf numFmtId="0" fontId="37" fillId="24" borderId="70" xfId="0" applyFont="1" applyFill="1" applyBorder="1" applyAlignment="1">
      <alignment horizontal="center" vertical="top" wrapText="1"/>
    </xf>
    <xf numFmtId="0" fontId="37" fillId="24" borderId="47" xfId="0" applyFont="1" applyFill="1" applyBorder="1" applyAlignment="1">
      <alignment horizontal="center" vertical="top" wrapText="1"/>
    </xf>
    <xf numFmtId="0" fontId="37" fillId="11" borderId="59" xfId="0" applyFont="1" applyFill="1" applyBorder="1" applyAlignment="1">
      <alignment horizontal="center" vertical="top" wrapText="1"/>
    </xf>
    <xf numFmtId="0" fontId="37" fillId="11" borderId="73" xfId="0" applyFont="1" applyFill="1" applyBorder="1" applyAlignment="1">
      <alignment horizontal="center" vertical="top" wrapText="1"/>
    </xf>
    <xf numFmtId="0" fontId="72" fillId="20" borderId="0" xfId="0" applyFont="1" applyFill="1" applyAlignment="1">
      <alignment horizontal="center"/>
    </xf>
    <xf numFmtId="0" fontId="133" fillId="11" borderId="14" xfId="0" applyFont="1" applyFill="1" applyBorder="1" applyAlignment="1">
      <alignment horizontal="center" wrapText="1"/>
    </xf>
    <xf numFmtId="0" fontId="133" fillId="11" borderId="14" xfId="0" applyFont="1" applyFill="1" applyBorder="1" applyAlignment="1">
      <alignment horizontal="center"/>
    </xf>
    <xf numFmtId="0" fontId="134" fillId="25" borderId="14" xfId="0" applyFont="1" applyFill="1" applyBorder="1" applyAlignment="1">
      <alignment horizontal="center"/>
    </xf>
    <xf numFmtId="0" fontId="134" fillId="25" borderId="14" xfId="0" applyFont="1" applyFill="1" applyBorder="1" applyAlignment="1">
      <alignment horizontal="center" wrapText="1"/>
    </xf>
    <xf numFmtId="0" fontId="135" fillId="19" borderId="14" xfId="0" applyFont="1" applyFill="1" applyBorder="1" applyAlignment="1">
      <alignment horizontal="center"/>
    </xf>
    <xf numFmtId="0" fontId="135" fillId="19" borderId="14" xfId="0" applyFont="1" applyFill="1" applyBorder="1" applyAlignment="1">
      <alignment horizontal="center" wrapText="1"/>
    </xf>
    <xf numFmtId="173" fontId="49" fillId="20" borderId="14" xfId="0" applyNumberFormat="1" applyFont="1" applyFill="1" applyBorder="1" applyAlignment="1">
      <alignment horizontal="center"/>
    </xf>
    <xf numFmtId="173" fontId="65" fillId="20" borderId="14" xfId="0" applyNumberFormat="1" applyFont="1" applyFill="1" applyBorder="1" applyAlignment="1">
      <alignment horizontal="center"/>
    </xf>
    <xf numFmtId="0" fontId="0" fillId="6" borderId="0" xfId="0" applyFill="1" applyAlignment="1">
      <alignment horizontal="center" vertical="center" wrapText="1"/>
    </xf>
    <xf numFmtId="0" fontId="0" fillId="6" borderId="40" xfId="0" applyFill="1" applyBorder="1" applyAlignment="1">
      <alignment horizontal="center" vertical="center" wrapText="1"/>
    </xf>
    <xf numFmtId="0" fontId="37" fillId="6" borderId="0" xfId="0" applyFont="1" applyFill="1" applyAlignment="1">
      <alignment horizontal="center" vertical="top" wrapText="1"/>
    </xf>
    <xf numFmtId="0" fontId="37" fillId="6" borderId="5" xfId="0" applyFont="1" applyFill="1" applyBorder="1" applyAlignment="1">
      <alignment horizontal="center" vertical="top" wrapText="1"/>
    </xf>
    <xf numFmtId="0" fontId="49" fillId="6" borderId="0" xfId="0" applyFont="1" applyFill="1" applyAlignment="1">
      <alignment horizontal="center" vertical="top" wrapText="1"/>
    </xf>
    <xf numFmtId="0" fontId="37" fillId="6" borderId="39" xfId="0" applyFont="1" applyFill="1" applyBorder="1" applyAlignment="1">
      <alignment horizontal="center" vertical="center" wrapText="1"/>
    </xf>
    <xf numFmtId="0" fontId="72" fillId="6" borderId="0" xfId="0" applyFont="1" applyFill="1" applyAlignment="1">
      <alignment horizontal="center"/>
    </xf>
    <xf numFmtId="0" fontId="72" fillId="6" borderId="0" xfId="0" applyFont="1" applyFill="1" applyAlignment="1">
      <alignment wrapText="1"/>
    </xf>
    <xf numFmtId="0" fontId="72" fillId="6" borderId="0" xfId="0" applyFont="1" applyFill="1" applyAlignment="1">
      <alignment horizontal="center" wrapText="1"/>
    </xf>
    <xf numFmtId="173" fontId="72" fillId="6" borderId="0" xfId="0" applyNumberFormat="1" applyFont="1" applyFill="1" applyAlignment="1">
      <alignment horizontal="center"/>
    </xf>
    <xf numFmtId="0" fontId="36" fillId="6" borderId="40" xfId="0" applyFont="1" applyFill="1" applyBorder="1"/>
    <xf numFmtId="0" fontId="0" fillId="6" borderId="60" xfId="0" applyFill="1" applyBorder="1" applyAlignment="1">
      <alignment horizontal="center" vertical="center" wrapText="1"/>
    </xf>
    <xf numFmtId="0" fontId="0" fillId="6" borderId="61" xfId="0" applyFill="1" applyBorder="1" applyAlignment="1">
      <alignment horizontal="center" vertical="center" wrapText="1"/>
    </xf>
    <xf numFmtId="0" fontId="37" fillId="6" borderId="60" xfId="0" applyFont="1" applyFill="1" applyBorder="1" applyAlignment="1">
      <alignment horizontal="center" vertical="center" wrapText="1"/>
    </xf>
    <xf numFmtId="0" fontId="37" fillId="6" borderId="60" xfId="0" applyFont="1" applyFill="1" applyBorder="1" applyAlignment="1">
      <alignment horizontal="center" vertical="top" wrapText="1"/>
    </xf>
    <xf numFmtId="0" fontId="37" fillId="6" borderId="93" xfId="0" applyFont="1" applyFill="1" applyBorder="1" applyAlignment="1">
      <alignment horizontal="center" vertical="top" wrapText="1"/>
    </xf>
    <xf numFmtId="0" fontId="49" fillId="6" borderId="60" xfId="0" applyFont="1" applyFill="1" applyBorder="1" applyAlignment="1">
      <alignment horizontal="center" vertical="top" wrapText="1"/>
    </xf>
    <xf numFmtId="0" fontId="37" fillId="6" borderId="61" xfId="0" applyFont="1" applyFill="1" applyBorder="1" applyAlignment="1">
      <alignment horizontal="center" vertical="center" wrapText="1"/>
    </xf>
    <xf numFmtId="49" fontId="14" fillId="26" borderId="42" xfId="0" applyNumberFormat="1" applyFont="1" applyFill="1" applyBorder="1" applyAlignment="1" applyProtection="1">
      <alignment horizontal="center"/>
      <protection locked="0"/>
    </xf>
    <xf numFmtId="173" fontId="14" fillId="26" borderId="8" xfId="0" applyNumberFormat="1" applyFont="1" applyFill="1" applyBorder="1" applyAlignment="1" applyProtection="1">
      <alignment horizontal="center"/>
      <protection locked="0"/>
    </xf>
    <xf numFmtId="4" fontId="14" fillId="26" borderId="24" xfId="0" applyNumberFormat="1" applyFont="1" applyFill="1" applyBorder="1" applyProtection="1">
      <protection locked="0"/>
    </xf>
    <xf numFmtId="4" fontId="14" fillId="20" borderId="24" xfId="0" applyNumberFormat="1" applyFont="1" applyFill="1" applyBorder="1"/>
    <xf numFmtId="49" fontId="14" fillId="15" borderId="49" xfId="0" applyNumberFormat="1" applyFont="1" applyFill="1" applyBorder="1" applyAlignment="1" applyProtection="1">
      <alignment horizontal="center"/>
      <protection locked="0"/>
    </xf>
    <xf numFmtId="1" fontId="14" fillId="15" borderId="8" xfId="0" applyNumberFormat="1" applyFont="1" applyFill="1" applyBorder="1" applyAlignment="1" applyProtection="1">
      <alignment horizontal="center"/>
      <protection locked="0"/>
    </xf>
    <xf numFmtId="173" fontId="14" fillId="15" borderId="8" xfId="0" applyNumberFormat="1" applyFont="1" applyFill="1" applyBorder="1" applyAlignment="1" applyProtection="1">
      <alignment horizontal="center"/>
      <protection locked="0"/>
    </xf>
    <xf numFmtId="4" fontId="14" fillId="15" borderId="8" xfId="0" applyNumberFormat="1" applyFont="1" applyFill="1" applyBorder="1" applyAlignment="1" applyProtection="1">
      <alignment horizontal="center"/>
      <protection locked="0"/>
    </xf>
    <xf numFmtId="4" fontId="14" fillId="6" borderId="8" xfId="0" applyNumberFormat="1" applyFont="1" applyFill="1" applyBorder="1" applyAlignment="1" applyProtection="1">
      <alignment horizontal="center"/>
      <protection hidden="1"/>
    </xf>
    <xf numFmtId="4" fontId="14" fillId="6" borderId="24" xfId="0" applyNumberFormat="1" applyFont="1" applyFill="1" applyBorder="1" applyAlignment="1">
      <alignment horizontal="center"/>
    </xf>
    <xf numFmtId="4" fontId="14" fillId="15" borderId="24" xfId="0" applyNumberFormat="1" applyFont="1" applyFill="1" applyBorder="1" applyAlignment="1" applyProtection="1">
      <alignment horizontal="center"/>
      <protection locked="0"/>
    </xf>
    <xf numFmtId="4" fontId="14" fillId="0" borderId="24" xfId="0" applyNumberFormat="1" applyFont="1" applyBorder="1" applyAlignment="1">
      <alignment horizontal="center"/>
    </xf>
    <xf numFmtId="4" fontId="14" fillId="0" borderId="43" xfId="0" applyNumberFormat="1" applyFont="1" applyBorder="1" applyAlignment="1">
      <alignment horizontal="center"/>
    </xf>
    <xf numFmtId="4" fontId="14" fillId="20" borderId="0" xfId="0" applyNumberFormat="1" applyFont="1" applyFill="1" applyAlignment="1">
      <alignment horizontal="center"/>
    </xf>
    <xf numFmtId="4" fontId="49" fillId="20" borderId="1" xfId="0" applyNumberFormat="1" applyFont="1" applyFill="1" applyBorder="1" applyAlignment="1">
      <alignment horizontal="center"/>
    </xf>
    <xf numFmtId="4" fontId="41" fillId="20" borderId="2" xfId="0" applyNumberFormat="1" applyFont="1" applyFill="1" applyBorder="1" applyAlignment="1">
      <alignment horizontal="center"/>
    </xf>
    <xf numFmtId="4" fontId="65" fillId="20" borderId="2" xfId="0" applyNumberFormat="1" applyFont="1" applyFill="1" applyBorder="1" applyAlignment="1">
      <alignment horizontal="center"/>
    </xf>
    <xf numFmtId="4" fontId="47" fillId="20" borderId="2" xfId="0" applyNumberFormat="1" applyFont="1" applyFill="1" applyBorder="1" applyAlignment="1">
      <alignment horizontal="center"/>
    </xf>
    <xf numFmtId="4" fontId="66" fillId="20" borderId="2" xfId="0" applyNumberFormat="1" applyFont="1" applyFill="1" applyBorder="1" applyAlignment="1">
      <alignment horizontal="center"/>
    </xf>
    <xf numFmtId="4" fontId="55" fillId="20" borderId="2" xfId="0" applyNumberFormat="1" applyFont="1" applyFill="1" applyBorder="1" applyAlignment="1">
      <alignment horizontal="center"/>
    </xf>
    <xf numFmtId="173" fontId="14" fillId="20" borderId="2" xfId="0" applyNumberFormat="1" applyFont="1" applyFill="1" applyBorder="1" applyAlignment="1">
      <alignment horizontal="center"/>
    </xf>
    <xf numFmtId="49" fontId="14" fillId="26" borderId="44" xfId="0" applyNumberFormat="1" applyFont="1" applyFill="1" applyBorder="1" applyAlignment="1" applyProtection="1">
      <alignment horizontal="center"/>
      <protection locked="0"/>
    </xf>
    <xf numFmtId="173" fontId="14" fillId="26" borderId="13" xfId="0" applyNumberFormat="1" applyFont="1" applyFill="1" applyBorder="1" applyAlignment="1" applyProtection="1">
      <alignment horizontal="center"/>
      <protection locked="0"/>
    </xf>
    <xf numFmtId="4" fontId="14" fillId="26" borderId="14" xfId="0" applyNumberFormat="1" applyFont="1" applyFill="1" applyBorder="1" applyProtection="1">
      <protection locked="0"/>
    </xf>
    <xf numFmtId="4" fontId="14" fillId="20" borderId="14" xfId="0" applyNumberFormat="1" applyFont="1" applyFill="1" applyBorder="1"/>
    <xf numFmtId="49" fontId="14" fillId="15" borderId="44" xfId="0" applyNumberFormat="1" applyFont="1" applyFill="1" applyBorder="1" applyAlignment="1" applyProtection="1">
      <alignment horizontal="center"/>
      <protection locked="0"/>
    </xf>
    <xf numFmtId="173" fontId="14" fillId="15" borderId="13" xfId="0" applyNumberFormat="1" applyFont="1" applyFill="1" applyBorder="1" applyAlignment="1" applyProtection="1">
      <alignment horizontal="center"/>
      <protection locked="0"/>
    </xf>
    <xf numFmtId="1" fontId="14" fillId="15" borderId="13" xfId="0" applyNumberFormat="1" applyFont="1" applyFill="1" applyBorder="1" applyAlignment="1" applyProtection="1">
      <alignment horizontal="center"/>
      <protection locked="0"/>
    </xf>
    <xf numFmtId="4" fontId="14" fillId="15" borderId="13" xfId="0" applyNumberFormat="1" applyFont="1" applyFill="1" applyBorder="1" applyAlignment="1" applyProtection="1">
      <alignment horizontal="center"/>
      <protection locked="0"/>
    </xf>
    <xf numFmtId="4" fontId="14" fillId="15" borderId="14" xfId="0" applyNumberFormat="1" applyFont="1" applyFill="1" applyBorder="1" applyAlignment="1" applyProtection="1">
      <alignment horizontal="center"/>
      <protection locked="0"/>
    </xf>
    <xf numFmtId="4" fontId="49" fillId="20" borderId="4" xfId="0" applyNumberFormat="1" applyFont="1" applyFill="1" applyBorder="1" applyAlignment="1">
      <alignment horizontal="center"/>
    </xf>
    <xf numFmtId="4" fontId="41" fillId="20" borderId="0" xfId="0" applyNumberFormat="1" applyFont="1" applyFill="1" applyAlignment="1">
      <alignment horizontal="center"/>
    </xf>
    <xf numFmtId="4" fontId="65" fillId="20" borderId="0" xfId="0" applyNumberFormat="1" applyFont="1" applyFill="1" applyAlignment="1">
      <alignment horizontal="center"/>
    </xf>
    <xf numFmtId="4" fontId="47" fillId="20" borderId="0" xfId="0" applyNumberFormat="1" applyFont="1" applyFill="1" applyAlignment="1">
      <alignment horizontal="center"/>
    </xf>
    <xf numFmtId="4" fontId="66" fillId="20" borderId="0" xfId="0" applyNumberFormat="1" applyFont="1" applyFill="1" applyAlignment="1">
      <alignment horizontal="center"/>
    </xf>
    <xf numFmtId="4" fontId="55" fillId="20" borderId="0" xfId="0" applyNumberFormat="1" applyFont="1" applyFill="1" applyAlignment="1">
      <alignment horizontal="center"/>
    </xf>
    <xf numFmtId="173" fontId="14" fillId="20" borderId="0" xfId="0" applyNumberFormat="1" applyFont="1" applyFill="1" applyAlignment="1">
      <alignment horizontal="center"/>
    </xf>
    <xf numFmtId="49" fontId="14" fillId="26" borderId="46" xfId="0" applyNumberFormat="1" applyFont="1" applyFill="1" applyBorder="1" applyAlignment="1" applyProtection="1">
      <alignment horizontal="center"/>
      <protection locked="0"/>
    </xf>
    <xf numFmtId="49" fontId="14" fillId="15" borderId="46" xfId="0" applyNumberFormat="1" applyFont="1" applyFill="1" applyBorder="1" applyAlignment="1" applyProtection="1">
      <alignment horizontal="center"/>
      <protection locked="0"/>
    </xf>
    <xf numFmtId="4" fontId="49" fillId="20" borderId="6" xfId="0" applyNumberFormat="1" applyFont="1" applyFill="1" applyBorder="1" applyAlignment="1">
      <alignment horizontal="center"/>
    </xf>
    <xf numFmtId="4" fontId="41" fillId="20" borderId="7" xfId="0" applyNumberFormat="1" applyFont="1" applyFill="1" applyBorder="1" applyAlignment="1">
      <alignment horizontal="center"/>
    </xf>
    <xf numFmtId="4" fontId="65" fillId="20" borderId="7" xfId="0" applyNumberFormat="1" applyFont="1" applyFill="1" applyBorder="1" applyAlignment="1">
      <alignment horizontal="center"/>
    </xf>
    <xf numFmtId="4" fontId="47" fillId="20" borderId="7" xfId="0" applyNumberFormat="1" applyFont="1" applyFill="1" applyBorder="1" applyAlignment="1">
      <alignment horizontal="center"/>
    </xf>
    <xf numFmtId="4" fontId="66" fillId="20" borderId="7" xfId="0" applyNumberFormat="1" applyFont="1" applyFill="1" applyBorder="1" applyAlignment="1">
      <alignment horizontal="center"/>
    </xf>
    <xf numFmtId="4" fontId="55" fillId="20" borderId="7" xfId="0" applyNumberFormat="1" applyFont="1" applyFill="1" applyBorder="1" applyAlignment="1">
      <alignment horizontal="center"/>
    </xf>
    <xf numFmtId="173" fontId="14" fillId="20" borderId="7" xfId="0" applyNumberFormat="1" applyFont="1" applyFill="1" applyBorder="1" applyAlignment="1">
      <alignment horizontal="center"/>
    </xf>
    <xf numFmtId="0" fontId="36" fillId="6" borderId="54" xfId="0" applyFont="1" applyFill="1" applyBorder="1" applyAlignment="1">
      <alignment horizontal="left" vertical="top" wrapText="1"/>
    </xf>
    <xf numFmtId="177" fontId="14" fillId="20" borderId="9" xfId="0" applyNumberFormat="1" applyFont="1" applyFill="1" applyBorder="1" applyAlignment="1">
      <alignment horizontal="center"/>
    </xf>
    <xf numFmtId="44" fontId="14" fillId="20" borderId="15" xfId="3" applyFont="1" applyFill="1" applyBorder="1"/>
    <xf numFmtId="177" fontId="14" fillId="20" borderId="15" xfId="0" applyNumberFormat="1" applyFont="1" applyFill="1" applyBorder="1" applyAlignment="1">
      <alignment horizontal="center"/>
    </xf>
    <xf numFmtId="177" fontId="14" fillId="6" borderId="9" xfId="0" applyNumberFormat="1" applyFont="1" applyFill="1" applyBorder="1" applyAlignment="1">
      <alignment horizontal="center"/>
    </xf>
    <xf numFmtId="165" fontId="14" fillId="20" borderId="9" xfId="0" applyNumberFormat="1" applyFont="1" applyFill="1" applyBorder="1" applyAlignment="1">
      <alignment horizontal="center"/>
    </xf>
    <xf numFmtId="177" fontId="36" fillId="20" borderId="15" xfId="0" applyNumberFormat="1" applyFont="1" applyFill="1" applyBorder="1" applyAlignment="1">
      <alignment horizontal="center"/>
    </xf>
    <xf numFmtId="0" fontId="109" fillId="6" borderId="55" xfId="0" applyFont="1" applyFill="1" applyBorder="1" applyAlignment="1">
      <alignment vertical="top"/>
    </xf>
    <xf numFmtId="0" fontId="109" fillId="25" borderId="0" xfId="0" applyFont="1" applyFill="1" applyAlignment="1">
      <alignment horizontal="left" vertical="center"/>
    </xf>
    <xf numFmtId="4" fontId="49" fillId="11" borderId="14" xfId="0" applyNumberFormat="1" applyFont="1" applyFill="1" applyBorder="1" applyAlignment="1">
      <alignment horizontal="center"/>
    </xf>
    <xf numFmtId="4" fontId="41" fillId="11" borderId="14" xfId="0" applyNumberFormat="1" applyFont="1" applyFill="1" applyBorder="1" applyAlignment="1">
      <alignment horizontal="center"/>
    </xf>
    <xf numFmtId="4" fontId="47" fillId="25" borderId="14" xfId="0" applyNumberFormat="1" applyFont="1" applyFill="1" applyBorder="1" applyAlignment="1">
      <alignment horizontal="center"/>
    </xf>
    <xf numFmtId="4" fontId="55" fillId="19" borderId="14" xfId="0" applyNumberFormat="1" applyFont="1" applyFill="1" applyBorder="1" applyAlignment="1">
      <alignment horizontal="center"/>
    </xf>
    <xf numFmtId="0" fontId="109" fillId="6" borderId="0" xfId="0" applyFont="1" applyFill="1" applyAlignment="1">
      <alignment horizontal="left" vertical="center"/>
    </xf>
    <xf numFmtId="4" fontId="14" fillId="6" borderId="7" xfId="0" applyNumberFormat="1" applyFont="1" applyFill="1" applyBorder="1" applyAlignment="1" applyProtection="1">
      <alignment horizontal="center"/>
      <protection hidden="1"/>
    </xf>
    <xf numFmtId="4" fontId="14" fillId="6" borderId="50" xfId="0" applyNumberFormat="1" applyFont="1" applyFill="1" applyBorder="1" applyAlignment="1">
      <alignment horizontal="center"/>
    </xf>
    <xf numFmtId="173" fontId="133" fillId="7" borderId="0" xfId="0" applyNumberFormat="1" applyFont="1" applyFill="1" applyAlignment="1">
      <alignment horizontal="center"/>
    </xf>
    <xf numFmtId="173" fontId="134" fillId="7" borderId="0" xfId="0" applyNumberFormat="1" applyFont="1" applyFill="1" applyAlignment="1">
      <alignment horizontal="center"/>
    </xf>
    <xf numFmtId="44" fontId="37" fillId="6" borderId="40" xfId="3" applyFont="1" applyFill="1" applyBorder="1" applyAlignment="1" applyProtection="1"/>
    <xf numFmtId="44" fontId="136" fillId="6" borderId="0" xfId="3" applyFont="1" applyFill="1" applyBorder="1" applyAlignment="1" applyProtection="1">
      <alignment vertical="top"/>
    </xf>
    <xf numFmtId="0" fontId="93" fillId="6" borderId="0" xfId="0" applyFont="1" applyFill="1" applyAlignment="1">
      <alignment horizontal="center" vertical="top" wrapText="1"/>
    </xf>
    <xf numFmtId="0" fontId="49" fillId="6" borderId="0" xfId="0" applyFont="1" applyFill="1" applyAlignment="1">
      <alignment vertical="top" wrapText="1"/>
    </xf>
    <xf numFmtId="0" fontId="137" fillId="6" borderId="0" xfId="0" applyFont="1" applyFill="1" applyAlignment="1">
      <alignment horizontal="center" vertical="center" wrapText="1"/>
    </xf>
    <xf numFmtId="0" fontId="138" fillId="6" borderId="0" xfId="0" applyFont="1" applyFill="1" applyAlignment="1">
      <alignment horizontal="center" vertical="top" wrapText="1"/>
    </xf>
    <xf numFmtId="0" fontId="14" fillId="6" borderId="39" xfId="0" applyFont="1" applyFill="1" applyBorder="1"/>
    <xf numFmtId="0" fontId="14" fillId="20" borderId="0" xfId="0" applyFont="1" applyFill="1"/>
    <xf numFmtId="0" fontId="14" fillId="7" borderId="0" xfId="0" applyFont="1" applyFill="1"/>
    <xf numFmtId="173" fontId="14" fillId="7" borderId="0" xfId="0" applyNumberFormat="1" applyFont="1" applyFill="1"/>
    <xf numFmtId="0" fontId="49" fillId="6" borderId="60" xfId="0" applyFont="1" applyFill="1" applyBorder="1"/>
    <xf numFmtId="0" fontId="14" fillId="6" borderId="60" xfId="0" applyFont="1" applyFill="1" applyBorder="1"/>
    <xf numFmtId="0" fontId="41" fillId="6" borderId="60" xfId="0" applyFont="1" applyFill="1" applyBorder="1"/>
    <xf numFmtId="0" fontId="109" fillId="6" borderId="60" xfId="0" applyFont="1" applyFill="1" applyBorder="1"/>
    <xf numFmtId="0" fontId="109" fillId="6" borderId="61" xfId="0" applyFont="1" applyFill="1" applyBorder="1"/>
    <xf numFmtId="0" fontId="111" fillId="20" borderId="0" xfId="0" applyFont="1" applyFill="1" applyAlignment="1">
      <alignment horizontal="left"/>
    </xf>
    <xf numFmtId="0" fontId="109" fillId="7" borderId="0" xfId="0" applyFont="1" applyFill="1" applyAlignment="1">
      <alignment horizontal="left"/>
    </xf>
    <xf numFmtId="0" fontId="110" fillId="7" borderId="0" xfId="0" applyFont="1" applyFill="1" applyAlignment="1">
      <alignment horizontal="left"/>
    </xf>
    <xf numFmtId="0" fontId="111" fillId="7" borderId="0" xfId="0" applyFont="1" applyFill="1" applyAlignment="1">
      <alignment horizontal="left"/>
    </xf>
    <xf numFmtId="173" fontId="109" fillId="7" borderId="0" xfId="0" applyNumberFormat="1" applyFont="1" applyFill="1" applyAlignment="1">
      <alignment horizontal="left"/>
    </xf>
    <xf numFmtId="173" fontId="110" fillId="7" borderId="0" xfId="0" applyNumberFormat="1" applyFont="1" applyFill="1" applyAlignment="1">
      <alignment horizontal="left"/>
    </xf>
    <xf numFmtId="4" fontId="41" fillId="11" borderId="12" xfId="0" applyNumberFormat="1" applyFont="1" applyFill="1" applyBorder="1" applyAlignment="1">
      <alignment horizontal="center"/>
    </xf>
    <xf numFmtId="4" fontId="65" fillId="20" borderId="1" xfId="0" applyNumberFormat="1" applyFont="1" applyFill="1" applyBorder="1" applyAlignment="1">
      <alignment horizontal="center"/>
    </xf>
    <xf numFmtId="4" fontId="55" fillId="20" borderId="3" xfId="0" applyNumberFormat="1" applyFont="1" applyFill="1" applyBorder="1" applyAlignment="1">
      <alignment horizontal="center"/>
    </xf>
    <xf numFmtId="173" fontId="47" fillId="20" borderId="1" xfId="0" applyNumberFormat="1" applyFont="1" applyFill="1" applyBorder="1" applyAlignment="1">
      <alignment horizontal="center"/>
    </xf>
    <xf numFmtId="4" fontId="65" fillId="20" borderId="4" xfId="0" applyNumberFormat="1" applyFont="1" applyFill="1" applyBorder="1" applyAlignment="1">
      <alignment horizontal="center"/>
    </xf>
    <xf numFmtId="4" fontId="55" fillId="20" borderId="5" xfId="0" applyNumberFormat="1" applyFont="1" applyFill="1" applyBorder="1" applyAlignment="1">
      <alignment horizontal="center"/>
    </xf>
    <xf numFmtId="173" fontId="47" fillId="20" borderId="4" xfId="0" applyNumberFormat="1" applyFont="1" applyFill="1" applyBorder="1" applyAlignment="1">
      <alignment horizontal="center"/>
    </xf>
    <xf numFmtId="173" fontId="41" fillId="20" borderId="2" xfId="0" applyNumberFormat="1" applyFont="1" applyFill="1" applyBorder="1" applyAlignment="1">
      <alignment horizontal="center"/>
    </xf>
    <xf numFmtId="0" fontId="14" fillId="7" borderId="44" xfId="0" applyFont="1" applyFill="1" applyBorder="1" applyAlignment="1">
      <alignment horizontal="center"/>
    </xf>
    <xf numFmtId="173" fontId="14" fillId="34" borderId="13" xfId="0" applyNumberFormat="1" applyFont="1" applyFill="1" applyBorder="1" applyAlignment="1" applyProtection="1">
      <alignment horizontal="center"/>
      <protection locked="0"/>
    </xf>
    <xf numFmtId="0" fontId="14" fillId="6" borderId="23" xfId="0" applyFont="1" applyFill="1" applyBorder="1"/>
    <xf numFmtId="0" fontId="14" fillId="7" borderId="13" xfId="0" applyFont="1" applyFill="1" applyBorder="1" applyAlignment="1" applyProtection="1">
      <alignment horizontal="center"/>
      <protection hidden="1"/>
    </xf>
    <xf numFmtId="4" fontId="14" fillId="26" borderId="24" xfId="0" applyNumberFormat="1" applyFont="1" applyFill="1" applyBorder="1" applyAlignment="1" applyProtection="1">
      <alignment horizontal="center"/>
      <protection locked="0"/>
    </xf>
    <xf numFmtId="4" fontId="14" fillId="7" borderId="0" xfId="0" applyNumberFormat="1" applyFont="1" applyFill="1" applyAlignment="1">
      <alignment horizontal="center"/>
    </xf>
    <xf numFmtId="173" fontId="14" fillId="7" borderId="0" xfId="0" applyNumberFormat="1" applyFont="1" applyFill="1" applyAlignment="1">
      <alignment horizontal="center"/>
    </xf>
    <xf numFmtId="0" fontId="14" fillId="6" borderId="19" xfId="0" applyFont="1" applyFill="1" applyBorder="1"/>
    <xf numFmtId="0" fontId="14" fillId="7" borderId="65" xfId="0" applyFont="1" applyFill="1" applyBorder="1" applyAlignment="1">
      <alignment horizontal="center"/>
    </xf>
    <xf numFmtId="4" fontId="14" fillId="26" borderId="23" xfId="0" applyNumberFormat="1" applyFont="1" applyFill="1" applyBorder="1" applyProtection="1">
      <protection locked="0"/>
    </xf>
    <xf numFmtId="4" fontId="14" fillId="20" borderId="23" xfId="0" applyNumberFormat="1" applyFont="1" applyFill="1" applyBorder="1"/>
    <xf numFmtId="0" fontId="36" fillId="0" borderId="9" xfId="0" applyFont="1" applyBorder="1" applyAlignment="1">
      <alignment horizontal="left" wrapText="1"/>
    </xf>
    <xf numFmtId="0" fontId="36" fillId="0" borderId="9" xfId="0" applyFont="1" applyBorder="1" applyAlignment="1">
      <alignment horizontal="left" vertical="top" wrapText="1"/>
    </xf>
    <xf numFmtId="177" fontId="14" fillId="20" borderId="9" xfId="0" applyNumberFormat="1" applyFont="1" applyFill="1" applyBorder="1" applyAlignment="1">
      <alignment horizontal="center" wrapText="1"/>
    </xf>
    <xf numFmtId="177" fontId="36" fillId="20" borderId="0" xfId="0" applyNumberFormat="1" applyFont="1" applyFill="1" applyAlignment="1">
      <alignment horizontal="center"/>
    </xf>
    <xf numFmtId="177" fontId="36" fillId="7" borderId="0" xfId="0" applyNumberFormat="1" applyFont="1" applyFill="1" applyAlignment="1">
      <alignment horizontal="center"/>
    </xf>
    <xf numFmtId="173" fontId="36" fillId="7" borderId="0" xfId="0" applyNumberFormat="1" applyFont="1" applyFill="1" applyAlignment="1">
      <alignment horizontal="center"/>
    </xf>
    <xf numFmtId="0" fontId="14" fillId="0" borderId="0" xfId="0" applyFont="1"/>
    <xf numFmtId="0" fontId="14" fillId="0" borderId="40" xfId="0" applyFont="1" applyBorder="1"/>
    <xf numFmtId="177" fontId="14" fillId="0" borderId="0" xfId="0" applyNumberFormat="1" applyFont="1"/>
    <xf numFmtId="0" fontId="36" fillId="0" borderId="55" xfId="0" applyFont="1" applyBorder="1" applyAlignment="1">
      <alignment horizontal="right"/>
    </xf>
    <xf numFmtId="10" fontId="14" fillId="0" borderId="57" xfId="0" applyNumberFormat="1" applyFont="1" applyBorder="1" applyAlignment="1">
      <alignment horizontal="center"/>
    </xf>
    <xf numFmtId="10" fontId="14" fillId="20" borderId="0" xfId="0" applyNumberFormat="1" applyFont="1" applyFill="1" applyAlignment="1">
      <alignment horizontal="center"/>
    </xf>
    <xf numFmtId="10" fontId="14" fillId="7" borderId="0" xfId="0" applyNumberFormat="1" applyFont="1" applyFill="1" applyAlignment="1">
      <alignment horizontal="center"/>
    </xf>
    <xf numFmtId="0" fontId="14" fillId="0" borderId="58" xfId="0" applyFont="1" applyBorder="1"/>
    <xf numFmtId="0" fontId="109" fillId="0" borderId="0" xfId="0" applyFont="1"/>
    <xf numFmtId="0" fontId="49" fillId="0" borderId="39" xfId="0" applyFont="1" applyBorder="1"/>
    <xf numFmtId="0" fontId="49" fillId="20" borderId="0" xfId="0" applyFont="1" applyFill="1"/>
    <xf numFmtId="0" fontId="49" fillId="7" borderId="0" xfId="0" applyFont="1" applyFill="1"/>
    <xf numFmtId="173" fontId="49" fillId="7" borderId="0" xfId="0" applyNumberFormat="1" applyFont="1" applyFill="1"/>
    <xf numFmtId="173" fontId="14" fillId="15" borderId="14" xfId="0" applyNumberFormat="1" applyFont="1" applyFill="1" applyBorder="1" applyAlignment="1" applyProtection="1">
      <alignment horizontal="center"/>
      <protection locked="0"/>
    </xf>
    <xf numFmtId="4" fontId="14" fillId="6" borderId="12" xfId="0" applyNumberFormat="1" applyFont="1" applyFill="1" applyBorder="1" applyAlignment="1" applyProtection="1">
      <alignment horizontal="center"/>
      <protection hidden="1"/>
    </xf>
    <xf numFmtId="4" fontId="14" fillId="6" borderId="14" xfId="0" applyNumberFormat="1" applyFont="1" applyFill="1" applyBorder="1" applyAlignment="1">
      <alignment horizontal="center"/>
    </xf>
    <xf numFmtId="4" fontId="14" fillId="0" borderId="14" xfId="0" applyNumberFormat="1" applyFont="1" applyBorder="1" applyAlignment="1">
      <alignment horizontal="center"/>
    </xf>
    <xf numFmtId="4" fontId="14" fillId="0" borderId="45" xfId="0" applyNumberFormat="1" applyFont="1" applyBorder="1" applyAlignment="1">
      <alignment horizontal="center"/>
    </xf>
    <xf numFmtId="4" fontId="41" fillId="20" borderId="3" xfId="0" applyNumberFormat="1" applyFont="1" applyFill="1" applyBorder="1" applyAlignment="1">
      <alignment horizontal="center"/>
    </xf>
    <xf numFmtId="4" fontId="65" fillId="25" borderId="13" xfId="0" applyNumberFormat="1" applyFont="1" applyFill="1" applyBorder="1" applyAlignment="1">
      <alignment horizontal="center"/>
    </xf>
    <xf numFmtId="4" fontId="47" fillId="25" borderId="12" xfId="0" applyNumberFormat="1" applyFont="1" applyFill="1" applyBorder="1" applyAlignment="1">
      <alignment horizontal="center"/>
    </xf>
    <xf numFmtId="4" fontId="66" fillId="20" borderId="1" xfId="0" applyNumberFormat="1" applyFont="1" applyFill="1" applyBorder="1" applyAlignment="1">
      <alignment horizontal="center"/>
    </xf>
    <xf numFmtId="173" fontId="41" fillId="20" borderId="3" xfId="0" applyNumberFormat="1" applyFont="1" applyFill="1" applyBorder="1" applyAlignment="1">
      <alignment horizontal="center"/>
    </xf>
    <xf numFmtId="4" fontId="41" fillId="20" borderId="5" xfId="0" applyNumberFormat="1" applyFont="1" applyFill="1" applyBorder="1" applyAlignment="1">
      <alignment horizontal="center"/>
    </xf>
    <xf numFmtId="4" fontId="66" fillId="20" borderId="4" xfId="0" applyNumberFormat="1" applyFont="1" applyFill="1" applyBorder="1" applyAlignment="1">
      <alignment horizontal="center"/>
    </xf>
    <xf numFmtId="173" fontId="41" fillId="20" borderId="5" xfId="0" applyNumberFormat="1" applyFont="1" applyFill="1" applyBorder="1" applyAlignment="1">
      <alignment horizontal="center"/>
    </xf>
    <xf numFmtId="173" fontId="47" fillId="20" borderId="2" xfId="0" applyNumberFormat="1" applyFont="1" applyFill="1" applyBorder="1" applyAlignment="1">
      <alignment horizontal="center"/>
    </xf>
    <xf numFmtId="4" fontId="14" fillId="20" borderId="0" xfId="0" applyNumberFormat="1" applyFont="1" applyFill="1" applyAlignment="1" applyProtection="1">
      <alignment horizontal="center"/>
      <protection hidden="1"/>
    </xf>
    <xf numFmtId="4" fontId="65" fillId="25" borderId="8" xfId="0" applyNumberFormat="1" applyFont="1" applyFill="1" applyBorder="1" applyAlignment="1">
      <alignment horizontal="center"/>
    </xf>
    <xf numFmtId="4" fontId="47" fillId="25" borderId="24" xfId="0" applyNumberFormat="1" applyFont="1" applyFill="1" applyBorder="1" applyAlignment="1">
      <alignment horizontal="center"/>
    </xf>
    <xf numFmtId="4" fontId="47" fillId="25" borderId="6" xfId="0" applyNumberFormat="1" applyFont="1" applyFill="1" applyBorder="1" applyAlignment="1">
      <alignment horizontal="center"/>
    </xf>
    <xf numFmtId="0" fontId="36" fillId="0" borderId="55" xfId="0" applyFont="1" applyBorder="1" applyAlignment="1">
      <alignment horizontal="center"/>
    </xf>
    <xf numFmtId="10" fontId="36" fillId="0" borderId="57" xfId="4" applyNumberFormat="1" applyFont="1" applyBorder="1" applyAlignment="1" applyProtection="1">
      <alignment horizontal="center"/>
    </xf>
    <xf numFmtId="10" fontId="36" fillId="20" borderId="0" xfId="4" applyNumberFormat="1" applyFont="1" applyFill="1" applyBorder="1" applyAlignment="1" applyProtection="1">
      <alignment horizontal="center"/>
    </xf>
    <xf numFmtId="10" fontId="36" fillId="7" borderId="0" xfId="4" applyNumberFormat="1" applyFont="1" applyFill="1" applyBorder="1" applyAlignment="1" applyProtection="1">
      <alignment horizontal="center"/>
    </xf>
    <xf numFmtId="173" fontId="36" fillId="7" borderId="0" xfId="4" applyNumberFormat="1" applyFont="1" applyFill="1" applyBorder="1" applyAlignment="1" applyProtection="1">
      <alignment horizontal="center"/>
    </xf>
    <xf numFmtId="0" fontId="109" fillId="6" borderId="7" xfId="0" applyFont="1" applyFill="1" applyBorder="1" applyAlignment="1">
      <alignment horizontal="left"/>
    </xf>
    <xf numFmtId="0" fontId="109" fillId="6" borderId="58" xfId="0" applyFont="1" applyFill="1" applyBorder="1" applyAlignment="1">
      <alignment horizontal="left"/>
    </xf>
    <xf numFmtId="0" fontId="109" fillId="20" borderId="0" xfId="0" applyFont="1" applyFill="1" applyAlignment="1">
      <alignment horizontal="left"/>
    </xf>
    <xf numFmtId="4" fontId="47" fillId="20" borderId="3" xfId="0" applyNumberFormat="1" applyFont="1" applyFill="1" applyBorder="1" applyAlignment="1">
      <alignment horizontal="center"/>
    </xf>
    <xf numFmtId="4" fontId="66" fillId="19" borderId="13" xfId="0" applyNumberFormat="1" applyFont="1" applyFill="1" applyBorder="1" applyAlignment="1">
      <alignment horizontal="center"/>
    </xf>
    <xf numFmtId="4" fontId="55" fillId="19" borderId="12" xfId="0" applyNumberFormat="1" applyFont="1" applyFill="1" applyBorder="1" applyAlignment="1">
      <alignment horizontal="center"/>
    </xf>
    <xf numFmtId="173" fontId="41" fillId="20" borderId="1" xfId="0" applyNumberFormat="1" applyFont="1" applyFill="1" applyBorder="1" applyAlignment="1">
      <alignment horizontal="center"/>
    </xf>
    <xf numFmtId="173" fontId="47" fillId="20" borderId="3" xfId="0" applyNumberFormat="1" applyFont="1" applyFill="1" applyBorder="1" applyAlignment="1">
      <alignment horizontal="center"/>
    </xf>
    <xf numFmtId="4" fontId="47" fillId="20" borderId="5" xfId="0" applyNumberFormat="1" applyFont="1" applyFill="1" applyBorder="1" applyAlignment="1">
      <alignment horizontal="center"/>
    </xf>
    <xf numFmtId="173" fontId="41" fillId="20" borderId="4" xfId="0" applyNumberFormat="1" applyFont="1" applyFill="1" applyBorder="1" applyAlignment="1">
      <alignment horizontal="center"/>
    </xf>
    <xf numFmtId="173" fontId="47" fillId="20" borderId="5" xfId="0" applyNumberFormat="1" applyFont="1" applyFill="1" applyBorder="1" applyAlignment="1">
      <alignment horizontal="center"/>
    </xf>
    <xf numFmtId="4" fontId="47" fillId="20" borderId="8" xfId="0" applyNumberFormat="1" applyFont="1" applyFill="1" applyBorder="1" applyAlignment="1">
      <alignment horizontal="center"/>
    </xf>
    <xf numFmtId="173" fontId="41" fillId="20" borderId="6" xfId="0" applyNumberFormat="1" applyFont="1" applyFill="1" applyBorder="1" applyAlignment="1">
      <alignment horizontal="center"/>
    </xf>
    <xf numFmtId="173" fontId="47" fillId="20" borderId="8" xfId="0" applyNumberFormat="1" applyFont="1" applyFill="1" applyBorder="1" applyAlignment="1">
      <alignment horizontal="center"/>
    </xf>
    <xf numFmtId="10" fontId="14" fillId="0" borderId="57" xfId="4" applyNumberFormat="1" applyFont="1" applyBorder="1" applyAlignment="1" applyProtection="1">
      <alignment horizontal="center"/>
    </xf>
    <xf numFmtId="10" fontId="14" fillId="20" borderId="0" xfId="4" applyNumberFormat="1" applyFont="1" applyFill="1" applyBorder="1" applyAlignment="1" applyProtection="1">
      <alignment horizontal="center"/>
    </xf>
    <xf numFmtId="10" fontId="14" fillId="7" borderId="0" xfId="4" applyNumberFormat="1" applyFont="1" applyFill="1" applyBorder="1" applyAlignment="1" applyProtection="1">
      <alignment horizontal="center"/>
    </xf>
    <xf numFmtId="173" fontId="14" fillId="7" borderId="0" xfId="4" applyNumberFormat="1" applyFont="1" applyFill="1" applyBorder="1" applyAlignment="1" applyProtection="1">
      <alignment horizontal="center"/>
    </xf>
    <xf numFmtId="10" fontId="14" fillId="0" borderId="39" xfId="4" applyNumberFormat="1" applyFont="1" applyBorder="1" applyAlignment="1" applyProtection="1">
      <alignment horizontal="center"/>
    </xf>
    <xf numFmtId="0" fontId="36" fillId="0" borderId="9" xfId="0" applyFont="1" applyBorder="1" applyAlignment="1">
      <alignment wrapText="1"/>
    </xf>
    <xf numFmtId="44" fontId="14" fillId="20" borderId="15" xfId="3" applyFont="1" applyFill="1" applyBorder="1" applyAlignment="1">
      <alignment horizontal="center"/>
    </xf>
    <xf numFmtId="0" fontId="14" fillId="0" borderId="10" xfId="0" applyFont="1" applyBorder="1"/>
    <xf numFmtId="177" fontId="36" fillId="20" borderId="9" xfId="0" applyNumberFormat="1" applyFont="1" applyFill="1" applyBorder="1" applyAlignment="1">
      <alignment horizontal="center"/>
    </xf>
    <xf numFmtId="173" fontId="14" fillId="0" borderId="0" xfId="0" applyNumberFormat="1" applyFont="1"/>
    <xf numFmtId="0" fontId="14" fillId="0" borderId="39" xfId="0" applyFont="1" applyBorder="1"/>
    <xf numFmtId="0" fontId="14" fillId="23" borderId="14" xfId="0" applyFont="1" applyFill="1" applyBorder="1" applyAlignment="1" applyProtection="1">
      <alignment horizontal="center"/>
      <protection locked="0"/>
    </xf>
    <xf numFmtId="184" fontId="14" fillId="0" borderId="0" xfId="0" applyNumberFormat="1" applyFont="1"/>
    <xf numFmtId="0" fontId="36" fillId="0" borderId="40" xfId="0" applyFont="1" applyBorder="1"/>
    <xf numFmtId="0" fontId="36" fillId="0" borderId="7" xfId="0" applyFont="1" applyBorder="1"/>
    <xf numFmtId="1" fontId="14" fillId="15" borderId="14" xfId="0" applyNumberFormat="1" applyFont="1" applyFill="1" applyBorder="1" applyAlignment="1" applyProtection="1">
      <alignment horizontal="center"/>
      <protection locked="0"/>
    </xf>
    <xf numFmtId="4" fontId="41" fillId="7" borderId="0" xfId="0" applyNumberFormat="1" applyFont="1" applyFill="1" applyAlignment="1">
      <alignment horizontal="center"/>
    </xf>
    <xf numFmtId="4" fontId="65" fillId="7" borderId="0" xfId="0" applyNumberFormat="1" applyFont="1" applyFill="1" applyAlignment="1">
      <alignment horizontal="center"/>
    </xf>
    <xf numFmtId="4" fontId="47" fillId="7" borderId="0" xfId="0" applyNumberFormat="1" applyFont="1" applyFill="1" applyAlignment="1">
      <alignment horizontal="center"/>
    </xf>
    <xf numFmtId="4" fontId="66" fillId="7" borderId="0" xfId="0" applyNumberFormat="1" applyFont="1" applyFill="1" applyAlignment="1">
      <alignment horizontal="center"/>
    </xf>
    <xf numFmtId="4" fontId="55" fillId="7" borderId="0" xfId="0" applyNumberFormat="1" applyFont="1" applyFill="1" applyAlignment="1">
      <alignment horizontal="center"/>
    </xf>
    <xf numFmtId="0" fontId="37" fillId="0" borderId="9" xfId="0" applyFont="1" applyBorder="1" applyAlignment="1">
      <alignment horizontal="left"/>
    </xf>
    <xf numFmtId="0" fontId="36" fillId="0" borderId="10" xfId="0" applyFont="1" applyBorder="1" applyAlignment="1">
      <alignment horizontal="left"/>
    </xf>
    <xf numFmtId="0" fontId="49" fillId="6" borderId="0" xfId="0" applyFont="1" applyFill="1"/>
    <xf numFmtId="49" fontId="14" fillId="20" borderId="13" xfId="0" applyNumberFormat="1" applyFont="1" applyFill="1" applyBorder="1" applyAlignment="1" applyProtection="1">
      <alignment horizontal="center"/>
      <protection locked="0"/>
    </xf>
    <xf numFmtId="173" fontId="41" fillId="20" borderId="0" xfId="0" applyNumberFormat="1" applyFont="1" applyFill="1" applyAlignment="1">
      <alignment horizontal="center"/>
    </xf>
    <xf numFmtId="4" fontId="14" fillId="7" borderId="14" xfId="0" applyNumberFormat="1" applyFont="1" applyFill="1" applyBorder="1"/>
    <xf numFmtId="4" fontId="14" fillId="20" borderId="14" xfId="0" applyNumberFormat="1" applyFont="1" applyFill="1" applyBorder="1" applyAlignment="1">
      <alignment horizontal="center"/>
    </xf>
    <xf numFmtId="4" fontId="14" fillId="20" borderId="45" xfId="0" applyNumberFormat="1" applyFont="1" applyFill="1" applyBorder="1" applyAlignment="1">
      <alignment horizontal="center"/>
    </xf>
    <xf numFmtId="4" fontId="66" fillId="19" borderId="8" xfId="0" applyNumberFormat="1" applyFont="1" applyFill="1" applyBorder="1" applyAlignment="1">
      <alignment horizontal="center"/>
    </xf>
    <xf numFmtId="4" fontId="55" fillId="19" borderId="24" xfId="0" applyNumberFormat="1" applyFont="1" applyFill="1" applyBorder="1" applyAlignment="1">
      <alignment horizontal="center"/>
    </xf>
    <xf numFmtId="4" fontId="55" fillId="19" borderId="6" xfId="0" applyNumberFormat="1" applyFont="1" applyFill="1" applyBorder="1" applyAlignment="1">
      <alignment horizontal="center"/>
    </xf>
    <xf numFmtId="0" fontId="36" fillId="6" borderId="0" xfId="0" applyFont="1" applyFill="1" applyAlignment="1">
      <alignment horizontal="left"/>
    </xf>
    <xf numFmtId="168" fontId="14" fillId="6" borderId="0" xfId="0" applyNumberFormat="1" applyFont="1" applyFill="1" applyAlignment="1">
      <alignment horizontal="center"/>
    </xf>
    <xf numFmtId="177" fontId="14" fillId="6" borderId="0" xfId="0" applyNumberFormat="1" applyFont="1" applyFill="1" applyAlignment="1">
      <alignment horizontal="center"/>
    </xf>
    <xf numFmtId="44" fontId="14" fillId="6" borderId="0" xfId="3" applyFont="1" applyFill="1" applyBorder="1"/>
    <xf numFmtId="0" fontId="36" fillId="6" borderId="40" xfId="0" applyFont="1" applyFill="1" applyBorder="1" applyAlignment="1">
      <alignment horizontal="left"/>
    </xf>
    <xf numFmtId="4" fontId="36" fillId="6" borderId="0" xfId="0" applyNumberFormat="1" applyFont="1" applyFill="1" applyAlignment="1">
      <alignment horizontal="center"/>
    </xf>
    <xf numFmtId="165" fontId="14" fillId="6" borderId="55" xfId="0" applyNumberFormat="1" applyFont="1" applyFill="1" applyBorder="1" applyAlignment="1">
      <alignment horizontal="center"/>
    </xf>
    <xf numFmtId="177" fontId="36" fillId="6" borderId="57" xfId="0" applyNumberFormat="1" applyFont="1" applyFill="1" applyBorder="1" applyAlignment="1">
      <alignment horizontal="center"/>
    </xf>
    <xf numFmtId="10" fontId="14" fillId="0" borderId="0" xfId="4" applyNumberFormat="1" applyFont="1" applyBorder="1" applyAlignment="1" applyProtection="1">
      <alignment horizontal="center"/>
    </xf>
    <xf numFmtId="173" fontId="14" fillId="0" borderId="0" xfId="4" applyNumberFormat="1" applyFont="1" applyBorder="1" applyAlignment="1" applyProtection="1">
      <alignment horizontal="center"/>
    </xf>
    <xf numFmtId="4" fontId="36" fillId="11" borderId="94" xfId="0" applyNumberFormat="1" applyFont="1" applyFill="1" applyBorder="1" applyAlignment="1">
      <alignment horizontal="left" wrapText="1"/>
    </xf>
    <xf numFmtId="4" fontId="14" fillId="11" borderId="14" xfId="0" applyNumberFormat="1" applyFont="1" applyFill="1" applyBorder="1" applyAlignment="1">
      <alignment horizontal="center" wrapText="1"/>
    </xf>
    <xf numFmtId="4" fontId="14" fillId="19" borderId="48" xfId="0" applyNumberFormat="1" applyFont="1" applyFill="1" applyBorder="1" applyAlignment="1">
      <alignment horizontal="center" wrapText="1"/>
    </xf>
    <xf numFmtId="4" fontId="36" fillId="11" borderId="18" xfId="0" applyNumberFormat="1" applyFont="1" applyFill="1" applyBorder="1" applyAlignment="1">
      <alignment horizontal="left" wrapText="1"/>
    </xf>
    <xf numFmtId="4" fontId="14" fillId="11" borderId="18" xfId="0" applyNumberFormat="1" applyFont="1" applyFill="1" applyBorder="1" applyAlignment="1">
      <alignment horizontal="center" wrapText="1"/>
    </xf>
    <xf numFmtId="4" fontId="14" fillId="11" borderId="18" xfId="0" applyNumberFormat="1" applyFont="1" applyFill="1" applyBorder="1" applyAlignment="1">
      <alignment horizontal="center"/>
    </xf>
    <xf numFmtId="4" fontId="14" fillId="20" borderId="0" xfId="0" applyNumberFormat="1" applyFont="1" applyFill="1" applyAlignment="1">
      <alignment horizontal="center" wrapText="1"/>
    </xf>
    <xf numFmtId="4" fontId="14" fillId="19" borderId="0" xfId="0" applyNumberFormat="1" applyFont="1" applyFill="1" applyAlignment="1">
      <alignment horizontal="center" wrapText="1"/>
    </xf>
    <xf numFmtId="173" fontId="14" fillId="19" borderId="0" xfId="0" applyNumberFormat="1" applyFont="1" applyFill="1" applyAlignment="1">
      <alignment horizontal="center" wrapText="1"/>
    </xf>
    <xf numFmtId="4" fontId="36" fillId="21" borderId="40" xfId="0" applyNumberFormat="1" applyFont="1" applyFill="1" applyBorder="1" applyAlignment="1" applyProtection="1">
      <alignment horizontal="left"/>
      <protection hidden="1"/>
    </xf>
    <xf numFmtId="3" fontId="14" fillId="26" borderId="14" xfId="0" applyNumberFormat="1" applyFont="1" applyFill="1" applyBorder="1" applyAlignment="1" applyProtection="1">
      <alignment horizontal="center"/>
      <protection locked="0"/>
    </xf>
    <xf numFmtId="4" fontId="14" fillId="26" borderId="14" xfId="0" applyNumberFormat="1" applyFont="1" applyFill="1" applyBorder="1" applyAlignment="1" applyProtection="1">
      <alignment horizontal="center"/>
      <protection locked="0"/>
    </xf>
    <xf numFmtId="4" fontId="14" fillId="21" borderId="14" xfId="0" applyNumberFormat="1" applyFont="1" applyFill="1" applyBorder="1" applyAlignment="1" applyProtection="1">
      <alignment horizontal="center"/>
      <protection hidden="1"/>
    </xf>
    <xf numFmtId="4" fontId="14" fillId="21" borderId="52" xfId="0" applyNumberFormat="1" applyFont="1" applyFill="1" applyBorder="1" applyAlignment="1" applyProtection="1">
      <alignment horizontal="center"/>
      <protection hidden="1"/>
    </xf>
    <xf numFmtId="4" fontId="36" fillId="21" borderId="0" xfId="0" applyNumberFormat="1" applyFont="1" applyFill="1" applyAlignment="1" applyProtection="1">
      <alignment horizontal="left"/>
      <protection hidden="1"/>
    </xf>
    <xf numFmtId="4" fontId="14" fillId="21" borderId="0" xfId="0" applyNumberFormat="1" applyFont="1" applyFill="1" applyAlignment="1">
      <alignment horizontal="center"/>
    </xf>
    <xf numFmtId="3" fontId="14" fillId="15" borderId="14" xfId="0" applyNumberFormat="1" applyFont="1" applyFill="1" applyBorder="1" applyAlignment="1" applyProtection="1">
      <alignment horizontal="center"/>
      <protection locked="0"/>
    </xf>
    <xf numFmtId="4" fontId="14" fillId="21" borderId="0" xfId="0" applyNumberFormat="1" applyFont="1" applyFill="1" applyAlignment="1" applyProtection="1">
      <alignment horizontal="center"/>
      <protection hidden="1"/>
    </xf>
    <xf numFmtId="173" fontId="14" fillId="21" borderId="0" xfId="0" applyNumberFormat="1" applyFont="1" applyFill="1" applyAlignment="1" applyProtection="1">
      <alignment horizontal="center"/>
      <protection hidden="1"/>
    </xf>
    <xf numFmtId="3" fontId="14" fillId="26" borderId="23" xfId="0" applyNumberFormat="1" applyFont="1" applyFill="1" applyBorder="1" applyAlignment="1" applyProtection="1">
      <alignment horizontal="center"/>
      <protection locked="0"/>
    </xf>
    <xf numFmtId="4" fontId="14" fillId="21" borderId="53" xfId="0" applyNumberFormat="1" applyFont="1" applyFill="1" applyBorder="1" applyAlignment="1" applyProtection="1">
      <alignment horizontal="center"/>
      <protection hidden="1"/>
    </xf>
    <xf numFmtId="3" fontId="14" fillId="15" borderId="23" xfId="0" applyNumberFormat="1" applyFont="1" applyFill="1" applyBorder="1" applyAlignment="1" applyProtection="1">
      <alignment horizontal="center"/>
      <protection locked="0"/>
    </xf>
    <xf numFmtId="4" fontId="36" fillId="0" borderId="9" xfId="0" applyNumberFormat="1" applyFont="1" applyBorder="1" applyAlignment="1" applyProtection="1">
      <alignment horizontal="left"/>
      <protection hidden="1"/>
    </xf>
    <xf numFmtId="4" fontId="14" fillId="0" borderId="10" xfId="0" applyNumberFormat="1" applyFont="1" applyBorder="1" applyAlignment="1">
      <alignment horizontal="center"/>
    </xf>
    <xf numFmtId="4" fontId="36" fillId="0" borderId="10" xfId="0" applyNumberFormat="1" applyFont="1" applyBorder="1" applyAlignment="1" applyProtection="1">
      <alignment horizontal="left"/>
      <protection hidden="1"/>
    </xf>
    <xf numFmtId="173" fontId="36" fillId="20" borderId="0" xfId="0" applyNumberFormat="1" applyFont="1" applyFill="1" applyAlignment="1" applyProtection="1">
      <alignment horizontal="center"/>
      <protection hidden="1"/>
    </xf>
    <xf numFmtId="0" fontId="14" fillId="0" borderId="55" xfId="0" applyFont="1" applyBorder="1"/>
    <xf numFmtId="4" fontId="36" fillId="0" borderId="0" xfId="0" applyNumberFormat="1" applyFont="1" applyAlignment="1" applyProtection="1">
      <alignment horizontal="left"/>
      <protection hidden="1"/>
    </xf>
    <xf numFmtId="4" fontId="36" fillId="0" borderId="60" xfId="0" applyNumberFormat="1" applyFont="1" applyBorder="1" applyAlignment="1" applyProtection="1">
      <alignment horizontal="left"/>
      <protection hidden="1"/>
    </xf>
    <xf numFmtId="4" fontId="14" fillId="20" borderId="0" xfId="0" applyNumberFormat="1" applyFont="1" applyFill="1"/>
    <xf numFmtId="0" fontId="14" fillId="20" borderId="71" xfId="0" applyFont="1" applyFill="1" applyBorder="1" applyAlignment="1">
      <alignment horizontal="center"/>
    </xf>
    <xf numFmtId="0" fontId="14" fillId="0" borderId="78" xfId="0" applyFont="1" applyBorder="1" applyAlignment="1">
      <alignment horizontal="center" wrapText="1"/>
    </xf>
    <xf numFmtId="4" fontId="14" fillId="14" borderId="44" xfId="0" applyNumberFormat="1" applyFont="1" applyFill="1" applyBorder="1" applyAlignment="1">
      <alignment horizontal="left"/>
    </xf>
    <xf numFmtId="165" fontId="14" fillId="6" borderId="14" xfId="3" applyNumberFormat="1" applyFont="1" applyFill="1" applyBorder="1" applyAlignment="1" applyProtection="1">
      <alignment horizontal="center" vertical="center"/>
    </xf>
    <xf numFmtId="4" fontId="14" fillId="14" borderId="65" xfId="0" applyNumberFormat="1" applyFont="1" applyFill="1" applyBorder="1" applyAlignment="1">
      <alignment horizontal="left"/>
    </xf>
    <xf numFmtId="2" fontId="14" fillId="0" borderId="19" xfId="0" applyNumberFormat="1" applyFont="1" applyBorder="1" applyAlignment="1">
      <alignment horizontal="center"/>
    </xf>
    <xf numFmtId="4" fontId="36" fillId="28" borderId="15" xfId="0" applyNumberFormat="1" applyFont="1" applyFill="1" applyBorder="1" applyAlignment="1">
      <alignment horizontal="left" wrapText="1"/>
    </xf>
    <xf numFmtId="165" fontId="36" fillId="28" borderId="9" xfId="3" applyNumberFormat="1" applyFont="1" applyFill="1" applyBorder="1" applyAlignment="1" applyProtection="1">
      <alignment horizontal="center" vertical="center"/>
    </xf>
    <xf numFmtId="0" fontId="14" fillId="6" borderId="0" xfId="0" applyFont="1" applyFill="1" applyAlignment="1">
      <alignment wrapText="1"/>
    </xf>
    <xf numFmtId="4" fontId="36" fillId="0" borderId="0" xfId="0" applyNumberFormat="1" applyFont="1" applyAlignment="1">
      <alignment horizontal="left"/>
    </xf>
    <xf numFmtId="0" fontId="14" fillId="0" borderId="0" xfId="0" applyFont="1" applyAlignment="1">
      <alignment horizontal="center"/>
    </xf>
    <xf numFmtId="0" fontId="14" fillId="0" borderId="55" xfId="0" applyFont="1" applyBorder="1" applyAlignment="1">
      <alignment horizontal="center"/>
    </xf>
    <xf numFmtId="165" fontId="14" fillId="6" borderId="0" xfId="0" applyNumberFormat="1" applyFont="1" applyFill="1"/>
    <xf numFmtId="178" fontId="14" fillId="6" borderId="0" xfId="0" applyNumberFormat="1" applyFont="1" applyFill="1"/>
    <xf numFmtId="183" fontId="14" fillId="6" borderId="0" xfId="0" applyNumberFormat="1" applyFont="1" applyFill="1"/>
    <xf numFmtId="179" fontId="14" fillId="6" borderId="0" xfId="0" applyNumberFormat="1" applyFont="1" applyFill="1"/>
    <xf numFmtId="4" fontId="42" fillId="14" borderId="44" xfId="0" applyNumberFormat="1" applyFont="1" applyFill="1" applyBorder="1" applyAlignment="1">
      <alignment horizontal="left" wrapText="1"/>
    </xf>
    <xf numFmtId="173" fontId="14" fillId="0" borderId="14" xfId="0" applyNumberFormat="1" applyFont="1" applyBorder="1" applyAlignment="1">
      <alignment horizontal="center"/>
    </xf>
    <xf numFmtId="4" fontId="36" fillId="14" borderId="15" xfId="0" applyNumberFormat="1" applyFont="1" applyFill="1" applyBorder="1" applyAlignment="1">
      <alignment horizontal="left" wrapText="1"/>
    </xf>
    <xf numFmtId="10" fontId="14" fillId="14" borderId="38" xfId="4" applyNumberFormat="1" applyFont="1" applyFill="1" applyBorder="1" applyAlignment="1" applyProtection="1">
      <alignment horizontal="center"/>
    </xf>
    <xf numFmtId="0" fontId="36" fillId="28" borderId="15" xfId="0" applyFont="1" applyFill="1" applyBorder="1" applyAlignment="1">
      <alignment horizontal="left" wrapText="1"/>
    </xf>
    <xf numFmtId="0" fontId="37" fillId="6" borderId="40" xfId="0" applyFont="1" applyFill="1" applyBorder="1" applyAlignment="1">
      <alignment horizontal="left" wrapText="1"/>
    </xf>
    <xf numFmtId="183" fontId="61" fillId="6" borderId="0" xfId="0" applyNumberFormat="1" applyFont="1" applyFill="1" applyAlignment="1">
      <alignment horizontal="center"/>
    </xf>
    <xf numFmtId="0" fontId="112" fillId="27" borderId="44" xfId="0" applyFont="1" applyFill="1" applyBorder="1" applyAlignment="1">
      <alignment horizontal="left" wrapText="1"/>
    </xf>
    <xf numFmtId="179" fontId="112" fillId="27" borderId="14" xfId="3" applyNumberFormat="1" applyFont="1" applyFill="1" applyBorder="1" applyAlignment="1" applyProtection="1">
      <alignment horizontal="center" vertical="center"/>
    </xf>
    <xf numFmtId="0" fontId="117" fillId="0" borderId="60" xfId="0" applyFont="1" applyBorder="1" applyAlignment="1">
      <alignment horizontal="right"/>
    </xf>
    <xf numFmtId="0" fontId="44" fillId="20" borderId="0" xfId="2" applyFill="1" applyBorder="1" applyAlignment="1" applyProtection="1">
      <alignment horizontal="center"/>
    </xf>
    <xf numFmtId="173" fontId="44" fillId="20" borderId="0" xfId="2" applyNumberFormat="1" applyFill="1" applyBorder="1" applyAlignment="1" applyProtection="1">
      <alignment horizontal="center"/>
    </xf>
    <xf numFmtId="0" fontId="33" fillId="0" borderId="0" xfId="0" applyFont="1" applyAlignment="1">
      <alignment horizontal="left" vertical="center"/>
    </xf>
    <xf numFmtId="0" fontId="36" fillId="0" borderId="0" xfId="0" applyFont="1" applyAlignment="1">
      <alignment horizontal="center" vertical="center"/>
    </xf>
    <xf numFmtId="0" fontId="0" fillId="0" borderId="0" xfId="0" applyAlignment="1">
      <alignment vertical="center"/>
    </xf>
    <xf numFmtId="173" fontId="36" fillId="0" borderId="0" xfId="0" applyNumberFormat="1" applyFont="1" applyAlignment="1">
      <alignment horizontal="center" vertical="center"/>
    </xf>
    <xf numFmtId="173" fontId="36" fillId="0" borderId="0" xfId="0" applyNumberFormat="1" applyFont="1"/>
    <xf numFmtId="1" fontId="14" fillId="0" borderId="0" xfId="0" applyNumberFormat="1" applyFont="1"/>
    <xf numFmtId="1" fontId="14" fillId="0" borderId="0" xfId="0" applyNumberFormat="1" applyFont="1" applyAlignment="1">
      <alignment horizontal="right" vertical="center"/>
    </xf>
    <xf numFmtId="173" fontId="14" fillId="0" borderId="0" xfId="0" applyNumberFormat="1" applyFont="1" applyAlignment="1">
      <alignment horizontal="right" vertical="center"/>
    </xf>
    <xf numFmtId="0" fontId="68" fillId="0" borderId="0" xfId="0" applyFont="1"/>
    <xf numFmtId="168" fontId="36" fillId="0" borderId="0" xfId="0" applyNumberFormat="1" applyFont="1" applyAlignment="1">
      <alignment horizontal="right" wrapText="1"/>
    </xf>
    <xf numFmtId="9" fontId="0" fillId="0" borderId="0" xfId="0" applyNumberFormat="1"/>
    <xf numFmtId="173" fontId="68" fillId="0" borderId="0" xfId="0" applyNumberFormat="1" applyFont="1"/>
    <xf numFmtId="173" fontId="36" fillId="0" borderId="0" xfId="0" applyNumberFormat="1" applyFont="1" applyAlignment="1">
      <alignment horizontal="right" wrapText="1"/>
    </xf>
    <xf numFmtId="173" fontId="42" fillId="0" borderId="0" xfId="0" applyNumberFormat="1" applyFont="1"/>
    <xf numFmtId="10" fontId="90" fillId="0" borderId="0" xfId="0" applyNumberFormat="1" applyFont="1"/>
    <xf numFmtId="0" fontId="14" fillId="0" borderId="0" xfId="0" applyFont="1" applyProtection="1">
      <protection hidden="1"/>
    </xf>
    <xf numFmtId="0" fontId="57" fillId="0" borderId="0" xfId="0" applyFont="1" applyAlignment="1">
      <alignment wrapText="1"/>
    </xf>
    <xf numFmtId="1" fontId="14" fillId="0" borderId="0" xfId="0" applyNumberFormat="1" applyFont="1" applyAlignment="1">
      <alignment horizontal="right"/>
    </xf>
    <xf numFmtId="173" fontId="14" fillId="0" borderId="0" xfId="0" applyNumberFormat="1" applyFont="1" applyAlignment="1">
      <alignment horizontal="right"/>
    </xf>
    <xf numFmtId="10" fontId="93" fillId="0" borderId="0" xfId="0" applyNumberFormat="1" applyFont="1"/>
    <xf numFmtId="0" fontId="83" fillId="0" borderId="0" xfId="0" applyFont="1"/>
    <xf numFmtId="0" fontId="90" fillId="0" borderId="0" xfId="0" applyFont="1"/>
    <xf numFmtId="2" fontId="14" fillId="0" borderId="0" xfId="0" applyNumberFormat="1" applyFont="1" applyProtection="1">
      <protection hidden="1"/>
    </xf>
    <xf numFmtId="173" fontId="14" fillId="0" borderId="0" xfId="4" applyNumberFormat="1" applyFont="1" applyFill="1" applyBorder="1"/>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xf>
    <xf numFmtId="9" fontId="51" fillId="0" borderId="0" xfId="0" applyNumberFormat="1" applyFont="1"/>
    <xf numFmtId="0" fontId="36" fillId="0" borderId="5" xfId="0" applyFont="1" applyBorder="1" applyProtection="1">
      <protection hidden="1"/>
    </xf>
    <xf numFmtId="0" fontId="82" fillId="0" borderId="0" xfId="0" applyFont="1" applyProtection="1">
      <protection hidden="1"/>
    </xf>
    <xf numFmtId="0" fontId="33" fillId="0" borderId="0" xfId="0" applyFont="1" applyProtection="1">
      <protection hidden="1"/>
    </xf>
    <xf numFmtId="0" fontId="30" fillId="0" borderId="0" xfId="0" applyFont="1" applyAlignment="1" applyProtection="1">
      <alignment horizontal="left" vertical="center"/>
      <protection hidden="1"/>
    </xf>
    <xf numFmtId="0" fontId="50" fillId="0" borderId="0" xfId="0" applyFont="1" applyAlignment="1" applyProtection="1">
      <alignment horizontal="center"/>
      <protection hidden="1"/>
    </xf>
    <xf numFmtId="0" fontId="30" fillId="0" borderId="0" xfId="0" applyFont="1" applyAlignment="1" applyProtection="1">
      <alignment horizontal="center" vertical="center" wrapText="1"/>
      <protection hidden="1"/>
    </xf>
    <xf numFmtId="14" fontId="36" fillId="0" borderId="0" xfId="0" applyNumberFormat="1" applyFont="1" applyAlignment="1" applyProtection="1">
      <alignment horizontal="center"/>
      <protection hidden="1"/>
    </xf>
    <xf numFmtId="1" fontId="30" fillId="0" borderId="0" xfId="0" applyNumberFormat="1" applyFont="1" applyAlignment="1" applyProtection="1">
      <alignment horizontal="center"/>
      <protection hidden="1"/>
    </xf>
    <xf numFmtId="1" fontId="50" fillId="0" borderId="0" xfId="0" applyNumberFormat="1" applyFont="1" applyAlignment="1" applyProtection="1">
      <alignment horizontal="center"/>
      <protection hidden="1"/>
    </xf>
    <xf numFmtId="0" fontId="109" fillId="0" borderId="0" xfId="0" applyFont="1" applyAlignment="1">
      <alignment horizontal="left" vertical="center"/>
    </xf>
    <xf numFmtId="4" fontId="14" fillId="35" borderId="14" xfId="0" applyNumberFormat="1" applyFont="1" applyFill="1" applyBorder="1"/>
    <xf numFmtId="49" fontId="14" fillId="35" borderId="13" xfId="0" applyNumberFormat="1" applyFont="1" applyFill="1" applyBorder="1" applyAlignment="1">
      <alignment horizontal="center"/>
    </xf>
    <xf numFmtId="4" fontId="14" fillId="7" borderId="14" xfId="0" applyNumberFormat="1" applyFont="1" applyFill="1" applyBorder="1" applyAlignment="1">
      <alignment vertical="center" wrapText="1"/>
    </xf>
    <xf numFmtId="4" fontId="14" fillId="20" borderId="14" xfId="0" applyNumberFormat="1" applyFont="1" applyFill="1" applyBorder="1" applyAlignment="1">
      <alignment horizontal="center" vertical="center" wrapText="1"/>
    </xf>
    <xf numFmtId="4" fontId="14" fillId="20" borderId="45" xfId="0" applyNumberFormat="1" applyFont="1" applyFill="1" applyBorder="1" applyAlignment="1">
      <alignment horizontal="center" vertical="center" wrapText="1"/>
    </xf>
    <xf numFmtId="4" fontId="14" fillId="20" borderId="0" xfId="0" applyNumberFormat="1" applyFont="1" applyFill="1" applyAlignment="1">
      <alignment horizontal="center" vertical="center" wrapText="1"/>
    </xf>
    <xf numFmtId="0" fontId="62" fillId="0" borderId="0" xfId="0" applyFont="1" applyAlignment="1" applyProtection="1">
      <alignment horizontal="left" vertical="top"/>
      <protection hidden="1"/>
    </xf>
    <xf numFmtId="0" fontId="14" fillId="6" borderId="0" xfId="0" applyFont="1" applyFill="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166" fontId="37" fillId="0" borderId="0" xfId="0" applyNumberFormat="1" applyFont="1" applyAlignment="1" applyProtection="1">
      <alignment horizontal="left" vertical="center"/>
      <protection hidden="1"/>
    </xf>
    <xf numFmtId="0" fontId="14" fillId="0" borderId="12" xfId="0" applyFont="1" applyBorder="1" applyProtection="1">
      <protection hidden="1"/>
    </xf>
    <xf numFmtId="0" fontId="14" fillId="8" borderId="0" xfId="0" applyFont="1" applyFill="1" applyProtection="1">
      <protection hidden="1"/>
    </xf>
    <xf numFmtId="0" fontId="14" fillId="8" borderId="0" xfId="0" applyFont="1" applyFill="1" applyAlignment="1" applyProtection="1">
      <alignment horizontal="right"/>
      <protection hidden="1"/>
    </xf>
    <xf numFmtId="0" fontId="14" fillId="8" borderId="18" xfId="0" applyFont="1" applyFill="1" applyBorder="1" applyAlignment="1" applyProtection="1">
      <alignment horizontal="right"/>
      <protection hidden="1"/>
    </xf>
    <xf numFmtId="0" fontId="48" fillId="0" borderId="0" xfId="2" applyFont="1" applyFill="1" applyBorder="1" applyAlignment="1" applyProtection="1">
      <protection hidden="1"/>
    </xf>
    <xf numFmtId="0" fontId="14" fillId="2" borderId="14" xfId="0" applyFont="1" applyFill="1" applyBorder="1" applyAlignment="1" applyProtection="1">
      <alignment horizontal="center" vertical="center" wrapText="1"/>
      <protection hidden="1"/>
    </xf>
    <xf numFmtId="0" fontId="30" fillId="2" borderId="13" xfId="0" applyFont="1" applyFill="1" applyBorder="1" applyAlignment="1" applyProtection="1">
      <alignment horizontal="center" vertical="center" wrapText="1"/>
      <protection hidden="1"/>
    </xf>
    <xf numFmtId="0" fontId="30" fillId="2" borderId="14" xfId="0" applyFont="1" applyFill="1" applyBorder="1" applyAlignment="1" applyProtection="1">
      <alignment horizontal="center" vertical="center" wrapText="1"/>
      <protection hidden="1"/>
    </xf>
    <xf numFmtId="0" fontId="14" fillId="2" borderId="12"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169" fontId="37" fillId="7" borderId="14" xfId="0" applyNumberFormat="1" applyFont="1" applyFill="1" applyBorder="1" applyProtection="1">
      <protection hidden="1"/>
    </xf>
    <xf numFmtId="0" fontId="0" fillId="8" borderId="0" xfId="0" applyFill="1" applyAlignment="1" applyProtection="1">
      <alignment horizontal="right" vertical="center"/>
      <protection hidden="1"/>
    </xf>
    <xf numFmtId="0" fontId="37" fillId="8" borderId="0" xfId="0" applyFont="1" applyFill="1" applyAlignment="1" applyProtection="1">
      <alignment horizontal="right" vertical="center"/>
      <protection hidden="1"/>
    </xf>
    <xf numFmtId="0" fontId="41" fillId="8" borderId="0" xfId="0" applyFont="1" applyFill="1" applyAlignment="1" applyProtection="1">
      <alignment horizontal="right" vertical="center"/>
      <protection hidden="1"/>
    </xf>
    <xf numFmtId="0" fontId="30" fillId="2" borderId="12" xfId="0" applyFont="1" applyFill="1" applyBorder="1" applyAlignment="1" applyProtection="1">
      <alignment horizontal="right" vertical="center"/>
      <protection hidden="1"/>
    </xf>
    <xf numFmtId="0" fontId="36"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0" fontId="27" fillId="0" borderId="0" xfId="0" applyFont="1" applyAlignment="1" applyProtection="1">
      <alignment horizontal="right" vertical="center"/>
      <protection hidden="1"/>
    </xf>
    <xf numFmtId="0" fontId="20" fillId="0" borderId="14" xfId="0" applyFont="1" applyBorder="1" applyAlignment="1">
      <alignment horizontal="left" vertical="top" wrapText="1"/>
    </xf>
    <xf numFmtId="14" fontId="84" fillId="0" borderId="14" xfId="0" applyNumberFormat="1" applyFont="1" applyBorder="1" applyAlignment="1">
      <alignment horizontal="center" vertical="top"/>
    </xf>
    <xf numFmtId="0" fontId="84" fillId="0" borderId="14" xfId="0" applyFont="1" applyBorder="1" applyAlignment="1">
      <alignment vertical="top" wrapText="1"/>
    </xf>
    <xf numFmtId="14" fontId="20" fillId="0" borderId="14" xfId="0" applyNumberFormat="1" applyFont="1" applyBorder="1" applyAlignment="1">
      <alignment horizontal="center" vertical="top"/>
    </xf>
    <xf numFmtId="0" fontId="20" fillId="0" borderId="14" xfId="0" applyFont="1" applyBorder="1" applyAlignment="1">
      <alignment vertical="top"/>
    </xf>
    <xf numFmtId="0" fontId="19" fillId="0" borderId="14" xfId="0" applyFont="1" applyBorder="1" applyAlignment="1">
      <alignment horizontal="left" vertical="top" wrapText="1"/>
    </xf>
    <xf numFmtId="0" fontId="19" fillId="0" borderId="14" xfId="0" applyFont="1" applyBorder="1" applyAlignment="1">
      <alignment vertical="top" wrapText="1"/>
    </xf>
    <xf numFmtId="0" fontId="18" fillId="0" borderId="14" xfId="0" applyFont="1" applyBorder="1" applyAlignment="1">
      <alignment horizontal="left" vertical="top" wrapText="1"/>
    </xf>
    <xf numFmtId="0" fontId="17" fillId="0" borderId="14" xfId="0" applyFont="1" applyBorder="1" applyAlignment="1">
      <alignment vertical="top" wrapText="1"/>
    </xf>
    <xf numFmtId="0" fontId="17" fillId="0" borderId="14" xfId="0" applyFont="1" applyBorder="1" applyAlignment="1">
      <alignment horizontal="left" vertical="top" wrapText="1"/>
    </xf>
    <xf numFmtId="14" fontId="20" fillId="0" borderId="14" xfId="0" applyNumberFormat="1" applyFont="1" applyBorder="1" applyAlignment="1">
      <alignment vertical="top"/>
    </xf>
    <xf numFmtId="0" fontId="16" fillId="0" borderId="14" xfId="0" applyFont="1" applyBorder="1" applyAlignment="1">
      <alignment horizontal="left" vertical="top" wrapText="1"/>
    </xf>
    <xf numFmtId="0" fontId="16" fillId="0" borderId="14" xfId="0" applyFont="1" applyBorder="1" applyAlignment="1">
      <alignment vertical="top" wrapText="1"/>
    </xf>
    <xf numFmtId="0" fontId="15" fillId="0" borderId="14" xfId="0" applyFont="1" applyBorder="1" applyAlignment="1">
      <alignment horizontal="left" vertical="top" wrapText="1"/>
    </xf>
    <xf numFmtId="14" fontId="0" fillId="0" borderId="14" xfId="0" applyNumberFormat="1" applyBorder="1"/>
    <xf numFmtId="0" fontId="14" fillId="0" borderId="14" xfId="0" applyFont="1" applyBorder="1" applyAlignment="1">
      <alignment horizontal="left" vertical="top" wrapText="1"/>
    </xf>
    <xf numFmtId="49" fontId="139" fillId="15" borderId="44" xfId="0" applyNumberFormat="1" applyFont="1" applyFill="1" applyBorder="1" applyAlignment="1" applyProtection="1">
      <alignment horizontal="center"/>
      <protection locked="0"/>
    </xf>
    <xf numFmtId="0" fontId="140" fillId="33" borderId="40" xfId="0" applyFont="1" applyFill="1" applyBorder="1"/>
    <xf numFmtId="0" fontId="49" fillId="0" borderId="0" xfId="0" applyFont="1" applyProtection="1">
      <protection hidden="1"/>
    </xf>
    <xf numFmtId="0" fontId="90" fillId="6" borderId="0" xfId="0" applyFont="1" applyFill="1" applyAlignment="1" applyProtection="1">
      <alignment horizontal="right" wrapText="1"/>
      <protection hidden="1"/>
    </xf>
    <xf numFmtId="0" fontId="68" fillId="6" borderId="0" xfId="0" applyFont="1" applyFill="1" applyProtection="1">
      <protection hidden="1"/>
    </xf>
    <xf numFmtId="0" fontId="90" fillId="0" borderId="0" xfId="0" applyFont="1" applyAlignment="1" applyProtection="1">
      <alignment horizontal="right"/>
      <protection hidden="1"/>
    </xf>
    <xf numFmtId="0" fontId="90" fillId="0" borderId="0" xfId="0" applyFont="1" applyProtection="1">
      <protection hidden="1"/>
    </xf>
    <xf numFmtId="0" fontId="116" fillId="0" borderId="7" xfId="0" applyFont="1" applyBorder="1" applyAlignment="1" applyProtection="1">
      <alignment horizontal="right"/>
      <protection hidden="1"/>
    </xf>
    <xf numFmtId="2" fontId="65" fillId="0" borderId="0" xfId="0" applyNumberFormat="1" applyFont="1" applyAlignment="1" applyProtection="1">
      <alignment horizontal="center" vertical="center"/>
      <protection hidden="1"/>
    </xf>
    <xf numFmtId="2" fontId="49" fillId="0" borderId="0" xfId="0" applyNumberFormat="1"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47" fillId="0" borderId="0" xfId="0" applyFont="1" applyAlignment="1" applyProtection="1">
      <alignment horizontal="center" vertical="center"/>
      <protection hidden="1"/>
    </xf>
    <xf numFmtId="10" fontId="77" fillId="0" borderId="0" xfId="4" applyNumberFormat="1" applyFont="1" applyFill="1" applyBorder="1" applyAlignment="1" applyProtection="1">
      <alignment horizontal="center" vertical="center"/>
      <protection hidden="1"/>
    </xf>
    <xf numFmtId="2" fontId="84" fillId="0" borderId="0" xfId="0" applyNumberFormat="1" applyFont="1" applyAlignment="1" applyProtection="1">
      <alignment horizontal="center"/>
      <protection hidden="1"/>
    </xf>
    <xf numFmtId="0" fontId="85" fillId="0" borderId="0" xfId="0" applyFont="1" applyProtection="1">
      <protection hidden="1"/>
    </xf>
    <xf numFmtId="0" fontId="84" fillId="0" borderId="0" xfId="0" applyFont="1" applyProtection="1">
      <protection hidden="1"/>
    </xf>
    <xf numFmtId="0" fontId="89" fillId="0" borderId="0" xfId="0" applyFont="1" applyProtection="1">
      <protection hidden="1"/>
    </xf>
    <xf numFmtId="0" fontId="84" fillId="0" borderId="0" xfId="0" applyFont="1" applyAlignment="1" applyProtection="1">
      <alignment horizontal="center"/>
      <protection hidden="1"/>
    </xf>
    <xf numFmtId="0" fontId="91" fillId="0" borderId="0" xfId="0" applyFont="1" applyProtection="1">
      <protection hidden="1"/>
    </xf>
    <xf numFmtId="0" fontId="86" fillId="0" borderId="0" xfId="0" applyFont="1" applyProtection="1">
      <protection hidden="1"/>
    </xf>
    <xf numFmtId="0" fontId="87" fillId="0" borderId="0" xfId="0" applyFont="1" applyProtection="1">
      <protection hidden="1"/>
    </xf>
    <xf numFmtId="1" fontId="55" fillId="0" borderId="0" xfId="0" applyNumberFormat="1" applyFont="1" applyAlignment="1" applyProtection="1">
      <alignment horizontal="center"/>
      <protection hidden="1"/>
    </xf>
    <xf numFmtId="0" fontId="88" fillId="0" borderId="0" xfId="0" applyFont="1" applyProtection="1">
      <protection hidden="1"/>
    </xf>
    <xf numFmtId="0" fontId="92" fillId="0" borderId="0" xfId="0" applyFont="1" applyProtection="1">
      <protection hidden="1"/>
    </xf>
    <xf numFmtId="0" fontId="42" fillId="0" borderId="18" xfId="0" applyFont="1" applyBorder="1" applyAlignment="1" applyProtection="1">
      <alignment horizontal="left" vertical="center"/>
      <protection hidden="1"/>
    </xf>
    <xf numFmtId="0" fontId="36" fillId="0" borderId="0" xfId="0" applyFont="1" applyAlignment="1" applyProtection="1">
      <alignment horizontal="center" vertical="center"/>
      <protection hidden="1"/>
    </xf>
    <xf numFmtId="0" fontId="42" fillId="0" borderId="12" xfId="0" applyFont="1" applyBorder="1" applyAlignment="1" applyProtection="1">
      <alignment vertical="center"/>
      <protection hidden="1"/>
    </xf>
    <xf numFmtId="0" fontId="42" fillId="0" borderId="18" xfId="0" applyFont="1" applyBorder="1" applyAlignment="1" applyProtection="1">
      <alignment vertical="center"/>
      <protection hidden="1"/>
    </xf>
    <xf numFmtId="1" fontId="14" fillId="0" borderId="13" xfId="0" applyNumberFormat="1" applyFont="1" applyBorder="1" applyAlignment="1" applyProtection="1">
      <alignment horizontal="left" vertical="center"/>
      <protection hidden="1"/>
    </xf>
    <xf numFmtId="0" fontId="55" fillId="0" borderId="0" xfId="0" applyFont="1" applyAlignment="1" applyProtection="1">
      <alignment horizontal="center" vertical="center"/>
      <protection hidden="1"/>
    </xf>
    <xf numFmtId="10" fontId="55" fillId="0" borderId="0" xfId="0" applyNumberFormat="1" applyFont="1" applyAlignment="1" applyProtection="1">
      <alignment horizontal="center" vertical="center"/>
      <protection hidden="1"/>
    </xf>
    <xf numFmtId="0" fontId="65" fillId="0" borderId="0" xfId="0" applyFont="1" applyAlignment="1" applyProtection="1">
      <alignment horizontal="left" vertical="center"/>
      <protection hidden="1"/>
    </xf>
    <xf numFmtId="166" fontId="42" fillId="0" borderId="18" xfId="0" applyNumberFormat="1" applyFont="1" applyBorder="1" applyAlignment="1" applyProtection="1">
      <alignment vertical="center"/>
      <protection hidden="1"/>
    </xf>
    <xf numFmtId="0" fontId="30" fillId="0" borderId="18" xfId="0" applyFont="1" applyBorder="1" applyAlignment="1" applyProtection="1">
      <alignment vertical="center"/>
      <protection hidden="1"/>
    </xf>
    <xf numFmtId="0" fontId="30" fillId="0" borderId="13" xfId="0" applyFont="1" applyBorder="1" applyAlignment="1" applyProtection="1">
      <alignment vertical="center"/>
      <protection hidden="1"/>
    </xf>
    <xf numFmtId="0" fontId="55" fillId="0" borderId="0" xfId="0" applyFont="1" applyAlignment="1" applyProtection="1">
      <alignment vertical="center"/>
      <protection hidden="1"/>
    </xf>
    <xf numFmtId="2" fontId="55" fillId="0" borderId="0" xfId="0" applyNumberFormat="1" applyFont="1" applyAlignment="1" applyProtection="1">
      <alignment horizontal="center" vertical="center"/>
      <protection hidden="1"/>
    </xf>
    <xf numFmtId="0" fontId="14" fillId="0" borderId="12" xfId="0" applyFont="1" applyBorder="1" applyAlignment="1" applyProtection="1">
      <alignment vertical="center"/>
      <protection hidden="1"/>
    </xf>
    <xf numFmtId="0" fontId="42" fillId="0" borderId="13" xfId="0" applyFont="1" applyBorder="1" applyAlignment="1" applyProtection="1">
      <alignment horizontal="left" vertical="center"/>
      <protection hidden="1"/>
    </xf>
    <xf numFmtId="10" fontId="78" fillId="0" borderId="0" xfId="4" applyNumberFormat="1" applyFont="1" applyFill="1" applyBorder="1" applyAlignment="1" applyProtection="1">
      <alignment vertical="center"/>
      <protection hidden="1"/>
    </xf>
    <xf numFmtId="2" fontId="30" fillId="0" borderId="14" xfId="0" applyNumberFormat="1" applyFont="1" applyBorder="1" applyAlignment="1" applyProtection="1">
      <alignment vertical="center"/>
      <protection hidden="1"/>
    </xf>
    <xf numFmtId="173" fontId="30" fillId="0" borderId="14" xfId="0" applyNumberFormat="1" applyFont="1" applyBorder="1" applyAlignment="1" applyProtection="1">
      <alignment vertical="center"/>
      <protection hidden="1"/>
    </xf>
    <xf numFmtId="0" fontId="48" fillId="0" borderId="5" xfId="0" applyFont="1" applyBorder="1" applyProtection="1">
      <protection hidden="1"/>
    </xf>
    <xf numFmtId="0" fontId="48" fillId="37" borderId="5" xfId="0" applyFont="1" applyFill="1" applyBorder="1" applyAlignment="1" applyProtection="1">
      <alignment horizontal="left" wrapText="1"/>
      <protection hidden="1"/>
    </xf>
    <xf numFmtId="0" fontId="14" fillId="37" borderId="5" xfId="0" applyFont="1" applyFill="1" applyBorder="1" applyProtection="1">
      <protection hidden="1"/>
    </xf>
    <xf numFmtId="0" fontId="0" fillId="37" borderId="5" xfId="0" applyFill="1" applyBorder="1" applyProtection="1">
      <protection hidden="1"/>
    </xf>
    <xf numFmtId="173" fontId="0" fillId="8" borderId="0" xfId="0" applyNumberFormat="1" applyFill="1"/>
    <xf numFmtId="0" fontId="0" fillId="8" borderId="0" xfId="0" applyFill="1" applyAlignment="1">
      <alignment horizontal="center"/>
    </xf>
    <xf numFmtId="0" fontId="41" fillId="0" borderId="0" xfId="0" applyFont="1" applyAlignment="1" applyProtection="1">
      <alignment horizontal="right" vertical="center"/>
      <protection hidden="1"/>
    </xf>
    <xf numFmtId="0" fontId="14" fillId="2" borderId="12" xfId="0" applyFont="1" applyFill="1" applyBorder="1" applyAlignment="1" applyProtection="1">
      <alignment horizontal="center" vertical="center" wrapText="1"/>
      <protection hidden="1"/>
    </xf>
    <xf numFmtId="0" fontId="30" fillId="2" borderId="12" xfId="0" applyFont="1" applyFill="1" applyBorder="1" applyAlignment="1" applyProtection="1">
      <alignment horizontal="center" vertical="center" wrapText="1"/>
      <protection hidden="1"/>
    </xf>
    <xf numFmtId="169" fontId="14" fillId="8" borderId="0" xfId="0" applyNumberFormat="1" applyFont="1" applyFill="1" applyProtection="1">
      <protection hidden="1"/>
    </xf>
    <xf numFmtId="169" fontId="47" fillId="8" borderId="0" xfId="0" applyNumberFormat="1" applyFont="1" applyFill="1" applyProtection="1">
      <protection hidden="1"/>
    </xf>
    <xf numFmtId="0" fontId="14" fillId="0" borderId="0" xfId="0" applyFont="1" applyAlignment="1" applyProtection="1">
      <alignment horizontal="right"/>
      <protection hidden="1"/>
    </xf>
    <xf numFmtId="0" fontId="41" fillId="0" borderId="0" xfId="0" applyFont="1" applyAlignment="1" applyProtection="1">
      <alignment horizontal="right"/>
      <protection hidden="1"/>
    </xf>
    <xf numFmtId="0" fontId="42" fillId="0" borderId="0" xfId="0" applyFont="1" applyAlignment="1" applyProtection="1">
      <alignment horizontal="left"/>
      <protection hidden="1"/>
    </xf>
    <xf numFmtId="0" fontId="56" fillId="0" borderId="0" xfId="0" applyFont="1" applyProtection="1">
      <protection hidden="1"/>
    </xf>
    <xf numFmtId="3" fontId="37" fillId="7" borderId="14" xfId="0" applyNumberFormat="1" applyFont="1" applyFill="1" applyBorder="1" applyAlignment="1" applyProtection="1">
      <alignment horizontal="center" vertical="center"/>
      <protection hidden="1"/>
    </xf>
    <xf numFmtId="0" fontId="14" fillId="8" borderId="0" xfId="0" applyFont="1" applyFill="1" applyAlignment="1" applyProtection="1">
      <alignment vertical="center"/>
      <protection hidden="1"/>
    </xf>
    <xf numFmtId="0" fontId="30" fillId="8" borderId="0" xfId="0" applyFont="1" applyFill="1" applyAlignment="1" applyProtection="1">
      <alignment vertical="center"/>
      <protection hidden="1"/>
    </xf>
    <xf numFmtId="0" fontId="0" fillId="8" borderId="0" xfId="0" applyFill="1" applyAlignment="1" applyProtection="1">
      <alignment vertical="center"/>
      <protection hidden="1"/>
    </xf>
    <xf numFmtId="0" fontId="36" fillId="7" borderId="14" xfId="0" applyFont="1" applyFill="1" applyBorder="1" applyAlignment="1" applyProtection="1">
      <alignment horizontal="center" vertical="center"/>
      <protection hidden="1"/>
    </xf>
    <xf numFmtId="170" fontId="36" fillId="7" borderId="14" xfId="0" applyNumberFormat="1" applyFont="1" applyFill="1" applyBorder="1" applyAlignment="1" applyProtection="1">
      <alignment horizontal="center" vertical="center"/>
      <protection hidden="1"/>
    </xf>
    <xf numFmtId="4" fontId="36" fillId="7" borderId="14" xfId="0" applyNumberFormat="1" applyFont="1" applyFill="1" applyBorder="1" applyAlignment="1" applyProtection="1">
      <alignment horizontal="center" vertical="center"/>
      <protection hidden="1"/>
    </xf>
    <xf numFmtId="0" fontId="36" fillId="8" borderId="0" xfId="0" applyFont="1" applyFill="1" applyAlignment="1" applyProtection="1">
      <alignment horizontal="right"/>
      <protection hidden="1"/>
    </xf>
    <xf numFmtId="165" fontId="37" fillId="7" borderId="14" xfId="0" applyNumberFormat="1" applyFont="1" applyFill="1" applyBorder="1" applyAlignment="1" applyProtection="1">
      <alignment horizontal="right" indent="1"/>
      <protection hidden="1"/>
    </xf>
    <xf numFmtId="165" fontId="36" fillId="7" borderId="14" xfId="0" applyNumberFormat="1" applyFont="1" applyFill="1" applyBorder="1" applyAlignment="1" applyProtection="1">
      <alignment horizontal="right" indent="1"/>
      <protection hidden="1"/>
    </xf>
    <xf numFmtId="0" fontId="33" fillId="20" borderId="56" xfId="0" applyFont="1" applyFill="1" applyBorder="1"/>
    <xf numFmtId="0" fontId="33" fillId="20" borderId="55" xfId="0" applyFont="1" applyFill="1" applyBorder="1"/>
    <xf numFmtId="0" fontId="36" fillId="7" borderId="40" xfId="0" applyFont="1" applyFill="1" applyBorder="1"/>
    <xf numFmtId="0" fontId="14" fillId="7" borderId="12" xfId="0" applyFont="1" applyFill="1" applyBorder="1"/>
    <xf numFmtId="0" fontId="14" fillId="7" borderId="18" xfId="0" applyFont="1" applyFill="1" applyBorder="1"/>
    <xf numFmtId="0" fontId="36" fillId="7" borderId="95" xfId="0" applyFont="1" applyFill="1" applyBorder="1"/>
    <xf numFmtId="0" fontId="36" fillId="7" borderId="2" xfId="0" applyFont="1" applyFill="1" applyBorder="1"/>
    <xf numFmtId="0" fontId="14" fillId="7" borderId="90" xfId="0" applyFont="1" applyFill="1" applyBorder="1"/>
    <xf numFmtId="0" fontId="14" fillId="7" borderId="7" xfId="0" applyFont="1" applyFill="1" applyBorder="1"/>
    <xf numFmtId="0" fontId="14" fillId="7" borderId="96" xfId="0" applyFont="1" applyFill="1" applyBorder="1"/>
    <xf numFmtId="0" fontId="14" fillId="7" borderId="7" xfId="0" applyFont="1" applyFill="1" applyBorder="1" applyAlignment="1">
      <alignment wrapText="1"/>
    </xf>
    <xf numFmtId="0" fontId="14" fillId="25" borderId="94" xfId="0" applyFont="1" applyFill="1" applyBorder="1" applyAlignment="1">
      <alignment vertical="center"/>
    </xf>
    <xf numFmtId="0" fontId="14" fillId="25" borderId="18" xfId="0" applyFont="1" applyFill="1" applyBorder="1" applyAlignment="1">
      <alignment vertical="center"/>
    </xf>
    <xf numFmtId="0" fontId="14" fillId="39" borderId="18" xfId="0" applyFont="1" applyFill="1" applyBorder="1" applyAlignment="1">
      <alignment horizontal="center" vertical="center"/>
    </xf>
    <xf numFmtId="0" fontId="14" fillId="25" borderId="90" xfId="0" applyFont="1" applyFill="1" applyBorder="1" applyAlignment="1">
      <alignment vertical="center"/>
    </xf>
    <xf numFmtId="0" fontId="14" fillId="25" borderId="7" xfId="0" applyFont="1" applyFill="1" applyBorder="1" applyAlignment="1">
      <alignment vertical="center" wrapText="1"/>
    </xf>
    <xf numFmtId="0" fontId="14" fillId="39" borderId="7" xfId="0" applyFont="1" applyFill="1" applyBorder="1" applyAlignment="1">
      <alignment horizontal="center" vertical="center"/>
    </xf>
    <xf numFmtId="0" fontId="14" fillId="0" borderId="7" xfId="0" applyFont="1" applyBorder="1" applyAlignment="1">
      <alignment wrapText="1"/>
    </xf>
    <xf numFmtId="0" fontId="14" fillId="25" borderId="7" xfId="0" applyFont="1" applyFill="1" applyBorder="1" applyAlignment="1">
      <alignment vertical="center"/>
    </xf>
    <xf numFmtId="0" fontId="14" fillId="0" borderId="7" xfId="0" applyFont="1" applyBorder="1"/>
    <xf numFmtId="0" fontId="0" fillId="25" borderId="18" xfId="0" applyFill="1" applyBorder="1"/>
    <xf numFmtId="0" fontId="0" fillId="39" borderId="18" xfId="0" applyFill="1" applyBorder="1"/>
    <xf numFmtId="0" fontId="14" fillId="25" borderId="94" xfId="0" applyFont="1" applyFill="1" applyBorder="1"/>
    <xf numFmtId="0" fontId="14" fillId="25" borderId="18" xfId="0" applyFont="1" applyFill="1" applyBorder="1"/>
    <xf numFmtId="0" fontId="54" fillId="0" borderId="0" xfId="0" applyFont="1" applyAlignment="1">
      <alignment wrapText="1"/>
    </xf>
    <xf numFmtId="0" fontId="36" fillId="25" borderId="9" xfId="0" applyFont="1" applyFill="1" applyBorder="1" applyAlignment="1">
      <alignment horizontal="left" vertical="center"/>
    </xf>
    <xf numFmtId="0" fontId="36" fillId="25" borderId="10" xfId="0" applyFont="1" applyFill="1" applyBorder="1" applyAlignment="1">
      <alignment horizontal="left" vertical="center"/>
    </xf>
    <xf numFmtId="0" fontId="36" fillId="7" borderId="10" xfId="0" applyFont="1" applyFill="1" applyBorder="1" applyAlignment="1">
      <alignment horizontal="left" vertical="center"/>
    </xf>
    <xf numFmtId="0" fontId="49" fillId="7" borderId="15" xfId="0" applyFont="1" applyFill="1" applyBorder="1" applyAlignment="1">
      <alignment horizontal="center" vertical="center"/>
    </xf>
    <xf numFmtId="0" fontId="49" fillId="0" borderId="11" xfId="0" applyFont="1" applyBorder="1" applyAlignment="1">
      <alignment horizontal="left" vertical="center" wrapText="1"/>
    </xf>
    <xf numFmtId="0" fontId="68" fillId="0" borderId="40" xfId="0" applyFont="1" applyBorder="1"/>
    <xf numFmtId="0" fontId="68" fillId="0" borderId="59" xfId="0" applyFont="1" applyBorder="1"/>
    <xf numFmtId="0" fontId="0" fillId="0" borderId="60" xfId="0" applyBorder="1"/>
    <xf numFmtId="0" fontId="54" fillId="0" borderId="0" xfId="0" applyFont="1" applyAlignment="1" applyProtection="1">
      <alignment horizontal="left"/>
      <protection hidden="1"/>
    </xf>
    <xf numFmtId="0" fontId="30" fillId="0" borderId="0" xfId="0" applyFont="1" applyAlignment="1" applyProtection="1">
      <alignment horizontal="center" wrapText="1"/>
      <protection hidden="1"/>
    </xf>
    <xf numFmtId="3" fontId="42" fillId="0" borderId="0" xfId="0" applyNumberFormat="1" applyFont="1" applyAlignment="1" applyProtection="1">
      <alignment horizontal="center"/>
      <protection hidden="1"/>
    </xf>
    <xf numFmtId="3" fontId="36" fillId="0" borderId="0" xfId="0" applyNumberFormat="1" applyFont="1" applyAlignment="1" applyProtection="1">
      <alignment horizontal="center" vertical="center"/>
      <protection hidden="1"/>
    </xf>
    <xf numFmtId="0" fontId="14" fillId="2" borderId="0" xfId="0" applyFont="1" applyFill="1" applyProtection="1">
      <protection hidden="1"/>
    </xf>
    <xf numFmtId="0" fontId="14" fillId="0" borderId="0" xfId="0" applyFont="1" applyAlignment="1" applyProtection="1">
      <alignment vertical="center"/>
      <protection hidden="1"/>
    </xf>
    <xf numFmtId="0" fontId="14" fillId="6" borderId="0" xfId="0" applyFont="1" applyFill="1" applyAlignment="1" applyProtection="1">
      <alignment horizontal="left" vertical="center"/>
      <protection hidden="1"/>
    </xf>
    <xf numFmtId="17" fontId="49" fillId="6" borderId="0" xfId="0" applyNumberFormat="1" applyFont="1" applyFill="1" applyAlignment="1" applyProtection="1">
      <alignment horizontal="center" vertical="center"/>
      <protection hidden="1"/>
    </xf>
    <xf numFmtId="0" fontId="109" fillId="6" borderId="0" xfId="0" applyFont="1" applyFill="1" applyAlignment="1">
      <alignment horizontal="left"/>
    </xf>
    <xf numFmtId="0" fontId="109" fillId="6" borderId="39" xfId="0" applyFont="1" applyFill="1" applyBorder="1" applyAlignment="1">
      <alignment horizontal="left"/>
    </xf>
    <xf numFmtId="0" fontId="38" fillId="29" borderId="0" xfId="0" applyFont="1" applyFill="1" applyAlignment="1" applyProtection="1">
      <alignment vertical="center"/>
      <protection hidden="1"/>
    </xf>
    <xf numFmtId="0" fontId="109" fillId="6" borderId="0" xfId="0" applyFont="1" applyFill="1"/>
    <xf numFmtId="0" fontId="109" fillId="6" borderId="39" xfId="0" applyFont="1" applyFill="1" applyBorder="1"/>
    <xf numFmtId="4" fontId="14" fillId="20" borderId="45" xfId="0" applyNumberFormat="1" applyFont="1" applyFill="1" applyBorder="1"/>
    <xf numFmtId="4" fontId="14" fillId="6" borderId="18" xfId="0" applyNumberFormat="1" applyFont="1" applyFill="1" applyBorder="1" applyAlignment="1" applyProtection="1">
      <alignment horizontal="center"/>
      <protection hidden="1"/>
    </xf>
    <xf numFmtId="173" fontId="0" fillId="0" borderId="0" xfId="0" applyNumberFormat="1"/>
    <xf numFmtId="0" fontId="36" fillId="0" borderId="0" xfId="0" applyFont="1" applyAlignment="1">
      <alignment horizontal="right"/>
    </xf>
    <xf numFmtId="0" fontId="14" fillId="0" borderId="0" xfId="0" applyFont="1" applyAlignment="1">
      <alignment horizontal="right"/>
    </xf>
    <xf numFmtId="9" fontId="14" fillId="0" borderId="0" xfId="4" applyFont="1" applyFill="1" applyBorder="1"/>
    <xf numFmtId="10" fontId="14" fillId="0" borderId="0" xfId="4" applyNumberFormat="1" applyFont="1" applyFill="1" applyBorder="1"/>
    <xf numFmtId="9" fontId="14" fillId="0" borderId="0" xfId="0" applyNumberFormat="1" applyFont="1"/>
    <xf numFmtId="4" fontId="36" fillId="0" borderId="14" xfId="0" applyNumberFormat="1" applyFont="1" applyBorder="1"/>
    <xf numFmtId="173" fontId="14" fillId="23" borderId="0" xfId="0" applyNumberFormat="1" applyFont="1" applyFill="1"/>
    <xf numFmtId="0" fontId="36" fillId="23" borderId="0" xfId="0" applyFont="1" applyFill="1"/>
    <xf numFmtId="0" fontId="14" fillId="23" borderId="0" xfId="0" applyFont="1" applyFill="1"/>
    <xf numFmtId="4" fontId="85" fillId="19" borderId="14" xfId="0" applyNumberFormat="1" applyFont="1" applyFill="1" applyBorder="1" applyAlignment="1">
      <alignment horizontal="center"/>
    </xf>
    <xf numFmtId="173" fontId="47" fillId="25" borderId="14" xfId="0" applyNumberFormat="1" applyFont="1" applyFill="1" applyBorder="1" applyAlignment="1">
      <alignment horizontal="center"/>
    </xf>
    <xf numFmtId="173" fontId="47" fillId="20" borderId="0" xfId="0" applyNumberFormat="1" applyFont="1" applyFill="1" applyAlignment="1">
      <alignment horizontal="center"/>
    </xf>
    <xf numFmtId="173" fontId="41" fillId="20" borderId="7" xfId="0" applyNumberFormat="1" applyFont="1" applyFill="1" applyBorder="1" applyAlignment="1">
      <alignment horizontal="center"/>
    </xf>
    <xf numFmtId="173" fontId="47" fillId="20" borderId="7" xfId="0" applyNumberFormat="1" applyFont="1" applyFill="1" applyBorder="1" applyAlignment="1">
      <alignment horizontal="center"/>
    </xf>
    <xf numFmtId="173" fontId="84" fillId="20" borderId="14" xfId="0" applyNumberFormat="1" applyFont="1" applyFill="1" applyBorder="1" applyAlignment="1">
      <alignment horizontal="center"/>
    </xf>
    <xf numFmtId="4" fontId="41" fillId="41" borderId="14" xfId="0" applyNumberFormat="1" applyFont="1" applyFill="1" applyBorder="1" applyAlignment="1">
      <alignment horizontal="center"/>
    </xf>
    <xf numFmtId="173" fontId="41" fillId="41" borderId="18" xfId="0" applyNumberFormat="1" applyFont="1" applyFill="1" applyBorder="1" applyAlignment="1">
      <alignment horizontal="center"/>
    </xf>
    <xf numFmtId="4" fontId="65" fillId="25" borderId="18" xfId="0" applyNumberFormat="1" applyFont="1" applyFill="1" applyBorder="1" applyAlignment="1">
      <alignment horizontal="center"/>
    </xf>
    <xf numFmtId="174" fontId="85" fillId="19" borderId="14" xfId="0" applyNumberFormat="1" applyFont="1" applyFill="1" applyBorder="1" applyAlignment="1">
      <alignment horizontal="center"/>
    </xf>
    <xf numFmtId="4" fontId="49" fillId="41" borderId="18" xfId="0" applyNumberFormat="1" applyFont="1" applyFill="1" applyBorder="1" applyAlignment="1">
      <alignment horizontal="center"/>
    </xf>
    <xf numFmtId="177" fontId="36" fillId="0" borderId="12" xfId="0" applyNumberFormat="1" applyFont="1" applyBorder="1" applyAlignment="1">
      <alignment horizontal="center"/>
    </xf>
    <xf numFmtId="177" fontId="41" fillId="0" borderId="14" xfId="0" applyNumberFormat="1" applyFont="1" applyBorder="1" applyAlignment="1">
      <alignment horizontal="center"/>
    </xf>
    <xf numFmtId="0" fontId="34" fillId="0" borderId="0" xfId="0" applyFont="1"/>
    <xf numFmtId="2" fontId="35" fillId="8" borderId="0" xfId="0" applyNumberFormat="1" applyFont="1" applyFill="1"/>
    <xf numFmtId="0" fontId="0" fillId="0" borderId="0" xfId="0" applyAlignment="1">
      <alignment horizontal="right"/>
    </xf>
    <xf numFmtId="0" fontId="14" fillId="0" borderId="2" xfId="0" applyFont="1" applyBorder="1" applyProtection="1">
      <protection hidden="1"/>
    </xf>
    <xf numFmtId="0" fontId="42" fillId="0" borderId="13" xfId="0" applyFont="1" applyBorder="1" applyProtection="1">
      <protection hidden="1"/>
    </xf>
    <xf numFmtId="0" fontId="147" fillId="0" borderId="0" xfId="0" applyFont="1" applyAlignment="1">
      <alignment vertical="center"/>
    </xf>
    <xf numFmtId="0" fontId="57" fillId="0" borderId="0" xfId="0" applyFont="1" applyAlignment="1" applyProtection="1">
      <alignment vertical="top"/>
      <protection hidden="1"/>
    </xf>
    <xf numFmtId="0" fontId="14" fillId="0" borderId="0" xfId="0" applyFont="1" applyAlignment="1" applyProtection="1">
      <alignment horizontal="center" vertical="center"/>
      <protection hidden="1"/>
    </xf>
    <xf numFmtId="0" fontId="124" fillId="0" borderId="0" xfId="0" applyFont="1" applyAlignment="1" applyProtection="1">
      <alignment vertical="center"/>
      <protection hidden="1"/>
    </xf>
    <xf numFmtId="14" fontId="14" fillId="26" borderId="15" xfId="0" applyNumberFormat="1" applyFont="1" applyFill="1" applyBorder="1" applyProtection="1">
      <protection locked="0" hidden="1"/>
    </xf>
    <xf numFmtId="0" fontId="0" fillId="0" borderId="0" xfId="0" applyAlignment="1">
      <alignment vertical="center" wrapText="1"/>
    </xf>
    <xf numFmtId="0" fontId="42" fillId="0" borderId="12" xfId="0" applyFont="1" applyBorder="1" applyAlignment="1" applyProtection="1">
      <alignment horizontal="left" vertical="center"/>
      <protection hidden="1"/>
    </xf>
    <xf numFmtId="0" fontId="36" fillId="0" borderId="31" xfId="0" applyFont="1" applyBorder="1" applyAlignment="1" applyProtection="1">
      <alignment horizontal="left" vertical="center"/>
      <protection hidden="1"/>
    </xf>
    <xf numFmtId="0" fontId="36"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2" fontId="124" fillId="0" borderId="0" xfId="0" applyNumberFormat="1" applyFont="1"/>
    <xf numFmtId="2" fontId="126" fillId="0" borderId="0" xfId="0" applyNumberFormat="1" applyFont="1"/>
    <xf numFmtId="4" fontId="36" fillId="20" borderId="1" xfId="0" applyNumberFormat="1" applyFont="1" applyFill="1" applyBorder="1" applyAlignment="1">
      <alignment horizontal="center" vertical="center" wrapText="1"/>
    </xf>
    <xf numFmtId="4" fontId="14" fillId="20" borderId="2" xfId="0" applyNumberFormat="1" applyFont="1" applyFill="1" applyBorder="1" applyAlignment="1">
      <alignment horizontal="center" vertical="center" wrapText="1"/>
    </xf>
    <xf numFmtId="4" fontId="36" fillId="20" borderId="18" xfId="0" applyNumberFormat="1" applyFont="1" applyFill="1" applyBorder="1" applyAlignment="1">
      <alignment horizontal="center" vertical="center" wrapText="1"/>
    </xf>
    <xf numFmtId="4" fontId="14" fillId="20" borderId="18" xfId="0" applyNumberFormat="1" applyFont="1" applyFill="1" applyBorder="1" applyAlignment="1">
      <alignment horizontal="center" vertical="center" wrapText="1"/>
    </xf>
    <xf numFmtId="4" fontId="36" fillId="20" borderId="2" xfId="0" applyNumberFormat="1" applyFont="1" applyFill="1" applyBorder="1" applyAlignment="1">
      <alignment horizontal="center" vertical="center" wrapText="1"/>
    </xf>
    <xf numFmtId="173" fontId="14" fillId="20" borderId="2" xfId="0" applyNumberFormat="1" applyFont="1" applyFill="1" applyBorder="1" applyAlignment="1">
      <alignment horizontal="center" vertical="center" wrapText="1"/>
    </xf>
    <xf numFmtId="173" fontId="14" fillId="20" borderId="18" xfId="0" applyNumberFormat="1" applyFont="1" applyFill="1" applyBorder="1" applyAlignment="1">
      <alignment horizontal="center" vertical="center" wrapText="1"/>
    </xf>
    <xf numFmtId="4" fontId="36" fillId="20" borderId="4" xfId="0" applyNumberFormat="1" applyFont="1" applyFill="1" applyBorder="1" applyAlignment="1">
      <alignment horizontal="center"/>
    </xf>
    <xf numFmtId="4" fontId="36" fillId="20" borderId="2" xfId="0" applyNumberFormat="1" applyFont="1" applyFill="1" applyBorder="1" applyAlignment="1">
      <alignment horizontal="center"/>
    </xf>
    <xf numFmtId="4" fontId="14" fillId="20" borderId="2" xfId="0" applyNumberFormat="1" applyFont="1" applyFill="1" applyBorder="1" applyAlignment="1">
      <alignment horizontal="center"/>
    </xf>
    <xf numFmtId="4" fontId="36" fillId="20" borderId="7" xfId="0" applyNumberFormat="1" applyFont="1" applyFill="1" applyBorder="1" applyAlignment="1">
      <alignment horizontal="center"/>
    </xf>
    <xf numFmtId="4" fontId="14" fillId="20" borderId="7" xfId="0" applyNumberFormat="1" applyFont="1" applyFill="1" applyBorder="1" applyAlignment="1">
      <alignment horizontal="center"/>
    </xf>
    <xf numFmtId="0" fontId="41" fillId="0" borderId="0" xfId="0" applyFont="1" applyAlignment="1" applyProtection="1">
      <alignment horizontal="left"/>
      <protection hidden="1"/>
    </xf>
    <xf numFmtId="0" fontId="14" fillId="0" borderId="4" xfId="0" applyFont="1" applyBorder="1" applyProtection="1">
      <protection hidden="1"/>
    </xf>
    <xf numFmtId="0" fontId="35" fillId="2" borderId="7" xfId="0" applyFont="1" applyFill="1" applyBorder="1" applyAlignment="1" applyProtection="1">
      <alignment horizontal="center"/>
      <protection hidden="1"/>
    </xf>
    <xf numFmtId="14" fontId="148" fillId="0" borderId="0" xfId="0" applyNumberFormat="1" applyFont="1" applyAlignment="1">
      <alignment horizontal="left"/>
    </xf>
    <xf numFmtId="14" fontId="149" fillId="0" borderId="0" xfId="0" applyNumberFormat="1" applyFont="1"/>
    <xf numFmtId="0" fontId="35" fillId="2" borderId="7" xfId="0" applyFont="1" applyFill="1" applyBorder="1" applyAlignment="1" applyProtection="1">
      <alignment horizontal="right"/>
      <protection hidden="1"/>
    </xf>
    <xf numFmtId="14" fontId="35" fillId="2" borderId="7" xfId="0" applyNumberFormat="1" applyFont="1" applyFill="1" applyBorder="1" applyAlignment="1" applyProtection="1">
      <alignment horizontal="left"/>
      <protection hidden="1"/>
    </xf>
    <xf numFmtId="0" fontId="32" fillId="0" borderId="4" xfId="0" applyFont="1" applyBorder="1" applyProtection="1">
      <protection locked="0"/>
    </xf>
    <xf numFmtId="0" fontId="0" fillId="6" borderId="0" xfId="0" applyFill="1" applyProtection="1">
      <protection hidden="1"/>
    </xf>
    <xf numFmtId="0" fontId="150" fillId="6" borderId="0" xfId="0" applyFont="1" applyFill="1" applyAlignment="1" applyProtection="1">
      <alignment horizontal="center" vertical="center"/>
      <protection hidden="1"/>
    </xf>
    <xf numFmtId="16" fontId="41" fillId="6" borderId="0" xfId="0" applyNumberFormat="1" applyFont="1" applyFill="1" applyAlignment="1" applyProtection="1">
      <alignment horizontal="right"/>
      <protection hidden="1"/>
    </xf>
    <xf numFmtId="0" fontId="41" fillId="6" borderId="0" xfId="0" applyFont="1" applyFill="1" applyAlignment="1">
      <alignment horizontal="center" vertical="center"/>
    </xf>
    <xf numFmtId="0" fontId="150" fillId="6" borderId="0" xfId="0" applyFont="1" applyFill="1" applyAlignment="1" applyProtection="1">
      <alignment horizontal="left" vertical="center"/>
      <protection hidden="1"/>
    </xf>
    <xf numFmtId="0" fontId="0" fillId="6" borderId="5" xfId="0" applyFill="1" applyBorder="1" applyProtection="1">
      <protection hidden="1"/>
    </xf>
    <xf numFmtId="0" fontId="13" fillId="0" borderId="23" xfId="0" applyFont="1" applyBorder="1" applyProtection="1">
      <protection hidden="1"/>
    </xf>
    <xf numFmtId="0" fontId="42" fillId="0" borderId="19" xfId="0" applyFont="1" applyBorder="1" applyAlignment="1" applyProtection="1">
      <alignment horizontal="center" wrapText="1"/>
      <protection hidden="1"/>
    </xf>
    <xf numFmtId="0" fontId="42" fillId="0" borderId="19" xfId="0" applyFont="1" applyBorder="1" applyAlignment="1" applyProtection="1">
      <alignment horizontal="center" vertical="top"/>
      <protection hidden="1"/>
    </xf>
    <xf numFmtId="0" fontId="42" fillId="12" borderId="19" xfId="0" applyFont="1" applyFill="1" applyBorder="1" applyAlignment="1">
      <alignment horizontal="center" vertical="top" wrapText="1"/>
    </xf>
    <xf numFmtId="0" fontId="149" fillId="0" borderId="0" xfId="0" applyFont="1" applyProtection="1">
      <protection hidden="1"/>
    </xf>
    <xf numFmtId="187" fontId="83" fillId="0" borderId="19" xfId="0" applyNumberFormat="1" applyFont="1" applyBorder="1" applyAlignment="1" applyProtection="1">
      <alignment horizontal="center" vertical="top"/>
      <protection hidden="1"/>
    </xf>
    <xf numFmtId="49" fontId="13" fillId="0" borderId="24" xfId="0" applyNumberFormat="1" applyFont="1" applyBorder="1" applyAlignment="1" applyProtection="1">
      <alignment horizontal="center"/>
      <protection hidden="1"/>
    </xf>
    <xf numFmtId="0" fontId="13" fillId="0" borderId="24" xfId="0" applyFont="1" applyBorder="1" applyAlignment="1" applyProtection="1">
      <alignment horizontal="center"/>
      <protection hidden="1"/>
    </xf>
    <xf numFmtId="14" fontId="13" fillId="22" borderId="14" xfId="0" applyNumberFormat="1" applyFont="1" applyFill="1" applyBorder="1" applyAlignment="1" applyProtection="1">
      <alignment horizontal="center"/>
      <protection locked="0"/>
    </xf>
    <xf numFmtId="3" fontId="13" fillId="3" borderId="14" xfId="0" applyNumberFormat="1" applyFont="1" applyFill="1" applyBorder="1" applyAlignment="1" applyProtection="1">
      <alignment horizontal="center"/>
      <protection locked="0"/>
    </xf>
    <xf numFmtId="0" fontId="13" fillId="0" borderId="12" xfId="0" applyFont="1" applyBorder="1" applyAlignment="1" applyProtection="1">
      <alignment vertical="center"/>
      <protection hidden="1"/>
    </xf>
    <xf numFmtId="0" fontId="13" fillId="0" borderId="18" xfId="0" applyFont="1" applyBorder="1" applyAlignment="1" applyProtection="1">
      <alignment vertical="center"/>
      <protection hidden="1"/>
    </xf>
    <xf numFmtId="167" fontId="13" fillId="6" borderId="19" xfId="1" applyNumberFormat="1" applyFont="1" applyFill="1" applyBorder="1" applyAlignment="1" applyProtection="1">
      <alignment vertical="center"/>
    </xf>
    <xf numFmtId="167" fontId="13" fillId="3" borderId="13" xfId="1" applyNumberFormat="1" applyFont="1" applyFill="1" applyBorder="1" applyAlignment="1" applyProtection="1">
      <alignment vertical="center"/>
      <protection locked="0"/>
    </xf>
    <xf numFmtId="167" fontId="13" fillId="3" borderId="14" xfId="1" applyNumberFormat="1" applyFont="1" applyFill="1" applyBorder="1" applyAlignment="1" applyProtection="1">
      <alignment horizontal="right" vertical="center"/>
      <protection locked="0"/>
    </xf>
    <xf numFmtId="165" fontId="13" fillId="7" borderId="14" xfId="1" applyNumberFormat="1" applyFont="1" applyFill="1" applyBorder="1" applyAlignment="1" applyProtection="1">
      <alignment horizontal="right" vertical="center"/>
      <protection hidden="1"/>
    </xf>
    <xf numFmtId="0" fontId="13" fillId="0" borderId="12" xfId="0" applyFont="1" applyBorder="1" applyAlignment="1" applyProtection="1">
      <alignment horizontal="left" vertical="center"/>
      <protection hidden="1"/>
    </xf>
    <xf numFmtId="0" fontId="13" fillId="0" borderId="18" xfId="0" applyFont="1" applyBorder="1" applyAlignment="1" applyProtection="1">
      <alignment horizontal="left" vertical="center"/>
      <protection hidden="1"/>
    </xf>
    <xf numFmtId="0" fontId="13" fillId="0" borderId="13" xfId="0" applyFont="1" applyBorder="1" applyAlignment="1" applyProtection="1">
      <alignment horizontal="left" vertical="center"/>
      <protection hidden="1"/>
    </xf>
    <xf numFmtId="167" fontId="0" fillId="0" borderId="0" xfId="0" applyNumberFormat="1" applyAlignment="1" applyProtection="1">
      <alignment vertical="center"/>
      <protection hidden="1"/>
    </xf>
    <xf numFmtId="167" fontId="42" fillId="6" borderId="19" xfId="1" applyNumberFormat="1" applyFont="1" applyFill="1" applyBorder="1" applyAlignment="1" applyProtection="1">
      <alignment vertical="center"/>
    </xf>
    <xf numFmtId="167" fontId="42" fillId="3" borderId="13" xfId="1" applyNumberFormat="1" applyFont="1" applyFill="1" applyBorder="1" applyAlignment="1" applyProtection="1">
      <alignment vertical="center"/>
      <protection locked="0"/>
    </xf>
    <xf numFmtId="0" fontId="0" fillId="0" borderId="19" xfId="0" applyBorder="1" applyProtection="1">
      <protection hidden="1"/>
    </xf>
    <xf numFmtId="167" fontId="37" fillId="6" borderId="19" xfId="1" applyNumberFormat="1" applyFont="1" applyFill="1" applyBorder="1" applyAlignment="1" applyProtection="1">
      <alignment vertical="center"/>
      <protection hidden="1"/>
    </xf>
    <xf numFmtId="0" fontId="83" fillId="6" borderId="0" xfId="0" applyFont="1" applyFill="1" applyAlignment="1" applyProtection="1">
      <alignment horizontal="left" vertical="top"/>
      <protection hidden="1"/>
    </xf>
    <xf numFmtId="0" fontId="37" fillId="2" borderId="0" xfId="0" applyFont="1" applyFill="1" applyAlignment="1" applyProtection="1">
      <alignment vertical="center"/>
      <protection hidden="1"/>
    </xf>
    <xf numFmtId="0" fontId="13" fillId="0" borderId="5" xfId="0" applyFont="1" applyBorder="1" applyProtection="1">
      <protection hidden="1"/>
    </xf>
    <xf numFmtId="0" fontId="13" fillId="0" borderId="3" xfId="0" applyFont="1" applyBorder="1" applyProtection="1">
      <protection hidden="1"/>
    </xf>
    <xf numFmtId="0" fontId="13" fillId="0" borderId="23" xfId="0" applyFont="1" applyBorder="1" applyAlignment="1" applyProtection="1">
      <alignment horizontal="center"/>
      <protection hidden="1"/>
    </xf>
    <xf numFmtId="0" fontId="13" fillId="0" borderId="19" xfId="0" applyFont="1" applyBorder="1" applyAlignment="1" applyProtection="1">
      <alignment horizontal="center" wrapText="1"/>
      <protection hidden="1"/>
    </xf>
    <xf numFmtId="0" fontId="13" fillId="0" borderId="19" xfId="0" applyFont="1" applyBorder="1" applyAlignment="1" applyProtection="1">
      <alignment horizontal="center" vertical="top"/>
      <protection hidden="1"/>
    </xf>
    <xf numFmtId="0" fontId="13" fillId="0" borderId="19" xfId="0" applyFont="1" applyBorder="1" applyAlignment="1" applyProtection="1">
      <alignment horizontal="center"/>
      <protection hidden="1"/>
    </xf>
    <xf numFmtId="187" fontId="83" fillId="0" borderId="19" xfId="0" applyNumberFormat="1" applyFont="1" applyBorder="1" applyAlignment="1" applyProtection="1">
      <alignment vertical="top"/>
      <protection hidden="1"/>
    </xf>
    <xf numFmtId="0" fontId="90" fillId="0" borderId="0" xfId="0" applyFont="1" applyAlignment="1" applyProtection="1">
      <alignment horizontal="right" vertical="center"/>
      <protection hidden="1"/>
    </xf>
    <xf numFmtId="14" fontId="13" fillId="7" borderId="14" xfId="0" applyNumberFormat="1" applyFont="1" applyFill="1" applyBorder="1" applyAlignment="1" applyProtection="1">
      <alignment vertical="center"/>
      <protection hidden="1"/>
    </xf>
    <xf numFmtId="167" fontId="13" fillId="3" borderId="14" xfId="1" applyNumberFormat="1" applyFont="1" applyFill="1" applyBorder="1" applyAlignment="1" applyProtection="1">
      <alignment vertical="center"/>
      <protection locked="0"/>
    </xf>
    <xf numFmtId="0" fontId="13" fillId="0" borderId="0" xfId="0" applyFont="1" applyAlignment="1" applyProtection="1">
      <alignment vertical="center"/>
      <protection hidden="1"/>
    </xf>
    <xf numFmtId="0" fontId="36" fillId="0" borderId="31" xfId="0" applyFont="1" applyBorder="1" applyAlignment="1" applyProtection="1">
      <alignment vertical="center"/>
      <protection hidden="1"/>
    </xf>
    <xf numFmtId="0" fontId="13" fillId="0" borderId="32" xfId="0" applyFont="1" applyBorder="1" applyAlignment="1" applyProtection="1">
      <alignment vertical="center"/>
      <protection hidden="1"/>
    </xf>
    <xf numFmtId="0" fontId="13" fillId="0" borderId="33" xfId="0" applyFont="1" applyBorder="1" applyAlignment="1" applyProtection="1">
      <alignment vertical="center"/>
      <protection hidden="1"/>
    </xf>
    <xf numFmtId="167" fontId="37" fillId="6" borderId="0" xfId="1" applyNumberFormat="1" applyFont="1" applyFill="1" applyBorder="1" applyAlignment="1" applyProtection="1">
      <alignment vertical="center"/>
      <protection hidden="1"/>
    </xf>
    <xf numFmtId="0" fontId="13" fillId="0" borderId="0" xfId="0" applyFont="1" applyAlignment="1" applyProtection="1">
      <alignment horizontal="right" vertical="center"/>
      <protection hidden="1"/>
    </xf>
    <xf numFmtId="10" fontId="13" fillId="3" borderId="14" xfId="1" applyNumberFormat="1" applyFont="1" applyFill="1" applyBorder="1" applyAlignment="1" applyProtection="1">
      <alignment horizontal="right" vertical="center"/>
      <protection locked="0"/>
    </xf>
    <xf numFmtId="0" fontId="148" fillId="0" borderId="0" xfId="0" applyFont="1" applyAlignment="1" applyProtection="1">
      <alignment vertical="center"/>
      <protection hidden="1"/>
    </xf>
    <xf numFmtId="0" fontId="13" fillId="0" borderId="7" xfId="0" applyFont="1" applyBorder="1" applyProtection="1">
      <protection hidden="1"/>
    </xf>
    <xf numFmtId="0" fontId="43" fillId="12" borderId="19" xfId="0" applyFont="1" applyFill="1" applyBorder="1" applyAlignment="1">
      <alignment horizontal="center" wrapText="1"/>
    </xf>
    <xf numFmtId="0" fontId="120" fillId="0" borderId="0" xfId="0" applyFont="1" applyProtection="1">
      <protection hidden="1"/>
    </xf>
    <xf numFmtId="0" fontId="39" fillId="0" borderId="0" xfId="0" applyFont="1" applyProtection="1">
      <protection hidden="1"/>
    </xf>
    <xf numFmtId="1" fontId="35" fillId="0" borderId="0" xfId="0" applyNumberFormat="1" applyFont="1"/>
    <xf numFmtId="180" fontId="39" fillId="0" borderId="5" xfId="0" applyNumberFormat="1" applyFont="1" applyBorder="1" applyProtection="1">
      <protection hidden="1"/>
    </xf>
    <xf numFmtId="180" fontId="101" fillId="0" borderId="0" xfId="0" applyNumberFormat="1" applyFont="1" applyAlignment="1" applyProtection="1">
      <alignment horizontal="center" vertical="center"/>
      <protection hidden="1"/>
    </xf>
    <xf numFmtId="0" fontId="83" fillId="25" borderId="0" xfId="0" applyFont="1" applyFill="1" applyAlignment="1" applyProtection="1">
      <alignment horizontal="left"/>
      <protection hidden="1"/>
    </xf>
    <xf numFmtId="0" fontId="0" fillId="8" borderId="0" xfId="0" applyFill="1"/>
    <xf numFmtId="2" fontId="41" fillId="25" borderId="0" xfId="0" applyNumberFormat="1" applyFont="1" applyFill="1" applyAlignment="1" applyProtection="1">
      <alignment horizontal="right"/>
      <protection hidden="1"/>
    </xf>
    <xf numFmtId="0" fontId="41" fillId="25" borderId="0" xfId="0" applyFont="1" applyFill="1" applyAlignment="1" applyProtection="1">
      <alignment horizontal="right" vertical="center"/>
      <protection hidden="1"/>
    </xf>
    <xf numFmtId="0" fontId="12" fillId="0" borderId="14" xfId="0" applyFont="1" applyBorder="1" applyAlignment="1">
      <alignment vertical="top" wrapText="1"/>
    </xf>
    <xf numFmtId="0" fontId="42" fillId="0" borderId="4" xfId="0" applyFont="1" applyBorder="1" applyAlignment="1" applyProtection="1">
      <alignment vertical="center"/>
      <protection hidden="1"/>
    </xf>
    <xf numFmtId="2" fontId="38" fillId="29" borderId="0" xfId="0" applyNumberFormat="1" applyFont="1" applyFill="1" applyAlignment="1" applyProtection="1">
      <alignment horizontal="left" vertical="center"/>
      <protection hidden="1"/>
    </xf>
    <xf numFmtId="173" fontId="42" fillId="0" borderId="14" xfId="0" applyNumberFormat="1" applyFont="1" applyBorder="1" applyAlignment="1" applyProtection="1">
      <alignment horizontal="center" vertical="center"/>
      <protection hidden="1"/>
    </xf>
    <xf numFmtId="173" fontId="37" fillId="7" borderId="9" xfId="0" applyNumberFormat="1" applyFont="1" applyFill="1" applyBorder="1" applyAlignment="1" applyProtection="1">
      <alignment vertical="center"/>
      <protection hidden="1"/>
    </xf>
    <xf numFmtId="173" fontId="37" fillId="0" borderId="9" xfId="0" applyNumberFormat="1" applyFont="1" applyBorder="1" applyAlignment="1" applyProtection="1">
      <alignment vertical="center"/>
      <protection hidden="1"/>
    </xf>
    <xf numFmtId="188" fontId="37" fillId="7" borderId="28" xfId="1" applyNumberFormat="1" applyFont="1" applyFill="1" applyBorder="1" applyAlignment="1" applyProtection="1">
      <alignment vertical="center"/>
      <protection hidden="1"/>
    </xf>
    <xf numFmtId="173" fontId="37" fillId="3" borderId="15" xfId="0" applyNumberFormat="1" applyFont="1" applyFill="1" applyBorder="1" applyAlignment="1" applyProtection="1">
      <alignment vertical="center"/>
      <protection locked="0"/>
    </xf>
    <xf numFmtId="10" fontId="42" fillId="7" borderId="0" xfId="0" applyNumberFormat="1" applyFont="1" applyFill="1" applyAlignment="1" applyProtection="1">
      <alignment vertical="center"/>
      <protection hidden="1"/>
    </xf>
    <xf numFmtId="1" fontId="30" fillId="0" borderId="14" xfId="0" applyNumberFormat="1" applyFont="1" applyBorder="1" applyAlignment="1">
      <alignment horizontal="center"/>
    </xf>
    <xf numFmtId="0" fontId="38" fillId="25" borderId="0" xfId="0" applyFont="1" applyFill="1" applyAlignment="1" applyProtection="1">
      <alignment horizontal="right" vertical="center"/>
      <protection hidden="1"/>
    </xf>
    <xf numFmtId="0" fontId="33" fillId="0" borderId="4" xfId="0" applyFont="1" applyBorder="1" applyProtection="1">
      <protection hidden="1"/>
    </xf>
    <xf numFmtId="0" fontId="126" fillId="0" borderId="45" xfId="0" quotePrefix="1" applyFont="1" applyBorder="1" applyAlignment="1">
      <alignment horizontal="left" vertical="top" wrapText="1"/>
    </xf>
    <xf numFmtId="168" fontId="30" fillId="3" borderId="7" xfId="0" applyNumberFormat="1" applyFont="1" applyFill="1" applyBorder="1" applyAlignment="1" applyProtection="1">
      <alignment horizontal="center"/>
      <protection locked="0"/>
    </xf>
    <xf numFmtId="0" fontId="11" fillId="0" borderId="0" xfId="0" applyFont="1" applyAlignment="1" applyProtection="1">
      <alignment vertical="center"/>
      <protection hidden="1"/>
    </xf>
    <xf numFmtId="0" fontId="49" fillId="0" borderId="0" xfId="0" applyFont="1" applyAlignment="1" applyProtection="1">
      <alignment vertical="center"/>
      <protection hidden="1"/>
    </xf>
    <xf numFmtId="173" fontId="37" fillId="3" borderId="15" xfId="0" applyNumberFormat="1" applyFont="1" applyFill="1" applyBorder="1" applyAlignment="1" applyProtection="1">
      <alignment horizontal="center"/>
      <protection locked="0"/>
    </xf>
    <xf numFmtId="173" fontId="42" fillId="3" borderId="15" xfId="0" applyNumberFormat="1" applyFont="1" applyFill="1" applyBorder="1" applyAlignment="1" applyProtection="1">
      <alignment horizontal="center" vertical="center"/>
      <protection locked="0"/>
    </xf>
    <xf numFmtId="10" fontId="42" fillId="3" borderId="15" xfId="0" applyNumberFormat="1" applyFont="1" applyFill="1" applyBorder="1" applyAlignment="1" applyProtection="1">
      <alignment horizontal="center" vertical="top"/>
      <protection locked="0"/>
    </xf>
    <xf numFmtId="0" fontId="37" fillId="6" borderId="0" xfId="0" applyFont="1" applyFill="1" applyProtection="1">
      <protection hidden="1"/>
    </xf>
    <xf numFmtId="168" fontId="37" fillId="6" borderId="0" xfId="0" applyNumberFormat="1" applyFont="1" applyFill="1" applyProtection="1">
      <protection hidden="1"/>
    </xf>
    <xf numFmtId="165" fontId="42" fillId="6" borderId="0" xfId="0" applyNumberFormat="1" applyFont="1" applyFill="1" applyAlignment="1" applyProtection="1">
      <alignment horizontal="right"/>
      <protection hidden="1"/>
    </xf>
    <xf numFmtId="165" fontId="42" fillId="6" borderId="0" xfId="0" applyNumberFormat="1" applyFont="1" applyFill="1" applyAlignment="1" applyProtection="1">
      <alignment horizontal="right" vertical="center"/>
      <protection hidden="1"/>
    </xf>
    <xf numFmtId="0" fontId="25" fillId="2" borderId="14" xfId="0" applyFont="1" applyFill="1" applyBorder="1" applyAlignment="1" applyProtection="1">
      <alignment horizontal="center"/>
      <protection hidden="1"/>
    </xf>
    <xf numFmtId="0" fontId="11" fillId="0" borderId="14" xfId="0" applyFont="1" applyBorder="1" applyAlignment="1">
      <alignment vertical="top" wrapText="1"/>
    </xf>
    <xf numFmtId="0" fontId="38" fillId="25" borderId="0" xfId="0" applyFont="1" applyFill="1" applyAlignment="1" applyProtection="1">
      <alignment vertical="center"/>
      <protection hidden="1"/>
    </xf>
    <xf numFmtId="0" fontId="0" fillId="0" borderId="3" xfId="0" applyBorder="1" applyProtection="1">
      <protection hidden="1"/>
    </xf>
    <xf numFmtId="0" fontId="10" fillId="25" borderId="94" xfId="0" applyFont="1" applyFill="1" applyBorder="1" applyAlignment="1">
      <alignment vertical="center"/>
    </xf>
    <xf numFmtId="2" fontId="65" fillId="20" borderId="55" xfId="0" applyNumberFormat="1" applyFont="1" applyFill="1" applyBorder="1" applyAlignment="1">
      <alignment horizontal="left"/>
    </xf>
    <xf numFmtId="0" fontId="65" fillId="7" borderId="97" xfId="0" applyFont="1" applyFill="1" applyBorder="1" applyAlignment="1">
      <alignment horizontal="center" vertical="center"/>
    </xf>
    <xf numFmtId="0" fontId="65" fillId="7" borderId="96" xfId="0" applyFont="1" applyFill="1" applyBorder="1" applyAlignment="1">
      <alignment horizontal="center" vertical="center"/>
    </xf>
    <xf numFmtId="0" fontId="14" fillId="7" borderId="14" xfId="0" applyFont="1" applyFill="1" applyBorder="1" applyAlignment="1">
      <alignment horizontal="center" vertical="center"/>
    </xf>
    <xf numFmtId="0" fontId="14" fillId="7" borderId="14" xfId="0" applyFont="1" applyFill="1" applyBorder="1" applyAlignment="1">
      <alignment wrapText="1"/>
    </xf>
    <xf numFmtId="0" fontId="14" fillId="7" borderId="12" xfId="0" applyFont="1" applyFill="1" applyBorder="1" applyAlignment="1">
      <alignment wrapText="1"/>
    </xf>
    <xf numFmtId="0" fontId="14" fillId="25" borderId="90" xfId="0" applyFont="1" applyFill="1" applyBorder="1" applyAlignment="1">
      <alignment vertical="center" wrapText="1"/>
    </xf>
    <xf numFmtId="0" fontId="42" fillId="7" borderId="14" xfId="0" applyFont="1" applyFill="1" applyBorder="1" applyAlignment="1">
      <alignment horizontal="center" vertical="center"/>
    </xf>
    <xf numFmtId="0" fontId="0" fillId="25" borderId="7" xfId="0" applyFill="1" applyBorder="1"/>
    <xf numFmtId="0" fontId="42" fillId="25" borderId="90" xfId="0" applyFont="1" applyFill="1" applyBorder="1" applyAlignment="1">
      <alignment vertical="center" wrapText="1"/>
    </xf>
    <xf numFmtId="0" fontId="42" fillId="25" borderId="94" xfId="0" applyFont="1" applyFill="1" applyBorder="1" applyAlignment="1">
      <alignment vertical="center" wrapText="1"/>
    </xf>
    <xf numFmtId="0" fontId="10" fillId="25" borderId="90" xfId="0" applyFont="1" applyFill="1" applyBorder="1"/>
    <xf numFmtId="0" fontId="14" fillId="25" borderId="7" xfId="0" applyFont="1" applyFill="1" applyBorder="1"/>
    <xf numFmtId="0" fontId="14" fillId="39" borderId="18" xfId="0" applyFont="1" applyFill="1" applyBorder="1" applyAlignment="1">
      <alignment wrapText="1"/>
    </xf>
    <xf numFmtId="0" fontId="14" fillId="7" borderId="12" xfId="0" applyFont="1" applyFill="1" applyBorder="1" applyAlignment="1">
      <alignment horizontal="center" vertical="center"/>
    </xf>
    <xf numFmtId="0" fontId="42" fillId="7" borderId="12" xfId="0" applyFont="1" applyFill="1" applyBorder="1" applyAlignment="1">
      <alignment horizontal="center" vertical="center"/>
    </xf>
    <xf numFmtId="0" fontId="0" fillId="25" borderId="50" xfId="0" applyFill="1" applyBorder="1"/>
    <xf numFmtId="0" fontId="33" fillId="25" borderId="50" xfId="0" applyFont="1" applyFill="1" applyBorder="1"/>
    <xf numFmtId="0" fontId="33" fillId="25" borderId="51" xfId="0" applyFont="1" applyFill="1" applyBorder="1"/>
    <xf numFmtId="0" fontId="10" fillId="7" borderId="44" xfId="0" applyFont="1" applyFill="1" applyBorder="1" applyAlignment="1">
      <alignment wrapText="1"/>
    </xf>
    <xf numFmtId="0" fontId="68" fillId="43" borderId="14" xfId="0" applyFont="1" applyFill="1" applyBorder="1" applyAlignment="1">
      <alignment wrapText="1"/>
    </xf>
    <xf numFmtId="0" fontId="68" fillId="43" borderId="45" xfId="0" applyFont="1" applyFill="1" applyBorder="1" applyAlignment="1">
      <alignment wrapText="1"/>
    </xf>
    <xf numFmtId="0" fontId="57" fillId="0" borderId="14" xfId="0" applyFont="1" applyBorder="1" applyAlignment="1">
      <alignment horizontal="left" vertical="top" wrapText="1"/>
    </xf>
    <xf numFmtId="0" fontId="57" fillId="0" borderId="45" xfId="0" applyFont="1" applyBorder="1" applyAlignment="1">
      <alignment horizontal="left" vertical="top" wrapText="1"/>
    </xf>
    <xf numFmtId="0" fontId="42" fillId="37" borderId="5" xfId="0" applyFont="1" applyFill="1" applyBorder="1" applyProtection="1">
      <protection hidden="1"/>
    </xf>
    <xf numFmtId="0" fontId="35" fillId="37" borderId="5" xfId="0" applyFont="1" applyFill="1" applyBorder="1" applyProtection="1">
      <protection hidden="1"/>
    </xf>
    <xf numFmtId="0" fontId="57" fillId="0" borderId="98" xfId="0" applyFont="1" applyBorder="1" applyAlignment="1">
      <alignment horizontal="left" vertical="top" wrapText="1"/>
    </xf>
    <xf numFmtId="0" fontId="38" fillId="0" borderId="14" xfId="0" applyFont="1" applyBorder="1" applyAlignment="1">
      <alignment horizontal="left" vertical="top" wrapText="1"/>
    </xf>
    <xf numFmtId="0" fontId="81" fillId="20" borderId="44" xfId="0" applyFont="1" applyFill="1" applyBorder="1" applyAlignment="1">
      <alignment horizontal="center" vertical="center"/>
    </xf>
    <xf numFmtId="0" fontId="153" fillId="37" borderId="5" xfId="0" applyFont="1" applyFill="1" applyBorder="1" applyProtection="1">
      <protection hidden="1"/>
    </xf>
    <xf numFmtId="0" fontId="154" fillId="37" borderId="5" xfId="0" applyFont="1" applyFill="1" applyBorder="1" applyProtection="1">
      <protection hidden="1"/>
    </xf>
    <xf numFmtId="0" fontId="71" fillId="0" borderId="0" xfId="0" applyFont="1" applyProtection="1">
      <protection hidden="1"/>
    </xf>
    <xf numFmtId="0" fontId="48" fillId="0" borderId="0" xfId="0" applyFont="1" applyAlignment="1" applyProtection="1">
      <alignment horizontal="right" vertical="center"/>
      <protection hidden="1"/>
    </xf>
    <xf numFmtId="0" fontId="48" fillId="0" borderId="0" xfId="0" applyFont="1" applyProtection="1">
      <protection hidden="1"/>
    </xf>
    <xf numFmtId="0" fontId="47" fillId="0" borderId="0" xfId="0" applyFont="1" applyProtection="1">
      <protection hidden="1"/>
    </xf>
    <xf numFmtId="0" fontId="55" fillId="0" borderId="0" xfId="0" applyFont="1" applyProtection="1">
      <protection hidden="1"/>
    </xf>
    <xf numFmtId="0" fontId="30" fillId="0" borderId="0" xfId="0" applyFont="1" applyAlignment="1" applyProtection="1">
      <alignment horizontal="center" vertical="center"/>
      <protection hidden="1"/>
    </xf>
    <xf numFmtId="0" fontId="42" fillId="0" borderId="0" xfId="0" applyFont="1" applyAlignment="1" applyProtection="1">
      <alignment vertical="center"/>
      <protection hidden="1"/>
    </xf>
    <xf numFmtId="1" fontId="30" fillId="0" borderId="0" xfId="0" applyNumberFormat="1" applyFont="1" applyAlignment="1" applyProtection="1">
      <alignment horizontal="left" vertical="center"/>
      <protection hidden="1"/>
    </xf>
    <xf numFmtId="1" fontId="37" fillId="0" borderId="0" xfId="0" applyNumberFormat="1" applyFont="1" applyAlignment="1" applyProtection="1">
      <alignment vertical="center"/>
      <protection hidden="1"/>
    </xf>
    <xf numFmtId="2" fontId="30" fillId="0" borderId="0" xfId="0" applyNumberFormat="1" applyFont="1" applyAlignment="1" applyProtection="1">
      <alignment horizontal="center" vertical="center"/>
      <protection hidden="1"/>
    </xf>
    <xf numFmtId="0" fontId="55" fillId="0" borderId="5" xfId="0" applyFont="1" applyBorder="1" applyAlignment="1" applyProtection="1">
      <alignment vertical="center"/>
      <protection hidden="1"/>
    </xf>
    <xf numFmtId="10" fontId="55" fillId="0" borderId="5" xfId="0" applyNumberFormat="1" applyFont="1" applyBorder="1" applyAlignment="1" applyProtection="1">
      <alignment horizontal="center" vertical="center"/>
      <protection hidden="1"/>
    </xf>
    <xf numFmtId="0" fontId="42" fillId="0" borderId="0" xfId="0" applyFont="1" applyAlignment="1" applyProtection="1">
      <alignment horizontal="left" vertical="center"/>
      <protection hidden="1"/>
    </xf>
    <xf numFmtId="0" fontId="47" fillId="0" borderId="0" xfId="0" applyFont="1" applyAlignment="1" applyProtection="1">
      <alignment vertical="center"/>
      <protection hidden="1"/>
    </xf>
    <xf numFmtId="1" fontId="42" fillId="0" borderId="0" xfId="0" applyNumberFormat="1" applyFont="1" applyAlignment="1" applyProtection="1">
      <alignment horizontal="right"/>
      <protection hidden="1"/>
    </xf>
    <xf numFmtId="0" fontId="37" fillId="0" borderId="0" xfId="0" applyFont="1" applyAlignment="1" applyProtection="1">
      <alignment horizontal="left"/>
      <protection hidden="1"/>
    </xf>
    <xf numFmtId="1" fontId="47" fillId="0" borderId="0" xfId="0" applyNumberFormat="1" applyFont="1" applyAlignment="1" applyProtection="1">
      <alignment horizontal="center"/>
      <protection hidden="1"/>
    </xf>
    <xf numFmtId="0" fontId="37" fillId="0" borderId="0" xfId="0" applyFont="1" applyAlignment="1" applyProtection="1">
      <alignment vertical="top"/>
      <protection hidden="1"/>
    </xf>
    <xf numFmtId="1" fontId="30" fillId="0" borderId="0" xfId="0" applyNumberFormat="1" applyFont="1" applyProtection="1">
      <protection hidden="1"/>
    </xf>
    <xf numFmtId="0" fontId="64" fillId="0" borderId="0" xfId="0" applyFont="1" applyAlignment="1" applyProtection="1">
      <alignment horizontal="left" vertical="center" wrapText="1"/>
      <protection hidden="1"/>
    </xf>
    <xf numFmtId="0" fontId="100" fillId="0" borderId="0" xfId="0" applyFont="1" applyAlignment="1" applyProtection="1">
      <alignment horizontal="center" vertical="center" wrapText="1"/>
      <protection hidden="1"/>
    </xf>
    <xf numFmtId="0" fontId="54" fillId="0" borderId="5" xfId="0" applyFont="1" applyBorder="1" applyProtection="1">
      <protection hidden="1"/>
    </xf>
    <xf numFmtId="0" fontId="30" fillId="0" borderId="5" xfId="0" applyFont="1" applyBorder="1" applyAlignment="1" applyProtection="1">
      <alignment horizontal="center"/>
      <protection hidden="1"/>
    </xf>
    <xf numFmtId="2" fontId="70" fillId="0" borderId="0" xfId="0" applyNumberFormat="1" applyFont="1" applyProtection="1">
      <protection hidden="1"/>
    </xf>
    <xf numFmtId="0" fontId="84" fillId="0" borderId="5" xfId="0" applyFont="1" applyBorder="1" applyProtection="1">
      <protection hidden="1"/>
    </xf>
    <xf numFmtId="0" fontId="75" fillId="0" borderId="0" xfId="0" applyFont="1" applyProtection="1">
      <protection hidden="1"/>
    </xf>
    <xf numFmtId="0" fontId="69" fillId="0" borderId="0" xfId="0" applyFont="1" applyProtection="1">
      <protection hidden="1"/>
    </xf>
    <xf numFmtId="0" fontId="48" fillId="37" borderId="0" xfId="0" applyFont="1" applyFill="1" applyProtection="1">
      <protection hidden="1"/>
    </xf>
    <xf numFmtId="0" fontId="14" fillId="37" borderId="0" xfId="0" applyFont="1" applyFill="1" applyProtection="1">
      <protection hidden="1"/>
    </xf>
    <xf numFmtId="0" fontId="42" fillId="38" borderId="0" xfId="0" applyFont="1" applyFill="1" applyProtection="1">
      <protection hidden="1"/>
    </xf>
    <xf numFmtId="0" fontId="141" fillId="38" borderId="0" xfId="0" applyFont="1" applyFill="1" applyProtection="1">
      <protection hidden="1"/>
    </xf>
    <xf numFmtId="0" fontId="48" fillId="37" borderId="0" xfId="0" applyFont="1" applyFill="1" applyAlignment="1" applyProtection="1">
      <alignment horizontal="left" wrapText="1"/>
      <protection hidden="1"/>
    </xf>
    <xf numFmtId="0" fontId="14" fillId="37" borderId="0" xfId="0" applyFont="1" applyFill="1" applyAlignment="1" applyProtection="1">
      <alignment horizontal="center"/>
      <protection hidden="1"/>
    </xf>
    <xf numFmtId="0" fontId="10" fillId="37" borderId="0" xfId="0" applyFont="1" applyFill="1" applyAlignment="1" applyProtection="1">
      <alignment horizontal="left" vertical="center"/>
      <protection hidden="1"/>
    </xf>
    <xf numFmtId="0" fontId="14" fillId="37" borderId="0" xfId="0" applyFont="1" applyFill="1" applyAlignment="1" applyProtection="1">
      <alignment horizontal="left" vertical="center"/>
      <protection hidden="1"/>
    </xf>
    <xf numFmtId="0" fontId="14" fillId="38" borderId="0" xfId="0" applyFont="1" applyFill="1" applyProtection="1">
      <protection hidden="1"/>
    </xf>
    <xf numFmtId="0" fontId="36" fillId="44" borderId="0" xfId="0" applyFont="1" applyFill="1" applyAlignment="1" applyProtection="1">
      <alignment horizontal="center" vertical="center"/>
      <protection hidden="1"/>
    </xf>
    <xf numFmtId="2" fontId="156" fillId="37" borderId="0" xfId="0" applyNumberFormat="1" applyFont="1" applyFill="1" applyAlignment="1" applyProtection="1">
      <alignment horizontal="center"/>
      <protection hidden="1"/>
    </xf>
    <xf numFmtId="0" fontId="153" fillId="37" borderId="0" xfId="0" applyFont="1" applyFill="1" applyProtection="1">
      <protection hidden="1"/>
    </xf>
    <xf numFmtId="0" fontId="14" fillId="38" borderId="0" xfId="0" applyFont="1" applyFill="1" applyAlignment="1" applyProtection="1">
      <alignment horizontal="center"/>
      <protection hidden="1"/>
    </xf>
    <xf numFmtId="0" fontId="42" fillId="37" borderId="0" xfId="0" applyFont="1" applyFill="1" applyAlignment="1" applyProtection="1">
      <alignment horizontal="left" vertical="center"/>
      <protection hidden="1"/>
    </xf>
    <xf numFmtId="0" fontId="14" fillId="44" borderId="0" xfId="0" applyFont="1" applyFill="1" applyAlignment="1" applyProtection="1">
      <alignment horizontal="center" vertical="center"/>
      <protection hidden="1"/>
    </xf>
    <xf numFmtId="0" fontId="153" fillId="37" borderId="0" xfId="0" applyFont="1" applyFill="1" applyAlignment="1" applyProtection="1">
      <alignment horizontal="center"/>
      <protection hidden="1"/>
    </xf>
    <xf numFmtId="0" fontId="14" fillId="6" borderId="0" xfId="0" applyFont="1" applyFill="1" applyProtection="1">
      <protection hidden="1"/>
    </xf>
    <xf numFmtId="0" fontId="153" fillId="37" borderId="0" xfId="0" applyFont="1" applyFill="1" applyAlignment="1" applyProtection="1">
      <alignment horizontal="left"/>
      <protection hidden="1"/>
    </xf>
    <xf numFmtId="0" fontId="153" fillId="37" borderId="5" xfId="0" applyFont="1" applyFill="1" applyBorder="1" applyAlignment="1" applyProtection="1">
      <alignment horizontal="left"/>
      <protection hidden="1"/>
    </xf>
    <xf numFmtId="0" fontId="153" fillId="38" borderId="0" xfId="0" applyFont="1" applyFill="1" applyAlignment="1" applyProtection="1">
      <alignment horizontal="center"/>
      <protection hidden="1"/>
    </xf>
    <xf numFmtId="0" fontId="0" fillId="37" borderId="0" xfId="0" applyFill="1" applyProtection="1">
      <protection hidden="1"/>
    </xf>
    <xf numFmtId="0" fontId="0" fillId="38" borderId="0" xfId="0" applyFill="1" applyProtection="1">
      <protection hidden="1"/>
    </xf>
    <xf numFmtId="0" fontId="154" fillId="37" borderId="0" xfId="0" applyFont="1" applyFill="1" applyProtection="1">
      <protection hidden="1"/>
    </xf>
    <xf numFmtId="0" fontId="0" fillId="37" borderId="0" xfId="0" applyFill="1" applyAlignment="1" applyProtection="1">
      <alignment horizontal="center"/>
      <protection hidden="1"/>
    </xf>
    <xf numFmtId="0" fontId="9" fillId="37" borderId="0" xfId="0" applyFont="1" applyFill="1" applyAlignment="1" applyProtection="1">
      <alignment horizontal="left" vertical="center"/>
      <protection hidden="1"/>
    </xf>
    <xf numFmtId="0" fontId="9" fillId="37" borderId="0" xfId="0" applyFont="1" applyFill="1" applyProtection="1">
      <protection hidden="1"/>
    </xf>
    <xf numFmtId="0" fontId="35" fillId="37" borderId="0" xfId="0" applyFont="1" applyFill="1" applyProtection="1">
      <protection hidden="1"/>
    </xf>
    <xf numFmtId="0" fontId="0" fillId="37" borderId="0" xfId="0" applyFill="1" applyAlignment="1" applyProtection="1">
      <alignment horizontal="left" vertical="center"/>
      <protection hidden="1"/>
    </xf>
    <xf numFmtId="0" fontId="42" fillId="37" borderId="0" xfId="0" applyFont="1" applyFill="1" applyProtection="1">
      <protection hidden="1"/>
    </xf>
    <xf numFmtId="0" fontId="42" fillId="37" borderId="0" xfId="0" applyFont="1" applyFill="1" applyAlignment="1" applyProtection="1">
      <alignment horizontal="right"/>
      <protection hidden="1"/>
    </xf>
    <xf numFmtId="14" fontId="42" fillId="37" borderId="0" xfId="0" applyNumberFormat="1" applyFont="1" applyFill="1" applyProtection="1">
      <protection hidden="1"/>
    </xf>
    <xf numFmtId="14" fontId="42" fillId="38" borderId="0" xfId="0" applyNumberFormat="1" applyFont="1" applyFill="1" applyProtection="1">
      <protection hidden="1"/>
    </xf>
    <xf numFmtId="0" fontId="14" fillId="38" borderId="0" xfId="0" applyFont="1" applyFill="1" applyAlignment="1" applyProtection="1">
      <alignment horizontal="left" vertical="center"/>
      <protection hidden="1"/>
    </xf>
    <xf numFmtId="0" fontId="14" fillId="37" borderId="0" xfId="0" applyFont="1" applyFill="1" applyAlignment="1" applyProtection="1">
      <alignment vertical="center"/>
      <protection hidden="1"/>
    </xf>
    <xf numFmtId="0" fontId="41" fillId="37" borderId="0" xfId="0" applyFont="1" applyFill="1" applyProtection="1">
      <protection hidden="1"/>
    </xf>
    <xf numFmtId="0" fontId="12" fillId="0" borderId="0" xfId="0" applyFont="1" applyProtection="1">
      <protection hidden="1"/>
    </xf>
    <xf numFmtId="0" fontId="38" fillId="0" borderId="0" xfId="0" applyFont="1" applyAlignment="1" applyProtection="1">
      <alignment vertical="top"/>
      <protection hidden="1"/>
    </xf>
    <xf numFmtId="0" fontId="42" fillId="0" borderId="0" xfId="0" applyFont="1" applyAlignment="1" applyProtection="1">
      <alignment horizontal="right"/>
      <protection hidden="1"/>
    </xf>
    <xf numFmtId="14" fontId="42" fillId="0" borderId="0" xfId="0" applyNumberFormat="1" applyFont="1" applyProtection="1">
      <protection hidden="1"/>
    </xf>
    <xf numFmtId="0" fontId="86" fillId="0" borderId="5" xfId="0" applyFont="1" applyBorder="1" applyProtection="1">
      <protection hidden="1"/>
    </xf>
    <xf numFmtId="0" fontId="87" fillId="0" borderId="7" xfId="0" applyFont="1" applyBorder="1" applyProtection="1">
      <protection hidden="1"/>
    </xf>
    <xf numFmtId="0" fontId="87" fillId="0" borderId="8" xfId="0" applyFont="1" applyBorder="1" applyProtection="1">
      <protection hidden="1"/>
    </xf>
    <xf numFmtId="169" fontId="30" fillId="0" borderId="1" xfId="0" applyNumberFormat="1" applyFont="1" applyBorder="1" applyProtection="1">
      <protection hidden="1"/>
    </xf>
    <xf numFmtId="169" fontId="30" fillId="0" borderId="0" xfId="0" applyNumberFormat="1" applyFont="1" applyProtection="1">
      <protection hidden="1"/>
    </xf>
    <xf numFmtId="169" fontId="30" fillId="0" borderId="2" xfId="0" applyNumberFormat="1" applyFont="1" applyBorder="1" applyProtection="1">
      <protection hidden="1"/>
    </xf>
    <xf numFmtId="169" fontId="30" fillId="0" borderId="4" xfId="0" applyNumberFormat="1" applyFont="1" applyBorder="1" applyProtection="1">
      <protection hidden="1"/>
    </xf>
    <xf numFmtId="169" fontId="30" fillId="0" borderId="7" xfId="0" applyNumberFormat="1" applyFont="1" applyBorder="1" applyProtection="1">
      <protection hidden="1"/>
    </xf>
    <xf numFmtId="169" fontId="47" fillId="0" borderId="18" xfId="0" applyNumberFormat="1" applyFont="1" applyBorder="1" applyProtection="1">
      <protection hidden="1"/>
    </xf>
    <xf numFmtId="169" fontId="36" fillId="0" borderId="3" xfId="0" applyNumberFormat="1" applyFont="1" applyBorder="1" applyProtection="1">
      <protection hidden="1"/>
    </xf>
    <xf numFmtId="169" fontId="36" fillId="0" borderId="0" xfId="0" applyNumberFormat="1" applyFont="1" applyProtection="1">
      <protection hidden="1"/>
    </xf>
    <xf numFmtId="169" fontId="36" fillId="0" borderId="0" xfId="0" applyNumberFormat="1" applyFont="1" applyAlignment="1" applyProtection="1">
      <alignment horizontal="right" vertical="center"/>
      <protection hidden="1"/>
    </xf>
    <xf numFmtId="169" fontId="0" fillId="0" borderId="0" xfId="0" applyNumberFormat="1" applyAlignment="1" applyProtection="1">
      <alignment horizontal="right" vertical="center"/>
      <protection hidden="1"/>
    </xf>
    <xf numFmtId="16" fontId="30" fillId="0" borderId="18" xfId="0" quotePrefix="1" applyNumberFormat="1" applyFont="1" applyBorder="1" applyAlignment="1" applyProtection="1">
      <alignment horizontal="left"/>
      <protection hidden="1"/>
    </xf>
    <xf numFmtId="169" fontId="42" fillId="0" borderId="13" xfId="0" applyNumberFormat="1" applyFont="1" applyBorder="1" applyAlignment="1" applyProtection="1">
      <alignment horizontal="right"/>
      <protection hidden="1"/>
    </xf>
    <xf numFmtId="169" fontId="14" fillId="0" borderId="18" xfId="0" applyNumberFormat="1" applyFont="1" applyBorder="1" applyProtection="1">
      <protection hidden="1"/>
    </xf>
    <xf numFmtId="169" fontId="30" fillId="0" borderId="12" xfId="0" applyNumberFormat="1" applyFont="1" applyBorder="1" applyProtection="1">
      <protection hidden="1"/>
    </xf>
    <xf numFmtId="169" fontId="30" fillId="0" borderId="14" xfId="0" applyNumberFormat="1" applyFont="1" applyBorder="1" applyProtection="1">
      <protection hidden="1"/>
    </xf>
    <xf numFmtId="169" fontId="30" fillId="0" borderId="0" xfId="0" quotePrefix="1" applyNumberFormat="1" applyFont="1" applyAlignment="1" applyProtection="1">
      <alignment horizontal="right" vertical="center"/>
      <protection hidden="1"/>
    </xf>
    <xf numFmtId="169" fontId="30" fillId="0" borderId="18" xfId="0" applyNumberFormat="1" applyFont="1" applyBorder="1" applyProtection="1">
      <protection hidden="1"/>
    </xf>
    <xf numFmtId="169" fontId="30" fillId="0" borderId="5" xfId="0" applyNumberFormat="1" applyFont="1" applyBorder="1" applyProtection="1">
      <protection hidden="1"/>
    </xf>
    <xf numFmtId="169" fontId="30" fillId="0" borderId="7" xfId="0" quotePrefix="1" applyNumberFormat="1" applyFont="1" applyBorder="1" applyAlignment="1" applyProtection="1">
      <alignment horizontal="right" vertical="center"/>
      <protection hidden="1"/>
    </xf>
    <xf numFmtId="169" fontId="30" fillId="0" borderId="14" xfId="0" applyNumberFormat="1" applyFont="1" applyBorder="1" applyAlignment="1" applyProtection="1">
      <alignment horizontal="right" vertical="center"/>
      <protection hidden="1"/>
    </xf>
    <xf numFmtId="169" fontId="30" fillId="0" borderId="13" xfId="0" applyNumberFormat="1" applyFont="1" applyBorder="1" applyProtection="1">
      <protection hidden="1"/>
    </xf>
    <xf numFmtId="16" fontId="30" fillId="0" borderId="18" xfId="0" applyNumberFormat="1" applyFont="1" applyBorder="1" applyProtection="1">
      <protection hidden="1"/>
    </xf>
    <xf numFmtId="0" fontId="14" fillId="0" borderId="18" xfId="0" applyFont="1" applyBorder="1" applyProtection="1">
      <protection hidden="1"/>
    </xf>
    <xf numFmtId="0" fontId="0" fillId="0" borderId="0" xfId="0" applyAlignment="1" applyProtection="1">
      <alignment horizontal="left"/>
      <protection hidden="1"/>
    </xf>
    <xf numFmtId="169" fontId="35" fillId="0" borderId="0" xfId="0" applyNumberFormat="1" applyFont="1" applyAlignment="1" applyProtection="1">
      <alignment horizontal="left"/>
      <protection hidden="1"/>
    </xf>
    <xf numFmtId="169" fontId="0" fillId="0" borderId="0" xfId="0" applyNumberFormat="1" applyAlignment="1" applyProtection="1">
      <alignment horizontal="left"/>
      <protection hidden="1"/>
    </xf>
    <xf numFmtId="169" fontId="0" fillId="0" borderId="0" xfId="0" applyNumberFormat="1" applyProtection="1">
      <protection hidden="1"/>
    </xf>
    <xf numFmtId="169" fontId="30" fillId="0" borderId="0" xfId="0" applyNumberFormat="1" applyFont="1" applyAlignment="1" applyProtection="1">
      <alignment horizontal="right" vertical="center"/>
      <protection hidden="1"/>
    </xf>
    <xf numFmtId="169" fontId="37" fillId="0" borderId="4" xfId="0" applyNumberFormat="1" applyFont="1" applyBorder="1" applyProtection="1">
      <protection hidden="1"/>
    </xf>
    <xf numFmtId="169" fontId="37" fillId="0" borderId="0" xfId="0" applyNumberFormat="1" applyFont="1" applyProtection="1">
      <protection hidden="1"/>
    </xf>
    <xf numFmtId="169" fontId="36" fillId="0" borderId="14" xfId="0" applyNumberFormat="1" applyFont="1" applyBorder="1" applyAlignment="1" applyProtection="1">
      <alignment horizontal="right" vertical="center"/>
      <protection hidden="1"/>
    </xf>
    <xf numFmtId="49" fontId="30" fillId="0" borderId="18" xfId="0" applyNumberFormat="1" applyFont="1" applyBorder="1" applyProtection="1">
      <protection hidden="1"/>
    </xf>
    <xf numFmtId="0" fontId="30" fillId="0" borderId="18" xfId="0" applyFont="1" applyBorder="1" applyAlignment="1" applyProtection="1">
      <alignment horizontal="left"/>
      <protection hidden="1"/>
    </xf>
    <xf numFmtId="169" fontId="30" fillId="0" borderId="12" xfId="0" quotePrefix="1" applyNumberFormat="1" applyFont="1" applyBorder="1" applyProtection="1">
      <protection hidden="1"/>
    </xf>
    <xf numFmtId="169" fontId="30" fillId="0" borderId="2" xfId="0" applyNumberFormat="1" applyFont="1" applyBorder="1" applyAlignment="1" applyProtection="1">
      <alignment horizontal="right" vertical="center"/>
      <protection hidden="1"/>
    </xf>
    <xf numFmtId="169" fontId="0" fillId="0" borderId="2" xfId="0" applyNumberFormat="1" applyBorder="1" applyAlignment="1" applyProtection="1">
      <alignment horizontal="right" vertical="center"/>
      <protection hidden="1"/>
    </xf>
    <xf numFmtId="169" fontId="30" fillId="0" borderId="18" xfId="0" applyNumberFormat="1" applyFont="1" applyBorder="1" applyAlignment="1" applyProtection="1">
      <alignment horizontal="right" vertical="center"/>
      <protection hidden="1"/>
    </xf>
    <xf numFmtId="16" fontId="30" fillId="0" borderId="18" xfId="0" quotePrefix="1" applyNumberFormat="1" applyFont="1" applyBorder="1" applyProtection="1">
      <protection hidden="1"/>
    </xf>
    <xf numFmtId="169" fontId="42" fillId="0" borderId="0" xfId="0" applyNumberFormat="1" applyFont="1" applyAlignment="1">
      <alignment horizontal="right" vertical="center" wrapText="1"/>
    </xf>
    <xf numFmtId="169" fontId="57" fillId="0" borderId="0" xfId="0" applyNumberFormat="1" applyFont="1" applyAlignment="1">
      <alignment horizontal="right" vertical="center" wrapText="1"/>
    </xf>
    <xf numFmtId="0" fontId="57" fillId="0" borderId="5" xfId="0" applyFont="1" applyBorder="1" applyAlignment="1" applyProtection="1">
      <alignment horizontal="right" indent="1"/>
      <protection hidden="1"/>
    </xf>
    <xf numFmtId="169" fontId="57" fillId="0" borderId="4" xfId="0" applyNumberFormat="1" applyFont="1" applyBorder="1" applyAlignment="1">
      <alignment horizontal="right" vertical="center" wrapText="1"/>
    </xf>
    <xf numFmtId="169" fontId="57" fillId="0" borderId="4" xfId="0" applyNumberFormat="1" applyFont="1" applyBorder="1" applyAlignment="1">
      <alignment horizontal="right" vertical="center"/>
    </xf>
    <xf numFmtId="169" fontId="57" fillId="0" borderId="0" xfId="0" applyNumberFormat="1" applyFont="1" applyAlignment="1">
      <alignment horizontal="right" vertical="center"/>
    </xf>
    <xf numFmtId="0" fontId="30" fillId="0" borderId="18" xfId="0" quotePrefix="1" applyFont="1" applyBorder="1" applyAlignment="1" applyProtection="1">
      <alignment horizontal="left"/>
      <protection hidden="1"/>
    </xf>
    <xf numFmtId="169" fontId="14" fillId="0" borderId="2" xfId="0" applyNumberFormat="1" applyFont="1" applyBorder="1" applyProtection="1">
      <protection hidden="1"/>
    </xf>
    <xf numFmtId="169" fontId="47" fillId="0" borderId="2" xfId="0" applyNumberFormat="1" applyFont="1" applyBorder="1" applyProtection="1">
      <protection hidden="1"/>
    </xf>
    <xf numFmtId="169" fontId="30" fillId="0" borderId="3" xfId="0" applyNumberFormat="1" applyFont="1" applyBorder="1" applyProtection="1">
      <protection hidden="1"/>
    </xf>
    <xf numFmtId="169" fontId="30" fillId="0" borderId="23" xfId="0" applyNumberFormat="1" applyFont="1" applyBorder="1" applyProtection="1">
      <protection hidden="1"/>
    </xf>
    <xf numFmtId="169" fontId="30" fillId="0" borderId="23" xfId="0" applyNumberFormat="1" applyFont="1" applyBorder="1" applyAlignment="1" applyProtection="1">
      <alignment horizontal="right" vertical="center"/>
      <protection hidden="1"/>
    </xf>
    <xf numFmtId="169" fontId="37" fillId="0" borderId="2" xfId="0" applyNumberFormat="1" applyFont="1" applyBorder="1" applyProtection="1">
      <protection hidden="1"/>
    </xf>
    <xf numFmtId="169" fontId="36" fillId="0" borderId="2" xfId="0" applyNumberFormat="1" applyFont="1" applyBorder="1" applyProtection="1">
      <protection hidden="1"/>
    </xf>
    <xf numFmtId="169" fontId="14" fillId="0" borderId="0" xfId="0" applyNumberFormat="1" applyFont="1" applyAlignment="1" applyProtection="1">
      <alignment horizontal="right" indent="1"/>
      <protection hidden="1"/>
    </xf>
    <xf numFmtId="169" fontId="14" fillId="0" borderId="2" xfId="0" applyNumberFormat="1" applyFont="1" applyBorder="1" applyAlignment="1" applyProtection="1">
      <alignment horizontal="right" vertical="center"/>
      <protection hidden="1"/>
    </xf>
    <xf numFmtId="169" fontId="14" fillId="0" borderId="0" xfId="0" applyNumberFormat="1" applyFont="1" applyAlignment="1" applyProtection="1">
      <alignment horizontal="right" vertical="center"/>
      <protection hidden="1"/>
    </xf>
    <xf numFmtId="0" fontId="14" fillId="0" borderId="5" xfId="0" applyFont="1" applyBorder="1" applyProtection="1">
      <protection hidden="1"/>
    </xf>
    <xf numFmtId="169" fontId="42" fillId="0" borderId="0" xfId="0" applyNumberFormat="1" applyFont="1" applyAlignment="1" applyProtection="1">
      <alignment horizontal="right"/>
      <protection hidden="1"/>
    </xf>
    <xf numFmtId="169" fontId="14" fillId="0" borderId="0" xfId="0" applyNumberFormat="1" applyFont="1" applyProtection="1">
      <protection hidden="1"/>
    </xf>
    <xf numFmtId="169" fontId="47" fillId="0" borderId="0" xfId="0" applyNumberFormat="1" applyFont="1" applyProtection="1">
      <protection hidden="1"/>
    </xf>
    <xf numFmtId="169" fontId="42" fillId="0" borderId="0" xfId="0" applyNumberFormat="1" applyFont="1" applyProtection="1">
      <protection hidden="1"/>
    </xf>
    <xf numFmtId="169" fontId="41" fillId="0" borderId="0" xfId="0" applyNumberFormat="1" applyFont="1" applyAlignment="1" applyProtection="1">
      <alignment horizontal="right" vertical="center"/>
      <protection hidden="1"/>
    </xf>
    <xf numFmtId="0" fontId="14" fillId="0" borderId="0" xfId="0" applyFont="1" applyAlignment="1" applyProtection="1">
      <alignment horizontal="left"/>
      <protection hidden="1"/>
    </xf>
    <xf numFmtId="0" fontId="14" fillId="0" borderId="0" xfId="0" applyFont="1" applyAlignment="1" applyProtection="1">
      <alignment horizontal="center"/>
      <protection hidden="1"/>
    </xf>
    <xf numFmtId="0" fontId="37" fillId="0" borderId="0" xfId="0" applyFont="1" applyAlignment="1" applyProtection="1">
      <alignment horizontal="right"/>
      <protection hidden="1"/>
    </xf>
    <xf numFmtId="0" fontId="37" fillId="0" borderId="0" xfId="0" applyFont="1" applyAlignment="1" applyProtection="1">
      <alignment horizontal="right" indent="1"/>
      <protection hidden="1"/>
    </xf>
    <xf numFmtId="0" fontId="42" fillId="0" borderId="0" xfId="0" applyFont="1" applyAlignment="1" applyProtection="1">
      <alignment horizontal="right" vertical="center"/>
      <protection hidden="1"/>
    </xf>
    <xf numFmtId="4" fontId="41" fillId="0" borderId="0" xfId="0" applyNumberFormat="1" applyFont="1" applyAlignment="1" applyProtection="1">
      <alignment horizontal="right"/>
      <protection hidden="1"/>
    </xf>
    <xf numFmtId="165" fontId="37" fillId="0" borderId="0" xfId="0" applyNumberFormat="1" applyFont="1" applyAlignment="1" applyProtection="1">
      <alignment horizontal="right" indent="1"/>
      <protection hidden="1"/>
    </xf>
    <xf numFmtId="165" fontId="37" fillId="0" borderId="0" xfId="0" applyNumberFormat="1" applyFont="1" applyAlignment="1" applyProtection="1">
      <alignment horizontal="right" vertical="center"/>
      <protection hidden="1"/>
    </xf>
    <xf numFmtId="165" fontId="101" fillId="0" borderId="0" xfId="0" applyNumberFormat="1" applyFont="1" applyAlignment="1" applyProtection="1">
      <alignment horizontal="right" indent="1"/>
      <protection hidden="1"/>
    </xf>
    <xf numFmtId="0" fontId="36" fillId="0" borderId="7" xfId="0" applyFont="1" applyBorder="1" applyAlignment="1" applyProtection="1">
      <alignment horizontal="right" vertical="center"/>
      <protection hidden="1"/>
    </xf>
    <xf numFmtId="0" fontId="0" fillId="0" borderId="7" xfId="0" applyBorder="1" applyAlignment="1" applyProtection="1">
      <alignment horizontal="right" vertical="center"/>
      <protection hidden="1"/>
    </xf>
    <xf numFmtId="0" fontId="116" fillId="0" borderId="8" xfId="0" applyFont="1" applyBorder="1" applyProtection="1">
      <protection hidden="1"/>
    </xf>
    <xf numFmtId="0" fontId="36" fillId="0" borderId="14" xfId="0" applyFont="1" applyBorder="1" applyAlignment="1" applyProtection="1">
      <alignment horizontal="center" vertical="center" wrapText="1"/>
      <protection hidden="1"/>
    </xf>
    <xf numFmtId="4" fontId="36" fillId="0" borderId="14" xfId="0" applyNumberFormat="1" applyFont="1" applyBorder="1" applyAlignment="1" applyProtection="1">
      <alignment horizontal="center" vertical="center"/>
      <protection hidden="1"/>
    </xf>
    <xf numFmtId="0" fontId="14" fillId="0" borderId="1" xfId="0" applyFont="1" applyBorder="1" applyProtection="1">
      <protection hidden="1"/>
    </xf>
    <xf numFmtId="169" fontId="47" fillId="7" borderId="18" xfId="0" applyNumberFormat="1" applyFont="1" applyFill="1" applyBorder="1" applyProtection="1">
      <protection hidden="1"/>
    </xf>
    <xf numFmtId="169" fontId="36" fillId="7" borderId="18" xfId="0" applyNumberFormat="1" applyFont="1" applyFill="1" applyBorder="1" applyProtection="1">
      <protection hidden="1"/>
    </xf>
    <xf numFmtId="169" fontId="37" fillId="7" borderId="12" xfId="0" applyNumberFormat="1" applyFont="1" applyFill="1" applyBorder="1" applyProtection="1">
      <protection hidden="1"/>
    </xf>
    <xf numFmtId="0" fontId="36" fillId="7" borderId="18" xfId="0" applyFont="1" applyFill="1" applyBorder="1" applyProtection="1">
      <protection hidden="1"/>
    </xf>
    <xf numFmtId="0" fontId="37" fillId="7" borderId="18" xfId="0" applyFont="1" applyFill="1" applyBorder="1" applyProtection="1">
      <protection hidden="1"/>
    </xf>
    <xf numFmtId="2" fontId="32" fillId="45" borderId="14" xfId="0" applyNumberFormat="1" applyFont="1" applyFill="1" applyBorder="1" applyAlignment="1">
      <alignment horizontal="left" vertical="top" wrapText="1"/>
    </xf>
    <xf numFmtId="2" fontId="32" fillId="0" borderId="14" xfId="0" applyNumberFormat="1" applyFont="1" applyBorder="1" applyAlignment="1">
      <alignment wrapText="1"/>
    </xf>
    <xf numFmtId="2" fontId="0" fillId="32" borderId="14" xfId="0" applyNumberFormat="1" applyFill="1" applyBorder="1" applyAlignment="1">
      <alignment horizontal="left" vertical="top" wrapText="1"/>
    </xf>
    <xf numFmtId="0" fontId="153" fillId="36" borderId="0" xfId="0" applyFont="1" applyFill="1" applyAlignment="1" applyProtection="1">
      <alignment vertical="center"/>
      <protection hidden="1"/>
    </xf>
    <xf numFmtId="0" fontId="153" fillId="9" borderId="0" xfId="0" applyFont="1" applyFill="1" applyAlignment="1" applyProtection="1">
      <alignment vertical="center"/>
      <protection hidden="1"/>
    </xf>
    <xf numFmtId="2" fontId="0" fillId="0" borderId="0" xfId="0" applyNumberFormat="1"/>
    <xf numFmtId="14" fontId="9" fillId="0" borderId="14" xfId="0" applyNumberFormat="1" applyFont="1" applyBorder="1" applyAlignment="1">
      <alignment horizontal="center" vertical="top" wrapText="1"/>
    </xf>
    <xf numFmtId="0" fontId="9" fillId="0" borderId="14" xfId="0" applyFont="1" applyBorder="1" applyAlignment="1">
      <alignment vertical="top" wrapText="1"/>
    </xf>
    <xf numFmtId="0" fontId="0" fillId="0" borderId="8" xfId="0" applyBorder="1"/>
    <xf numFmtId="0" fontId="8" fillId="0" borderId="14" xfId="0" applyFont="1" applyBorder="1" applyAlignment="1">
      <alignment vertical="top" wrapText="1"/>
    </xf>
    <xf numFmtId="14" fontId="0" fillId="0" borderId="0" xfId="0" applyNumberFormat="1" applyProtection="1">
      <protection hidden="1"/>
    </xf>
    <xf numFmtId="0" fontId="36" fillId="0" borderId="18" xfId="0" applyFont="1" applyBorder="1"/>
    <xf numFmtId="0" fontId="8" fillId="0" borderId="18" xfId="0" applyFont="1" applyBorder="1"/>
    <xf numFmtId="0" fontId="8" fillId="0" borderId="89" xfId="0" applyFont="1" applyBorder="1"/>
    <xf numFmtId="14" fontId="8" fillId="0" borderId="0" xfId="0" applyNumberFormat="1" applyFont="1"/>
    <xf numFmtId="0" fontId="8" fillId="0" borderId="0" xfId="0" applyFont="1"/>
    <xf numFmtId="0" fontId="8" fillId="0" borderId="39" xfId="0" applyFont="1" applyBorder="1"/>
    <xf numFmtId="14" fontId="8" fillId="0" borderId="7" xfId="0" applyNumberFormat="1" applyFont="1" applyBorder="1"/>
    <xf numFmtId="0" fontId="8" fillId="0" borderId="7" xfId="0" applyFont="1" applyBorder="1"/>
    <xf numFmtId="0" fontId="8" fillId="0" borderId="58" xfId="0" applyFont="1" applyBorder="1"/>
    <xf numFmtId="189" fontId="8" fillId="0" borderId="0" xfId="0" applyNumberFormat="1" applyFont="1"/>
    <xf numFmtId="0" fontId="41" fillId="20" borderId="69" xfId="0" applyFont="1" applyFill="1" applyBorder="1"/>
    <xf numFmtId="0" fontId="49" fillId="20" borderId="55" xfId="0" applyFont="1" applyFill="1" applyBorder="1" applyAlignment="1">
      <alignment horizontal="center"/>
    </xf>
    <xf numFmtId="0" fontId="41" fillId="20" borderId="55" xfId="0" applyFont="1" applyFill="1" applyBorder="1"/>
    <xf numFmtId="0" fontId="57" fillId="0" borderId="0" xfId="0" applyFont="1" applyAlignment="1">
      <alignment horizontal="left" vertical="top" wrapText="1"/>
    </xf>
    <xf numFmtId="0" fontId="7" fillId="7" borderId="7" xfId="0" applyFont="1" applyFill="1" applyBorder="1" applyAlignment="1">
      <alignment wrapText="1"/>
    </xf>
    <xf numFmtId="0" fontId="7" fillId="0" borderId="18" xfId="0" applyFont="1" applyBorder="1" applyAlignment="1">
      <alignment wrapText="1"/>
    </xf>
    <xf numFmtId="0" fontId="42" fillId="0" borderId="18" xfId="0" applyFont="1" applyBorder="1" applyAlignment="1">
      <alignment wrapText="1"/>
    </xf>
    <xf numFmtId="0" fontId="7" fillId="0" borderId="14" xfId="0" applyFont="1" applyBorder="1" applyAlignment="1">
      <alignment vertical="top" wrapText="1"/>
    </xf>
    <xf numFmtId="177" fontId="7" fillId="20" borderId="9" xfId="0" applyNumberFormat="1" applyFont="1" applyFill="1" applyBorder="1" applyAlignment="1">
      <alignment horizontal="center"/>
    </xf>
    <xf numFmtId="0" fontId="41" fillId="0" borderId="23" xfId="0" applyFont="1" applyBorder="1" applyAlignment="1">
      <alignment vertical="top" wrapText="1"/>
    </xf>
    <xf numFmtId="0" fontId="124" fillId="0" borderId="14" xfId="0" applyFont="1" applyBorder="1" applyAlignment="1">
      <alignment vertical="top" wrapText="1"/>
    </xf>
    <xf numFmtId="44" fontId="7" fillId="20" borderId="15" xfId="3" applyFont="1" applyFill="1" applyBorder="1" applyAlignment="1">
      <alignment horizontal="center"/>
    </xf>
    <xf numFmtId="10" fontId="7" fillId="0" borderId="14" xfId="0" applyNumberFormat="1" applyFont="1" applyBorder="1" applyAlignment="1">
      <alignment horizontal="left" vertical="top" wrapText="1"/>
    </xf>
    <xf numFmtId="4" fontId="7" fillId="0" borderId="24" xfId="0" applyNumberFormat="1" applyFont="1" applyBorder="1" applyAlignment="1">
      <alignment horizontal="center"/>
    </xf>
    <xf numFmtId="0" fontId="157" fillId="7" borderId="0" xfId="0" applyFont="1" applyFill="1" applyAlignment="1">
      <alignment horizontal="left" vertical="top" wrapText="1"/>
    </xf>
    <xf numFmtId="0" fontId="86" fillId="25" borderId="9" xfId="0" applyFont="1" applyFill="1" applyBorder="1"/>
    <xf numFmtId="0" fontId="0" fillId="0" borderId="1" xfId="0" applyBorder="1"/>
    <xf numFmtId="0" fontId="32" fillId="0" borderId="2" xfId="0" applyFont="1" applyBorder="1"/>
    <xf numFmtId="14" fontId="0" fillId="0" borderId="0" xfId="0" applyNumberFormat="1"/>
    <xf numFmtId="0" fontId="116" fillId="7" borderId="0" xfId="0" applyFont="1" applyFill="1"/>
    <xf numFmtId="14" fontId="116" fillId="7" borderId="0" xfId="0" applyNumberFormat="1" applyFont="1" applyFill="1"/>
    <xf numFmtId="0" fontId="0" fillId="0" borderId="6" xfId="0" applyBorder="1"/>
    <xf numFmtId="0" fontId="42" fillId="0" borderId="14" xfId="0" applyFont="1" applyBorder="1" applyAlignment="1">
      <alignment vertical="top" wrapText="1"/>
    </xf>
    <xf numFmtId="10" fontId="7" fillId="0" borderId="14" xfId="0" applyNumberFormat="1" applyFont="1" applyBorder="1" applyAlignment="1">
      <alignment vertical="top" wrapText="1"/>
    </xf>
    <xf numFmtId="49" fontId="0" fillId="0" borderId="0" xfId="0" applyNumberFormat="1" applyProtection="1">
      <protection hidden="1"/>
    </xf>
    <xf numFmtId="0" fontId="0" fillId="3" borderId="0" xfId="0" applyFill="1" applyProtection="1">
      <protection hidden="1"/>
    </xf>
    <xf numFmtId="2" fontId="42" fillId="0" borderId="0" xfId="0" applyNumberFormat="1" applyFont="1" applyAlignment="1" applyProtection="1">
      <alignment horizontal="right"/>
      <protection hidden="1"/>
    </xf>
    <xf numFmtId="2" fontId="42" fillId="0" borderId="0" xfId="0" applyNumberFormat="1" applyFont="1" applyAlignment="1" applyProtection="1">
      <alignment horizontal="center"/>
      <protection hidden="1"/>
    </xf>
    <xf numFmtId="14" fontId="30" fillId="0" borderId="0" xfId="0" applyNumberFormat="1" applyFont="1" applyAlignment="1" applyProtection="1">
      <alignment horizontal="right"/>
      <protection hidden="1"/>
    </xf>
    <xf numFmtId="14" fontId="30" fillId="0" borderId="0" xfId="0" applyNumberFormat="1" applyFont="1" applyAlignment="1" applyProtection="1">
      <alignment horizontal="center" vertical="top"/>
      <protection hidden="1"/>
    </xf>
    <xf numFmtId="14" fontId="30" fillId="0" borderId="0" xfId="0" applyNumberFormat="1" applyFont="1" applyAlignment="1" applyProtection="1">
      <alignment horizontal="right" vertical="top"/>
      <protection hidden="1"/>
    </xf>
    <xf numFmtId="14" fontId="30" fillId="6" borderId="0" xfId="0" applyNumberFormat="1" applyFont="1" applyFill="1" applyAlignment="1" applyProtection="1">
      <alignment horizontal="center" vertical="top"/>
      <protection hidden="1"/>
    </xf>
    <xf numFmtId="14" fontId="30" fillId="6" borderId="0" xfId="0" applyNumberFormat="1" applyFont="1" applyFill="1" applyAlignment="1" applyProtection="1">
      <alignment horizontal="right" vertical="top"/>
      <protection hidden="1"/>
    </xf>
    <xf numFmtId="14" fontId="19" fillId="0" borderId="0" xfId="0" applyNumberFormat="1" applyFont="1" applyAlignment="1" applyProtection="1">
      <alignment horizontal="right" vertical="top"/>
      <protection hidden="1"/>
    </xf>
    <xf numFmtId="0" fontId="36" fillId="0" borderId="1" xfId="0" applyFont="1" applyBorder="1" applyProtection="1">
      <protection hidden="1"/>
    </xf>
    <xf numFmtId="0" fontId="43" fillId="0" borderId="2" xfId="0" applyFont="1" applyBorder="1" applyAlignment="1" applyProtection="1">
      <alignment vertical="top"/>
      <protection hidden="1"/>
    </xf>
    <xf numFmtId="0" fontId="36" fillId="0" borderId="2" xfId="0" applyFont="1" applyBorder="1" applyProtection="1">
      <protection hidden="1"/>
    </xf>
    <xf numFmtId="0" fontId="30" fillId="0" borderId="16" xfId="0" applyFont="1" applyBorder="1" applyProtection="1">
      <protection hidden="1"/>
    </xf>
    <xf numFmtId="0" fontId="30" fillId="0" borderId="17" xfId="0" applyFont="1" applyBorder="1" applyProtection="1">
      <protection hidden="1"/>
    </xf>
    <xf numFmtId="0" fontId="68" fillId="0" borderId="0" xfId="0" applyFont="1" applyAlignment="1" applyProtection="1">
      <alignment vertical="top" wrapText="1"/>
      <protection hidden="1"/>
    </xf>
    <xf numFmtId="0" fontId="68" fillId="0" borderId="5" xfId="0" applyFont="1" applyBorder="1" applyAlignment="1" applyProtection="1">
      <alignment vertical="top" wrapText="1"/>
      <protection hidden="1"/>
    </xf>
    <xf numFmtId="0" fontId="68" fillId="0" borderId="7" xfId="0" applyFont="1" applyBorder="1" applyAlignment="1" applyProtection="1">
      <alignment vertical="top" wrapText="1"/>
      <protection hidden="1"/>
    </xf>
    <xf numFmtId="0" fontId="41" fillId="6" borderId="7" xfId="0" applyFont="1" applyFill="1" applyBorder="1" applyProtection="1">
      <protection hidden="1"/>
    </xf>
    <xf numFmtId="0" fontId="30" fillId="0" borderId="8" xfId="0" applyFont="1" applyBorder="1" applyProtection="1">
      <protection hidden="1"/>
    </xf>
    <xf numFmtId="0" fontId="37" fillId="0" borderId="14" xfId="0" applyFont="1" applyBorder="1" applyAlignment="1" applyProtection="1">
      <alignment horizontal="center" vertical="center"/>
      <protection hidden="1"/>
    </xf>
    <xf numFmtId="20" fontId="30" fillId="0" borderId="0" xfId="0" applyNumberFormat="1" applyFont="1" applyAlignment="1" applyProtection="1">
      <alignment horizontal="center" vertical="center"/>
      <protection hidden="1"/>
    </xf>
    <xf numFmtId="3" fontId="28" fillId="0" borderId="0" xfId="0" applyNumberFormat="1" applyFont="1" applyAlignment="1" applyProtection="1">
      <alignment horizontal="center"/>
      <protection hidden="1"/>
    </xf>
    <xf numFmtId="17" fontId="36" fillId="0" borderId="0" xfId="0" applyNumberFormat="1" applyFont="1" applyAlignment="1" applyProtection="1">
      <alignment horizontal="center" vertical="center"/>
      <protection hidden="1"/>
    </xf>
    <xf numFmtId="185" fontId="14" fillId="22" borderId="14" xfId="0" applyNumberFormat="1" applyFont="1" applyFill="1" applyBorder="1" applyAlignment="1" applyProtection="1">
      <alignment horizontal="center" vertical="center"/>
      <protection locked="0"/>
    </xf>
    <xf numFmtId="0" fontId="42" fillId="0" borderId="7" xfId="0" applyFont="1" applyBorder="1" applyProtection="1">
      <protection hidden="1"/>
    </xf>
    <xf numFmtId="0" fontId="42" fillId="0" borderId="0" xfId="0" applyFont="1" applyAlignment="1" applyProtection="1">
      <alignment horizontal="center"/>
      <protection hidden="1"/>
    </xf>
    <xf numFmtId="0" fontId="42" fillId="0" borderId="23" xfId="0" applyFont="1" applyBorder="1" applyAlignment="1" applyProtection="1">
      <alignment horizontal="center"/>
      <protection hidden="1"/>
    </xf>
    <xf numFmtId="0" fontId="42" fillId="0" borderId="5" xfId="0" applyFont="1" applyBorder="1" applyAlignment="1" applyProtection="1">
      <alignment horizontal="center"/>
      <protection hidden="1"/>
    </xf>
    <xf numFmtId="0" fontId="42" fillId="0" borderId="23" xfId="0" applyFont="1" applyBorder="1" applyAlignment="1" applyProtection="1">
      <alignment horizontal="center" wrapText="1"/>
      <protection hidden="1"/>
    </xf>
    <xf numFmtId="0" fontId="42" fillId="9" borderId="3" xfId="0" applyFont="1" applyFill="1" applyBorder="1" applyAlignment="1" applyProtection="1">
      <alignment horizontal="center" wrapText="1"/>
      <protection hidden="1"/>
    </xf>
    <xf numFmtId="0" fontId="42" fillId="0" borderId="19" xfId="0" applyFont="1" applyBorder="1" applyAlignment="1" applyProtection="1">
      <alignment horizontal="center"/>
      <protection hidden="1"/>
    </xf>
    <xf numFmtId="0" fontId="57" fillId="0" borderId="19" xfId="0" applyFont="1" applyBorder="1" applyAlignment="1" applyProtection="1">
      <alignment horizontal="center" wrapText="1"/>
      <protection hidden="1"/>
    </xf>
    <xf numFmtId="0" fontId="43" fillId="9" borderId="5" xfId="0" applyFont="1" applyFill="1" applyBorder="1" applyAlignment="1" applyProtection="1">
      <alignment horizontal="center" wrapText="1"/>
      <protection hidden="1"/>
    </xf>
    <xf numFmtId="0" fontId="41" fillId="0" borderId="0" xfId="0" applyFont="1" applyAlignment="1" applyProtection="1">
      <alignment horizontal="center"/>
      <protection hidden="1"/>
    </xf>
    <xf numFmtId="14" fontId="42" fillId="7" borderId="19" xfId="0" applyNumberFormat="1" applyFont="1" applyFill="1" applyBorder="1" applyAlignment="1" applyProtection="1">
      <alignment horizontal="center"/>
      <protection hidden="1"/>
    </xf>
    <xf numFmtId="0" fontId="37" fillId="0" borderId="19" xfId="0" applyFont="1" applyBorder="1" applyAlignment="1" applyProtection="1">
      <alignment horizontal="center"/>
      <protection hidden="1"/>
    </xf>
    <xf numFmtId="0" fontId="43" fillId="9" borderId="5" xfId="0" applyFont="1" applyFill="1" applyBorder="1" applyAlignment="1" applyProtection="1">
      <alignment horizontal="center" vertical="top" wrapText="1"/>
      <protection hidden="1"/>
    </xf>
    <xf numFmtId="0" fontId="43" fillId="0" borderId="24" xfId="0" applyFont="1" applyBorder="1" applyAlignment="1" applyProtection="1">
      <alignment horizontal="center"/>
      <protection hidden="1"/>
    </xf>
    <xf numFmtId="0" fontId="43" fillId="0" borderId="8" xfId="0" applyFont="1" applyBorder="1" applyAlignment="1" applyProtection="1">
      <alignment horizontal="center"/>
      <protection hidden="1"/>
    </xf>
    <xf numFmtId="0" fontId="43" fillId="9" borderId="24" xfId="0" applyFont="1" applyFill="1" applyBorder="1" applyAlignment="1" applyProtection="1">
      <alignment horizontal="center"/>
      <protection hidden="1"/>
    </xf>
    <xf numFmtId="0" fontId="43" fillId="0" borderId="0" xfId="0" applyFont="1" applyAlignment="1" applyProtection="1">
      <alignment horizontal="center"/>
      <protection hidden="1"/>
    </xf>
    <xf numFmtId="0" fontId="43" fillId="9" borderId="0" xfId="0" applyFont="1" applyFill="1" applyAlignment="1" applyProtection="1">
      <alignment horizontal="center"/>
      <protection hidden="1"/>
    </xf>
    <xf numFmtId="173" fontId="37" fillId="0" borderId="15" xfId="0" applyNumberFormat="1" applyFont="1" applyBorder="1" applyAlignment="1" applyProtection="1">
      <alignment horizontal="center"/>
      <protection hidden="1"/>
    </xf>
    <xf numFmtId="165" fontId="42" fillId="0" borderId="15" xfId="0" applyNumberFormat="1" applyFont="1" applyBorder="1" applyAlignment="1" applyProtection="1">
      <alignment horizontal="right" vertical="center"/>
      <protection hidden="1"/>
    </xf>
    <xf numFmtId="0" fontId="38" fillId="29" borderId="0" xfId="0" applyFont="1" applyFill="1" applyAlignment="1" applyProtection="1">
      <alignment horizontal="left"/>
      <protection hidden="1"/>
    </xf>
    <xf numFmtId="166" fontId="42" fillId="0" borderId="0" xfId="0" applyNumberFormat="1" applyFont="1" applyProtection="1">
      <protection hidden="1"/>
    </xf>
    <xf numFmtId="165" fontId="42" fillId="0" borderId="14" xfId="0" applyNumberFormat="1" applyFont="1" applyBorder="1" applyAlignment="1" applyProtection="1">
      <alignment vertical="center"/>
      <protection hidden="1"/>
    </xf>
    <xf numFmtId="168" fontId="42" fillId="0" borderId="18" xfId="0" applyNumberFormat="1" applyFont="1" applyBorder="1" applyAlignment="1" applyProtection="1">
      <alignment vertical="center"/>
      <protection hidden="1"/>
    </xf>
    <xf numFmtId="167" fontId="42" fillId="0" borderId="0" xfId="0" applyNumberFormat="1" applyFont="1" applyAlignment="1" applyProtection="1">
      <alignment vertical="center"/>
      <protection hidden="1"/>
    </xf>
    <xf numFmtId="168" fontId="42" fillId="6" borderId="0" xfId="0" applyNumberFormat="1" applyFont="1" applyFill="1" applyAlignment="1" applyProtection="1">
      <alignment vertical="center"/>
      <protection hidden="1"/>
    </xf>
    <xf numFmtId="0" fontId="42" fillId="2" borderId="0" xfId="0" applyFont="1" applyFill="1" applyProtection="1">
      <protection hidden="1"/>
    </xf>
    <xf numFmtId="2" fontId="41" fillId="0" borderId="0" xfId="0" applyNumberFormat="1" applyFont="1" applyAlignment="1" applyProtection="1">
      <alignment horizontal="center" vertical="center"/>
      <protection hidden="1"/>
    </xf>
    <xf numFmtId="173" fontId="37" fillId="0" borderId="15" xfId="0" applyNumberFormat="1" applyFont="1" applyBorder="1" applyAlignment="1" applyProtection="1">
      <alignment vertical="center"/>
      <protection hidden="1"/>
    </xf>
    <xf numFmtId="0" fontId="41" fillId="0" borderId="0" xfId="0" applyFont="1" applyAlignment="1" applyProtection="1">
      <alignment horizontal="center" vertical="center"/>
      <protection hidden="1"/>
    </xf>
    <xf numFmtId="0" fontId="38" fillId="29" borderId="0" xfId="0" applyFont="1" applyFill="1" applyAlignment="1" applyProtection="1">
      <alignment horizontal="left" vertical="center"/>
      <protection hidden="1"/>
    </xf>
    <xf numFmtId="0" fontId="37" fillId="0" borderId="32" xfId="0" applyFont="1" applyBorder="1" applyProtection="1">
      <protection hidden="1"/>
    </xf>
    <xf numFmtId="0" fontId="42" fillId="0" borderId="32" xfId="0" applyFont="1" applyBorder="1" applyProtection="1">
      <protection hidden="1"/>
    </xf>
    <xf numFmtId="0" fontId="42" fillId="0" borderId="32" xfId="0" applyFont="1" applyBorder="1" applyAlignment="1" applyProtection="1">
      <alignment vertical="center"/>
      <protection hidden="1"/>
    </xf>
    <xf numFmtId="0" fontId="42" fillId="0" borderId="37" xfId="0" applyFont="1" applyBorder="1" applyProtection="1">
      <protection hidden="1"/>
    </xf>
    <xf numFmtId="0" fontId="43" fillId="0" borderId="36" xfId="0" applyFont="1" applyBorder="1" applyAlignment="1" applyProtection="1">
      <alignment horizontal="right"/>
      <protection hidden="1"/>
    </xf>
    <xf numFmtId="167" fontId="42" fillId="0" borderId="0" xfId="0" applyNumberFormat="1" applyFont="1" applyProtection="1">
      <protection hidden="1"/>
    </xf>
    <xf numFmtId="0" fontId="43" fillId="0" borderId="5" xfId="0" applyFont="1" applyBorder="1" applyAlignment="1" applyProtection="1">
      <alignment horizontal="right"/>
      <protection hidden="1"/>
    </xf>
    <xf numFmtId="0" fontId="43" fillId="0" borderId="0" xfId="0" applyFont="1" applyAlignment="1" applyProtection="1">
      <alignment horizontal="right"/>
      <protection hidden="1"/>
    </xf>
    <xf numFmtId="167" fontId="83" fillId="25" borderId="0" xfId="0" applyNumberFormat="1" applyFont="1" applyFill="1" applyAlignment="1" applyProtection="1">
      <alignment horizontal="right"/>
      <protection hidden="1"/>
    </xf>
    <xf numFmtId="0" fontId="80" fillId="0" borderId="0" xfId="0" applyFont="1" applyAlignment="1" applyProtection="1">
      <alignment horizontal="center"/>
      <protection hidden="1"/>
    </xf>
    <xf numFmtId="167" fontId="80" fillId="0" borderId="0" xfId="0" applyNumberFormat="1" applyFont="1" applyProtection="1">
      <protection hidden="1"/>
    </xf>
    <xf numFmtId="1" fontId="37" fillId="0" borderId="29" xfId="0" applyNumberFormat="1" applyFont="1" applyBorder="1" applyAlignment="1" applyProtection="1">
      <alignment horizontal="center"/>
      <protection hidden="1"/>
    </xf>
    <xf numFmtId="167" fontId="42" fillId="7" borderId="15" xfId="0" applyNumberFormat="1" applyFont="1" applyFill="1" applyBorder="1" applyAlignment="1" applyProtection="1">
      <alignment horizontal="right"/>
      <protection hidden="1"/>
    </xf>
    <xf numFmtId="0" fontId="41" fillId="0" borderId="7" xfId="0" applyFont="1" applyBorder="1" applyProtection="1">
      <protection hidden="1"/>
    </xf>
    <xf numFmtId="0" fontId="117" fillId="0" borderId="8" xfId="0" applyFont="1" applyBorder="1" applyProtection="1">
      <protection hidden="1"/>
    </xf>
    <xf numFmtId="188" fontId="37" fillId="3" borderId="28" xfId="1" applyNumberFormat="1" applyFont="1" applyFill="1" applyBorder="1" applyAlignment="1" applyProtection="1">
      <alignment vertical="center"/>
      <protection locked="0"/>
    </xf>
    <xf numFmtId="0" fontId="6" fillId="0" borderId="14" xfId="0" applyFont="1" applyBorder="1" applyAlignment="1">
      <alignment vertical="top" wrapText="1"/>
    </xf>
    <xf numFmtId="4" fontId="6" fillId="0" borderId="24" xfId="0" applyNumberFormat="1" applyFont="1" applyBorder="1" applyAlignment="1">
      <alignment horizontal="left" wrapText="1"/>
    </xf>
    <xf numFmtId="0" fontId="5" fillId="0" borderId="14" xfId="0" applyFont="1" applyBorder="1" applyAlignment="1">
      <alignment horizontal="left" vertical="top" wrapText="1"/>
    </xf>
    <xf numFmtId="0" fontId="5" fillId="0" borderId="14" xfId="0" applyFont="1" applyBorder="1" applyAlignment="1">
      <alignment vertical="top" wrapText="1"/>
    </xf>
    <xf numFmtId="190" fontId="14" fillId="20" borderId="15" xfId="0" applyNumberFormat="1" applyFont="1" applyFill="1" applyBorder="1" applyAlignment="1">
      <alignment horizontal="center"/>
    </xf>
    <xf numFmtId="190" fontId="36" fillId="20" borderId="41" xfId="0" applyNumberFormat="1" applyFont="1" applyFill="1" applyBorder="1" applyAlignment="1">
      <alignment horizontal="center"/>
    </xf>
    <xf numFmtId="190" fontId="36" fillId="20" borderId="15" xfId="0" applyNumberFormat="1" applyFont="1" applyFill="1" applyBorder="1" applyAlignment="1">
      <alignment horizontal="center"/>
    </xf>
    <xf numFmtId="190" fontId="14" fillId="20" borderId="41" xfId="0" applyNumberFormat="1" applyFont="1" applyFill="1" applyBorder="1" applyAlignment="1">
      <alignment horizontal="center"/>
    </xf>
    <xf numFmtId="0" fontId="5" fillId="0" borderId="24" xfId="0" applyFont="1" applyBorder="1" applyAlignment="1">
      <alignment vertical="top" wrapText="1"/>
    </xf>
    <xf numFmtId="0" fontId="5" fillId="0" borderId="14" xfId="0" applyFont="1" applyBorder="1"/>
    <xf numFmtId="0" fontId="36" fillId="33" borderId="0" xfId="0" applyFont="1" applyFill="1"/>
    <xf numFmtId="3" fontId="14" fillId="26" borderId="15" xfId="0" applyNumberFormat="1" applyFont="1" applyFill="1" applyBorder="1" applyAlignment="1" applyProtection="1">
      <alignment horizontal="center"/>
      <protection locked="0" hidden="1"/>
    </xf>
    <xf numFmtId="3" fontId="41" fillId="25" borderId="0" xfId="0" applyNumberFormat="1" applyFont="1" applyFill="1" applyAlignment="1" applyProtection="1">
      <alignment horizontal="left" vertical="center"/>
      <protection hidden="1"/>
    </xf>
    <xf numFmtId="0" fontId="4" fillId="0" borderId="14" xfId="0" applyFont="1" applyBorder="1" applyAlignment="1">
      <alignment horizontal="left" vertical="top" wrapText="1"/>
    </xf>
    <xf numFmtId="0" fontId="4" fillId="0" borderId="14" xfId="0" applyFont="1" applyBorder="1" applyAlignment="1">
      <alignment vertical="top" wrapText="1"/>
    </xf>
    <xf numFmtId="0" fontId="83" fillId="0" borderId="0" xfId="0" applyFont="1" applyAlignment="1" applyProtection="1">
      <alignment vertical="center"/>
      <protection hidden="1"/>
    </xf>
    <xf numFmtId="2" fontId="70" fillId="6" borderId="0" xfId="0" applyNumberFormat="1" applyFont="1" applyFill="1" applyProtection="1">
      <protection hidden="1"/>
    </xf>
    <xf numFmtId="14" fontId="68" fillId="0" borderId="14" xfId="0" applyNumberFormat="1" applyFont="1" applyBorder="1"/>
    <xf numFmtId="0" fontId="68" fillId="0" borderId="14" xfId="0" applyFont="1" applyBorder="1" applyAlignment="1">
      <alignment horizontal="left" vertical="top" wrapText="1"/>
    </xf>
    <xf numFmtId="0" fontId="68" fillId="0" borderId="14" xfId="0" applyFont="1" applyBorder="1" applyAlignment="1">
      <alignment vertical="top" wrapText="1"/>
    </xf>
    <xf numFmtId="0" fontId="68" fillId="0" borderId="14" xfId="0" applyFont="1" applyBorder="1"/>
    <xf numFmtId="0" fontId="158" fillId="0" borderId="14" xfId="0" applyFont="1" applyBorder="1" applyAlignment="1">
      <alignment vertical="top" wrapText="1"/>
    </xf>
    <xf numFmtId="0" fontId="158" fillId="0" borderId="14" xfId="0" applyFont="1" applyBorder="1"/>
    <xf numFmtId="0" fontId="159" fillId="0" borderId="0" xfId="0" applyFont="1" applyAlignment="1">
      <alignment horizontal="left" vertical="center" indent="4"/>
    </xf>
    <xf numFmtId="0" fontId="3" fillId="0" borderId="0" xfId="0" applyFont="1" applyProtection="1">
      <protection hidden="1"/>
    </xf>
    <xf numFmtId="0" fontId="68" fillId="0" borderId="14" xfId="0" applyFont="1" applyBorder="1" applyAlignment="1">
      <alignment wrapText="1"/>
    </xf>
    <xf numFmtId="0" fontId="160" fillId="0" borderId="14" xfId="0" applyFont="1" applyBorder="1" applyAlignment="1">
      <alignment vertical="top" wrapText="1"/>
    </xf>
    <xf numFmtId="0" fontId="83" fillId="0" borderId="14" xfId="0" applyFont="1" applyBorder="1" applyAlignment="1" applyProtection="1">
      <alignment vertical="center" wrapText="1"/>
      <protection hidden="1"/>
    </xf>
    <xf numFmtId="0" fontId="2" fillId="0" borderId="14" xfId="0" applyFont="1" applyBorder="1" applyAlignment="1">
      <alignment vertical="top" wrapText="1"/>
    </xf>
    <xf numFmtId="14" fontId="2" fillId="0" borderId="14" xfId="0" applyNumberFormat="1" applyFont="1" applyBorder="1"/>
    <xf numFmtId="0" fontId="0" fillId="0" borderId="4" xfId="0" applyBorder="1" applyProtection="1">
      <protection locked="0"/>
    </xf>
    <xf numFmtId="0" fontId="42" fillId="0" borderId="4" xfId="0" applyFont="1" applyBorder="1" applyProtection="1">
      <protection locked="0"/>
    </xf>
    <xf numFmtId="0" fontId="143" fillId="37" borderId="0" xfId="2" applyFont="1" applyFill="1" applyBorder="1" applyAlignment="1" applyProtection="1">
      <protection locked="0"/>
    </xf>
    <xf numFmtId="0" fontId="143" fillId="37" borderId="0" xfId="2" quotePrefix="1" applyFont="1" applyFill="1" applyBorder="1" applyAlignment="1" applyProtection="1">
      <protection locked="0"/>
    </xf>
    <xf numFmtId="0" fontId="153" fillId="37" borderId="0" xfId="0" applyFont="1" applyFill="1" applyAlignment="1" applyProtection="1">
      <alignment horizontal="left"/>
      <protection locked="0"/>
    </xf>
    <xf numFmtId="0" fontId="162" fillId="0" borderId="0" xfId="0" applyFont="1"/>
    <xf numFmtId="2" fontId="0" fillId="45"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0" fillId="46" borderId="14" xfId="0" applyNumberFormat="1" applyFill="1" applyBorder="1" applyAlignment="1">
      <alignment horizontal="left" vertical="top" wrapText="1"/>
    </xf>
    <xf numFmtId="2" fontId="0" fillId="47" borderId="14" xfId="0" applyNumberFormat="1" applyFill="1" applyBorder="1" applyAlignment="1">
      <alignment horizontal="left" vertical="top" wrapText="1"/>
    </xf>
    <xf numFmtId="2" fontId="35" fillId="47" borderId="14" xfId="0" applyNumberFormat="1" applyFont="1" applyFill="1" applyBorder="1" applyAlignment="1">
      <alignment horizontal="left" vertical="top" wrapText="1"/>
    </xf>
    <xf numFmtId="2" fontId="0" fillId="48" borderId="14" xfId="0" applyNumberFormat="1" applyFill="1" applyBorder="1" applyAlignment="1">
      <alignment horizontal="left" vertical="top" wrapText="1"/>
    </xf>
    <xf numFmtId="2" fontId="0" fillId="49" borderId="14" xfId="0" applyNumberFormat="1" applyFill="1" applyBorder="1" applyAlignment="1">
      <alignment horizontal="left" vertical="top" wrapText="1"/>
    </xf>
    <xf numFmtId="2" fontId="0" fillId="0" borderId="0" xfId="0" applyNumberFormat="1" applyAlignment="1">
      <alignment horizontal="left" vertical="top" wrapText="1"/>
    </xf>
    <xf numFmtId="14" fontId="0" fillId="0" borderId="14" xfId="0" applyNumberFormat="1" applyBorder="1" applyAlignment="1">
      <alignment wrapText="1"/>
    </xf>
    <xf numFmtId="2" fontId="0" fillId="0" borderId="14" xfId="0" applyNumberFormat="1" applyBorder="1" applyAlignment="1">
      <alignment wrapText="1"/>
    </xf>
    <xf numFmtId="191" fontId="0" fillId="0" borderId="14" xfId="0" applyNumberFormat="1" applyBorder="1" applyAlignment="1">
      <alignment wrapText="1"/>
    </xf>
    <xf numFmtId="2" fontId="0" fillId="7" borderId="14" xfId="0" applyNumberFormat="1" applyFill="1" applyBorder="1" applyAlignment="1">
      <alignment wrapText="1"/>
    </xf>
    <xf numFmtId="9" fontId="0" fillId="0" borderId="14" xfId="4" applyFont="1" applyFill="1" applyBorder="1" applyAlignment="1">
      <alignment wrapText="1"/>
    </xf>
    <xf numFmtId="192" fontId="0" fillId="0" borderId="14" xfId="0" applyNumberFormat="1" applyBorder="1" applyAlignment="1">
      <alignment wrapText="1"/>
    </xf>
    <xf numFmtId="4" fontId="0" fillId="0" borderId="14" xfId="0" applyNumberFormat="1" applyBorder="1" applyAlignment="1">
      <alignment wrapText="1"/>
    </xf>
    <xf numFmtId="173"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 fontId="0" fillId="0" borderId="14" xfId="0" applyNumberFormat="1" applyBorder="1" applyAlignment="1">
      <alignment wrapText="1"/>
    </xf>
    <xf numFmtId="10" fontId="0" fillId="0" borderId="14" xfId="4" applyNumberFormat="1" applyFont="1" applyFill="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173" fontId="35" fillId="0" borderId="14" xfId="0" applyNumberFormat="1" applyFont="1" applyBorder="1" applyAlignment="1">
      <alignment wrapText="1"/>
    </xf>
    <xf numFmtId="4" fontId="0" fillId="0" borderId="13" xfId="0" applyNumberFormat="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2" fontId="0" fillId="0" borderId="0" xfId="0" applyNumberFormat="1" applyAlignment="1">
      <alignment wrapText="1"/>
    </xf>
    <xf numFmtId="2" fontId="0" fillId="20" borderId="14" xfId="0" applyNumberFormat="1" applyFill="1" applyBorder="1" applyAlignment="1">
      <alignment horizontal="left" vertical="top" wrapText="1"/>
    </xf>
    <xf numFmtId="0" fontId="0" fillId="20" borderId="14" xfId="0" applyFill="1" applyBorder="1" applyAlignment="1">
      <alignment wrapText="1"/>
    </xf>
    <xf numFmtId="192" fontId="0" fillId="20" borderId="14" xfId="0" applyNumberFormat="1" applyFill="1" applyBorder="1" applyAlignment="1">
      <alignment wrapText="1"/>
    </xf>
    <xf numFmtId="4" fontId="0" fillId="20" borderId="14" xfId="0" applyNumberFormat="1" applyFill="1" applyBorder="1" applyAlignment="1">
      <alignment wrapText="1"/>
    </xf>
    <xf numFmtId="10" fontId="0" fillId="20" borderId="14" xfId="4" applyNumberFormat="1" applyFont="1" applyFill="1" applyBorder="1" applyAlignment="1">
      <alignment wrapText="1"/>
    </xf>
    <xf numFmtId="4" fontId="32" fillId="0" borderId="14" xfId="0" applyNumberFormat="1" applyFont="1" applyBorder="1" applyAlignment="1">
      <alignment wrapText="1"/>
    </xf>
    <xf numFmtId="4" fontId="35" fillId="0" borderId="14" xfId="0" applyNumberFormat="1" applyFont="1" applyBorder="1" applyAlignment="1">
      <alignment wrapText="1"/>
    </xf>
    <xf numFmtId="9" fontId="0" fillId="20" borderId="14" xfId="4" applyFont="1" applyFill="1" applyBorder="1" applyAlignment="1">
      <alignment wrapText="1"/>
    </xf>
    <xf numFmtId="2" fontId="35" fillId="20" borderId="14" xfId="0" applyNumberFormat="1" applyFont="1" applyFill="1" applyBorder="1" applyAlignment="1">
      <alignment horizontal="left" vertical="top" wrapText="1"/>
    </xf>
    <xf numFmtId="173" fontId="35" fillId="20" borderId="14" xfId="0" applyNumberFormat="1" applyFont="1" applyFill="1" applyBorder="1" applyAlignment="1">
      <alignment wrapText="1"/>
    </xf>
    <xf numFmtId="173" fontId="0" fillId="6" borderId="0" xfId="4" applyNumberFormat="1" applyFont="1" applyFill="1" applyBorder="1" applyAlignment="1">
      <alignment wrapText="1"/>
    </xf>
    <xf numFmtId="2" fontId="0" fillId="6" borderId="0" xfId="4" applyNumberFormat="1" applyFont="1" applyFill="1" applyBorder="1" applyAlignment="1">
      <alignment wrapText="1"/>
    </xf>
    <xf numFmtId="4" fontId="0" fillId="6" borderId="0" xfId="4" applyNumberFormat="1" applyFont="1" applyFill="1" applyBorder="1" applyAlignment="1">
      <alignment wrapText="1"/>
    </xf>
    <xf numFmtId="10" fontId="0" fillId="6" borderId="0" xfId="4" applyNumberFormat="1" applyFont="1" applyFill="1" applyBorder="1" applyAlignment="1">
      <alignment wrapText="1"/>
    </xf>
    <xf numFmtId="2" fontId="32" fillId="6" borderId="0" xfId="0" applyNumberFormat="1" applyFont="1" applyFill="1" applyAlignment="1">
      <alignment horizontal="left" vertical="top" wrapText="1"/>
    </xf>
    <xf numFmtId="2" fontId="0" fillId="6" borderId="0" xfId="0" applyNumberFormat="1" applyFill="1" applyAlignment="1">
      <alignment horizontal="left" vertical="top" wrapText="1"/>
    </xf>
    <xf numFmtId="2" fontId="35" fillId="6" borderId="0" xfId="0" applyNumberFormat="1" applyFont="1" applyFill="1" applyAlignment="1">
      <alignment horizontal="left" vertical="top" wrapText="1"/>
    </xf>
    <xf numFmtId="2" fontId="32" fillId="6" borderId="0" xfId="0" applyNumberFormat="1" applyFont="1" applyFill="1" applyAlignment="1">
      <alignment wrapText="1"/>
    </xf>
    <xf numFmtId="0" fontId="0" fillId="6" borderId="0" xfId="0" applyFill="1" applyAlignment="1">
      <alignment wrapText="1"/>
    </xf>
    <xf numFmtId="14" fontId="0" fillId="6" borderId="0" xfId="0" applyNumberFormat="1" applyFill="1" applyAlignment="1">
      <alignment wrapText="1"/>
    </xf>
    <xf numFmtId="2" fontId="0" fillId="6" borderId="0" xfId="0" applyNumberFormat="1" applyFill="1" applyAlignment="1">
      <alignment wrapText="1"/>
    </xf>
    <xf numFmtId="191" fontId="0" fillId="6" borderId="0" xfId="0" applyNumberFormat="1" applyFill="1" applyAlignment="1">
      <alignment wrapText="1"/>
    </xf>
    <xf numFmtId="9" fontId="0" fillId="6" borderId="0" xfId="4" applyFont="1" applyFill="1" applyBorder="1" applyAlignment="1">
      <alignment wrapText="1"/>
    </xf>
    <xf numFmtId="192" fontId="0" fillId="6" borderId="0" xfId="0" applyNumberFormat="1" applyFill="1" applyAlignment="1">
      <alignment wrapText="1"/>
    </xf>
    <xf numFmtId="4" fontId="0" fillId="6" borderId="0" xfId="0" applyNumberFormat="1" applyFill="1" applyAlignment="1">
      <alignment wrapText="1"/>
    </xf>
    <xf numFmtId="173" fontId="0" fillId="6" borderId="0" xfId="0" applyNumberFormat="1" applyFill="1" applyAlignment="1">
      <alignment wrapText="1"/>
    </xf>
    <xf numFmtId="1" fontId="0" fillId="6" borderId="0" xfId="0" applyNumberFormat="1" applyFill="1" applyAlignment="1">
      <alignment wrapText="1"/>
    </xf>
    <xf numFmtId="4" fontId="32" fillId="6" borderId="0" xfId="0" applyNumberFormat="1" applyFont="1" applyFill="1" applyAlignment="1">
      <alignment wrapText="1"/>
    </xf>
    <xf numFmtId="4" fontId="35" fillId="6" borderId="0" xfId="0" applyNumberFormat="1" applyFont="1" applyFill="1" applyAlignment="1">
      <alignment wrapText="1"/>
    </xf>
    <xf numFmtId="173" fontId="35" fillId="6" borderId="0" xfId="0" applyNumberFormat="1" applyFont="1" applyFill="1" applyAlignment="1">
      <alignment wrapText="1"/>
    </xf>
    <xf numFmtId="0" fontId="0" fillId="6" borderId="0" xfId="0" applyFill="1"/>
    <xf numFmtId="0" fontId="0" fillId="6" borderId="14" xfId="0" applyFill="1" applyBorder="1" applyAlignment="1">
      <alignment wrapText="1"/>
    </xf>
    <xf numFmtId="0" fontId="0" fillId="0" borderId="14" xfId="0" applyBorder="1" applyAlignment="1">
      <alignment wrapText="1"/>
    </xf>
    <xf numFmtId="14" fontId="37" fillId="11" borderId="0" xfId="0" applyNumberFormat="1" applyFont="1" applyFill="1" applyAlignment="1">
      <alignment horizontal="left" vertical="center"/>
    </xf>
    <xf numFmtId="14" fontId="37" fillId="32" borderId="0" xfId="0" applyNumberFormat="1" applyFont="1" applyFill="1" applyAlignment="1">
      <alignment horizontal="left" vertical="center"/>
    </xf>
    <xf numFmtId="0" fontId="62" fillId="0" borderId="14" xfId="0" applyFont="1" applyBorder="1" applyAlignment="1" applyProtection="1">
      <alignment vertical="center" wrapText="1"/>
      <protection hidden="1"/>
    </xf>
    <xf numFmtId="1" fontId="36" fillId="3" borderId="15" xfId="0" applyNumberFormat="1" applyFont="1" applyFill="1" applyBorder="1" applyAlignment="1" applyProtection="1">
      <alignment horizontal="center"/>
      <protection locked="0"/>
    </xf>
    <xf numFmtId="0" fontId="163" fillId="0" borderId="0" xfId="0" applyFont="1" applyAlignment="1">
      <alignment vertical="center" readingOrder="1"/>
    </xf>
    <xf numFmtId="0" fontId="31" fillId="0" borderId="0" xfId="0" applyFont="1" applyAlignment="1">
      <alignment vertical="top" readingOrder="1"/>
    </xf>
    <xf numFmtId="0" fontId="31" fillId="0" borderId="0" xfId="0" applyFont="1" applyAlignment="1">
      <alignment vertical="top" wrapText="1" readingOrder="1"/>
    </xf>
    <xf numFmtId="0" fontId="163" fillId="0" borderId="0" xfId="0" applyFont="1" applyAlignment="1">
      <alignment vertical="center" wrapText="1" readingOrder="1"/>
    </xf>
    <xf numFmtId="0" fontId="31" fillId="0" borderId="0" xfId="0" applyFont="1" applyAlignment="1">
      <alignment horizontal="left" vertical="center" readingOrder="1"/>
    </xf>
    <xf numFmtId="0" fontId="31" fillId="0" borderId="0" xfId="0" applyFont="1" applyAlignment="1">
      <alignment horizontal="left" vertical="top" readingOrder="1"/>
    </xf>
    <xf numFmtId="0" fontId="0" fillId="0" borderId="0" xfId="0" applyAlignment="1">
      <alignment vertical="top" readingOrder="1"/>
    </xf>
    <xf numFmtId="0" fontId="165" fillId="8" borderId="0" xfId="2" applyFont="1" applyFill="1" applyBorder="1" applyAlignment="1" applyProtection="1">
      <alignment vertical="center" textRotation="255" wrapText="1" readingOrder="1"/>
    </xf>
    <xf numFmtId="0" fontId="166" fillId="8" borderId="0" xfId="2" applyFont="1" applyFill="1" applyBorder="1" applyAlignment="1" applyProtection="1">
      <alignment vertical="center" textRotation="255" wrapText="1" readingOrder="1"/>
    </xf>
    <xf numFmtId="0" fontId="165" fillId="8" borderId="0" xfId="2" applyFont="1" applyFill="1" applyBorder="1" applyAlignment="1" applyProtection="1">
      <alignment horizontal="center" vertical="center" textRotation="255" readingOrder="1"/>
    </xf>
    <xf numFmtId="0" fontId="167" fillId="0" borderId="0" xfId="2" applyFont="1" applyFill="1" applyBorder="1" applyAlignment="1" applyProtection="1">
      <alignment horizontal="center" vertical="center" textRotation="255" readingOrder="1"/>
    </xf>
    <xf numFmtId="0" fontId="169" fillId="0" borderId="0" xfId="2" applyFont="1" applyFill="1" applyBorder="1" applyAlignment="1" applyProtection="1">
      <alignment vertical="center" readingOrder="1"/>
    </xf>
    <xf numFmtId="0" fontId="169" fillId="0" borderId="0" xfId="2" applyFont="1" applyFill="1" applyBorder="1" applyAlignment="1" applyProtection="1">
      <alignment vertical="center" textRotation="255" wrapText="1" readingOrder="1"/>
    </xf>
    <xf numFmtId="0" fontId="170" fillId="0" borderId="0" xfId="0" applyFont="1" applyAlignment="1">
      <alignment vertical="center" readingOrder="1"/>
    </xf>
    <xf numFmtId="0" fontId="167" fillId="0" borderId="0" xfId="2" applyFont="1" applyFill="1" applyBorder="1" applyAlignment="1" applyProtection="1">
      <alignment vertical="center" textRotation="255" wrapText="1" readingOrder="1"/>
    </xf>
    <xf numFmtId="0" fontId="33" fillId="0" borderId="0" xfId="0" applyFont="1" applyAlignment="1">
      <alignment vertical="center"/>
    </xf>
    <xf numFmtId="0" fontId="161" fillId="0" borderId="0" xfId="0" applyFont="1" applyAlignment="1">
      <alignment vertical="top" readingOrder="1"/>
    </xf>
    <xf numFmtId="0" fontId="171" fillId="0" borderId="0" xfId="0" applyFont="1" applyAlignment="1">
      <alignment vertical="center"/>
    </xf>
    <xf numFmtId="0" fontId="68" fillId="0" borderId="19" xfId="0" applyFont="1" applyBorder="1" applyAlignment="1">
      <alignment horizontal="left" vertical="top" wrapText="1"/>
    </xf>
    <xf numFmtId="0" fontId="68" fillId="0" borderId="19" xfId="0" applyFont="1" applyBorder="1" applyAlignment="1">
      <alignment vertical="top" wrapText="1"/>
    </xf>
    <xf numFmtId="7" fontId="42" fillId="6" borderId="14" xfId="3" applyNumberFormat="1" applyFont="1" applyFill="1" applyBorder="1" applyAlignment="1" applyProtection="1">
      <alignment horizontal="right" vertical="center"/>
      <protection hidden="1"/>
    </xf>
    <xf numFmtId="7" fontId="42" fillId="6" borderId="0" xfId="3" applyNumberFormat="1" applyFont="1" applyFill="1" applyBorder="1" applyAlignment="1" applyProtection="1">
      <alignment horizontal="right" vertical="center"/>
      <protection hidden="1"/>
    </xf>
    <xf numFmtId="0" fontId="41" fillId="25" borderId="0" xfId="0" applyFont="1" applyFill="1" applyAlignment="1" applyProtection="1">
      <alignment horizontal="center"/>
      <protection hidden="1"/>
    </xf>
    <xf numFmtId="0" fontId="0" fillId="0" borderId="0" xfId="0" applyProtection="1">
      <protection locked="0"/>
    </xf>
    <xf numFmtId="0" fontId="14" fillId="0" borderId="0" xfId="0" applyFont="1" applyProtection="1">
      <protection locked="0"/>
    </xf>
    <xf numFmtId="0" fontId="161" fillId="50" borderId="4" xfId="0" applyFont="1" applyFill="1" applyBorder="1" applyAlignment="1">
      <alignment vertical="center"/>
    </xf>
    <xf numFmtId="0" fontId="76" fillId="6" borderId="0" xfId="0" applyFont="1" applyFill="1"/>
    <xf numFmtId="0" fontId="122" fillId="6" borderId="0" xfId="0" applyFont="1" applyFill="1"/>
    <xf numFmtId="0" fontId="68" fillId="6" borderId="0" xfId="0" applyFont="1" applyFill="1"/>
    <xf numFmtId="0" fontId="31" fillId="6" borderId="0" xfId="0" applyFont="1" applyFill="1" applyProtection="1">
      <protection hidden="1"/>
    </xf>
    <xf numFmtId="0" fontId="37" fillId="6" borderId="0" xfId="0" applyFont="1" applyFill="1" applyAlignment="1" applyProtection="1">
      <alignment horizontal="center"/>
      <protection hidden="1"/>
    </xf>
    <xf numFmtId="0" fontId="31" fillId="0" borderId="0" xfId="0" applyFont="1" applyProtection="1">
      <protection hidden="1"/>
    </xf>
    <xf numFmtId="0" fontId="14" fillId="0" borderId="73" xfId="0" applyFont="1" applyBorder="1" applyProtection="1">
      <protection locked="0"/>
    </xf>
    <xf numFmtId="0" fontId="31" fillId="54" borderId="0" xfId="2" applyFont="1" applyFill="1" applyAlignment="1" applyProtection="1">
      <alignment horizontal="left" vertical="top" readingOrder="1"/>
    </xf>
    <xf numFmtId="0" fontId="31" fillId="51" borderId="0" xfId="2" applyFont="1" applyFill="1" applyAlignment="1" applyProtection="1">
      <alignment horizontal="left" vertical="top" readingOrder="1"/>
    </xf>
    <xf numFmtId="0" fontId="31" fillId="52" borderId="0" xfId="2" applyFont="1" applyFill="1" applyAlignment="1" applyProtection="1">
      <alignment horizontal="left" vertical="top" readingOrder="1"/>
    </xf>
    <xf numFmtId="0" fontId="31" fillId="23" borderId="0" xfId="2" applyFont="1" applyFill="1" applyAlignment="1" applyProtection="1">
      <alignment horizontal="left" vertical="top" readingOrder="1"/>
    </xf>
    <xf numFmtId="0" fontId="31" fillId="53" borderId="0" xfId="2" applyFont="1" applyFill="1" applyAlignment="1" applyProtection="1">
      <alignment horizontal="left" vertical="top" readingOrder="1"/>
    </xf>
    <xf numFmtId="0" fontId="31" fillId="48" borderId="0" xfId="2" applyFont="1" applyFill="1" applyAlignment="1" applyProtection="1">
      <alignment horizontal="left" vertical="top" readingOrder="1"/>
    </xf>
    <xf numFmtId="0" fontId="33" fillId="0" borderId="0" xfId="0" applyFont="1" applyAlignment="1">
      <alignment vertical="top" wrapText="1"/>
    </xf>
    <xf numFmtId="0" fontId="0" fillId="0" borderId="0" xfId="0" applyAlignment="1">
      <alignment vertical="top" wrapText="1"/>
    </xf>
    <xf numFmtId="0" fontId="31" fillId="0" borderId="0" xfId="0" applyFont="1" applyAlignment="1">
      <alignment vertical="top" wrapText="1" readingOrder="1"/>
    </xf>
    <xf numFmtId="0" fontId="0" fillId="0" borderId="0" xfId="0" applyAlignment="1">
      <alignment vertical="top" wrapText="1" readingOrder="1"/>
    </xf>
    <xf numFmtId="0" fontId="33" fillId="0" borderId="0" xfId="0" applyFont="1" applyAlignment="1">
      <alignment vertical="top" readingOrder="1"/>
    </xf>
    <xf numFmtId="0" fontId="164" fillId="0" borderId="0" xfId="0" applyFont="1" applyAlignment="1">
      <alignment vertical="top" readingOrder="1"/>
    </xf>
    <xf numFmtId="0" fontId="31" fillId="0" borderId="0" xfId="2" applyFont="1" applyAlignment="1" applyProtection="1">
      <alignment horizontal="left" vertical="top" readingOrder="1"/>
    </xf>
    <xf numFmtId="0" fontId="31" fillId="0" borderId="0" xfId="0" applyFont="1" applyAlignment="1">
      <alignment vertical="top" readingOrder="1"/>
    </xf>
    <xf numFmtId="0" fontId="0" fillId="0" borderId="0" xfId="0" applyAlignment="1">
      <alignment vertical="top" readingOrder="1"/>
    </xf>
    <xf numFmtId="0" fontId="0" fillId="51" borderId="0" xfId="0" applyFill="1" applyAlignment="1">
      <alignment vertical="top" wrapText="1" readingOrder="1"/>
    </xf>
    <xf numFmtId="0" fontId="0" fillId="52" borderId="0" xfId="0" applyFill="1" applyAlignment="1">
      <alignment vertical="top" wrapText="1" readingOrder="1"/>
    </xf>
    <xf numFmtId="0" fontId="31" fillId="25" borderId="0" xfId="2" applyFont="1" applyFill="1" applyAlignment="1" applyProtection="1">
      <alignment horizontal="left" vertical="top" readingOrder="1"/>
    </xf>
    <xf numFmtId="0" fontId="33" fillId="0" borderId="0" xfId="0" applyFont="1" applyAlignment="1">
      <alignment vertical="top" wrapText="1" readingOrder="1"/>
    </xf>
    <xf numFmtId="0" fontId="164" fillId="0" borderId="0" xfId="0" applyFont="1" applyAlignment="1">
      <alignment vertical="top" wrapText="1" readingOrder="1"/>
    </xf>
    <xf numFmtId="0" fontId="165" fillId="8" borderId="0" xfId="2" applyFont="1" applyFill="1" applyBorder="1" applyAlignment="1" applyProtection="1">
      <alignment horizontal="center" vertical="center" textRotation="255" readingOrder="1"/>
    </xf>
    <xf numFmtId="0" fontId="161" fillId="52" borderId="0" xfId="0" applyFont="1" applyFill="1" applyAlignment="1">
      <alignment vertical="top" wrapText="1" readingOrder="1"/>
    </xf>
    <xf numFmtId="0" fontId="165" fillId="8" borderId="0" xfId="2" applyFont="1" applyFill="1" applyBorder="1" applyAlignment="1" applyProtection="1">
      <alignment vertical="center" textRotation="255" wrapText="1" readingOrder="1"/>
    </xf>
    <xf numFmtId="0" fontId="161" fillId="54" borderId="0" xfId="0" applyFont="1" applyFill="1" applyAlignment="1">
      <alignment vertical="center" wrapText="1"/>
    </xf>
    <xf numFmtId="0" fontId="0" fillId="0" borderId="0" xfId="0"/>
    <xf numFmtId="0" fontId="0" fillId="0" borderId="0" xfId="0" applyAlignment="1">
      <alignment vertical="center" wrapText="1"/>
    </xf>
    <xf numFmtId="0" fontId="161" fillId="23" borderId="0" xfId="0" applyFont="1" applyFill="1" applyAlignment="1">
      <alignment vertical="top" wrapText="1" readingOrder="1"/>
    </xf>
    <xf numFmtId="0" fontId="0" fillId="23" borderId="0" xfId="0" applyFill="1" applyAlignment="1">
      <alignment vertical="top" wrapText="1" readingOrder="1"/>
    </xf>
    <xf numFmtId="0" fontId="165" fillId="8" borderId="0" xfId="2" applyFont="1" applyFill="1" applyBorder="1" applyAlignment="1" applyProtection="1">
      <alignment vertical="center" readingOrder="1"/>
    </xf>
    <xf numFmtId="0" fontId="161" fillId="25" borderId="0" xfId="0" applyFont="1" applyFill="1" applyAlignment="1">
      <alignment vertical="top" wrapText="1" readingOrder="1"/>
    </xf>
    <xf numFmtId="0" fontId="161" fillId="0" borderId="0" xfId="0" applyFont="1" applyAlignment="1">
      <alignment vertical="top" wrapText="1" readingOrder="1"/>
    </xf>
    <xf numFmtId="0" fontId="161" fillId="53" borderId="0" xfId="0" applyFont="1" applyFill="1" applyAlignment="1">
      <alignment vertical="top" wrapText="1" readingOrder="1"/>
    </xf>
    <xf numFmtId="0" fontId="0" fillId="53" borderId="0" xfId="0" applyFill="1" applyAlignment="1">
      <alignment vertical="top" wrapText="1" readingOrder="1"/>
    </xf>
    <xf numFmtId="0" fontId="161" fillId="48" borderId="0" xfId="0" applyFont="1" applyFill="1" applyAlignment="1">
      <alignment vertical="top" wrapText="1" readingOrder="1"/>
    </xf>
    <xf numFmtId="0" fontId="0" fillId="48" borderId="0" xfId="0" applyFill="1" applyAlignment="1">
      <alignment vertical="top" wrapText="1" readingOrder="1"/>
    </xf>
    <xf numFmtId="0" fontId="161" fillId="54" borderId="0" xfId="0" applyFont="1" applyFill="1" applyAlignment="1">
      <alignment vertical="top" wrapText="1" readingOrder="1"/>
    </xf>
    <xf numFmtId="0" fontId="0" fillId="54" borderId="0" xfId="0" applyFill="1" applyAlignment="1">
      <alignment vertical="top" wrapText="1" readingOrder="1"/>
    </xf>
    <xf numFmtId="0" fontId="118" fillId="31" borderId="0" xfId="21" applyFont="1" applyFill="1" applyAlignment="1">
      <alignment horizontal="center" vertical="center" wrapText="1"/>
    </xf>
    <xf numFmtId="0" fontId="2" fillId="0" borderId="23" xfId="0" applyFont="1" applyBorder="1" applyAlignment="1">
      <alignment horizontal="center" vertical="top" wrapText="1"/>
    </xf>
    <xf numFmtId="0" fontId="2" fillId="0" borderId="19" xfId="0" applyFont="1" applyBorder="1" applyAlignment="1">
      <alignment horizontal="center" vertical="top" wrapText="1"/>
    </xf>
    <xf numFmtId="0" fontId="2" fillId="0" borderId="24" xfId="0" applyFont="1" applyBorder="1" applyAlignment="1">
      <alignment horizontal="center" vertical="top" wrapText="1"/>
    </xf>
    <xf numFmtId="0" fontId="144" fillId="25" borderId="56" xfId="0" applyFont="1" applyFill="1" applyBorder="1" applyAlignment="1">
      <alignment horizontal="center" wrapText="1"/>
    </xf>
    <xf numFmtId="0" fontId="144" fillId="25" borderId="40" xfId="0" applyFont="1" applyFill="1" applyBorder="1" applyAlignment="1">
      <alignment horizontal="center" wrapText="1"/>
    </xf>
    <xf numFmtId="0" fontId="151" fillId="25" borderId="49" xfId="0" applyFont="1" applyFill="1" applyBorder="1" applyAlignment="1">
      <alignment horizontal="center" wrapText="1"/>
    </xf>
    <xf numFmtId="0" fontId="151" fillId="25" borderId="44" xfId="0" applyFont="1" applyFill="1" applyBorder="1" applyAlignment="1">
      <alignment horizontal="center" wrapText="1"/>
    </xf>
    <xf numFmtId="0" fontId="0" fillId="43" borderId="14" xfId="0" applyFill="1" applyBorder="1" applyAlignment="1">
      <alignment horizontal="center"/>
    </xf>
    <xf numFmtId="0" fontId="0" fillId="43" borderId="45" xfId="0" applyFill="1" applyBorder="1" applyAlignment="1">
      <alignment horizontal="center"/>
    </xf>
    <xf numFmtId="0" fontId="44" fillId="5" borderId="9" xfId="2" applyFill="1" applyBorder="1" applyAlignment="1" applyProtection="1">
      <alignment horizontal="center" wrapText="1"/>
      <protection locked="0"/>
    </xf>
    <xf numFmtId="0" fontId="44" fillId="0" borderId="10" xfId="2" applyBorder="1" applyAlignment="1" applyProtection="1">
      <protection locked="0"/>
    </xf>
    <xf numFmtId="0" fontId="44" fillId="0" borderId="11" xfId="2" applyBorder="1" applyAlignment="1" applyProtection="1">
      <protection locked="0"/>
    </xf>
    <xf numFmtId="49" fontId="44" fillId="4" borderId="7" xfId="2"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49" fontId="44" fillId="4" borderId="7" xfId="2" applyNumberFormat="1" applyFill="1" applyBorder="1" applyAlignment="1" applyProtection="1">
      <protection locked="0"/>
    </xf>
    <xf numFmtId="49" fontId="0" fillId="0" borderId="7" xfId="0" applyNumberFormat="1" applyBorder="1" applyProtection="1">
      <protection locked="0"/>
    </xf>
    <xf numFmtId="0" fontId="42" fillId="4" borderId="7" xfId="0" applyFont="1" applyFill="1" applyBorder="1" applyProtection="1">
      <protection locked="0"/>
    </xf>
    <xf numFmtId="0" fontId="42" fillId="4" borderId="7" xfId="0" applyFont="1" applyFill="1" applyBorder="1" applyAlignment="1" applyProtection="1">
      <alignment vertical="top"/>
      <protection locked="0"/>
    </xf>
    <xf numFmtId="0" fontId="30" fillId="0" borderId="0" xfId="0" applyFont="1" applyAlignment="1" applyProtection="1">
      <alignment horizontal="center"/>
      <protection hidden="1"/>
    </xf>
    <xf numFmtId="49" fontId="42" fillId="4" borderId="7" xfId="0" applyNumberFormat="1" applyFont="1" applyFill="1" applyBorder="1" applyAlignment="1" applyProtection="1">
      <alignment horizontal="left"/>
      <protection locked="0"/>
    </xf>
    <xf numFmtId="49" fontId="42" fillId="4" borderId="7" xfId="0" applyNumberFormat="1" applyFont="1" applyFill="1" applyBorder="1" applyProtection="1">
      <protection locked="0"/>
    </xf>
    <xf numFmtId="0" fontId="19" fillId="0" borderId="0" xfId="0" applyFont="1" applyAlignment="1" applyProtection="1">
      <alignment horizontal="center"/>
      <protection hidden="1"/>
    </xf>
    <xf numFmtId="0" fontId="9" fillId="22" borderId="7" xfId="0" applyFont="1" applyFill="1" applyBorder="1" applyProtection="1">
      <protection locked="0"/>
    </xf>
    <xf numFmtId="0" fontId="14" fillId="22" borderId="7" xfId="0" applyFont="1" applyFill="1" applyBorder="1" applyProtection="1">
      <protection locked="0"/>
    </xf>
    <xf numFmtId="0" fontId="34" fillId="2" borderId="1" xfId="0" applyFont="1" applyFill="1" applyBorder="1" applyAlignment="1" applyProtection="1">
      <alignment horizontal="center"/>
      <protection hidden="1"/>
    </xf>
    <xf numFmtId="0" fontId="34" fillId="2" borderId="2" xfId="0" applyFont="1" applyFill="1" applyBorder="1" applyAlignment="1" applyProtection="1">
      <alignment horizontal="center"/>
      <protection hidden="1"/>
    </xf>
    <xf numFmtId="0" fontId="34" fillId="2" borderId="3" xfId="0" applyFont="1" applyFill="1" applyBorder="1" applyAlignment="1" applyProtection="1">
      <alignment horizontal="center"/>
      <protection hidden="1"/>
    </xf>
    <xf numFmtId="0" fontId="34" fillId="2" borderId="4" xfId="0" applyFont="1" applyFill="1" applyBorder="1" applyAlignment="1" applyProtection="1">
      <alignment horizontal="center"/>
      <protection hidden="1"/>
    </xf>
    <xf numFmtId="0" fontId="34" fillId="2" borderId="0" xfId="0" applyFont="1" applyFill="1" applyAlignment="1" applyProtection="1">
      <alignment horizontal="center"/>
      <protection hidden="1"/>
    </xf>
    <xf numFmtId="0" fontId="34" fillId="2" borderId="5" xfId="0" applyFont="1" applyFill="1" applyBorder="1" applyAlignment="1" applyProtection="1">
      <alignment horizontal="center"/>
      <protection hidden="1"/>
    </xf>
    <xf numFmtId="0" fontId="30" fillId="0" borderId="9" xfId="0" applyFont="1" applyBorder="1" applyAlignment="1" applyProtection="1">
      <alignment horizontal="center"/>
      <protection hidden="1"/>
    </xf>
    <xf numFmtId="0" fontId="30" fillId="0" borderId="10" xfId="0" applyFont="1" applyBorder="1" applyAlignment="1" applyProtection="1">
      <alignment horizontal="center"/>
      <protection hidden="1"/>
    </xf>
    <xf numFmtId="0" fontId="30" fillId="0" borderId="11" xfId="0" applyFont="1" applyBorder="1" applyAlignment="1" applyProtection="1">
      <alignment horizontal="center"/>
      <protection hidden="1"/>
    </xf>
    <xf numFmtId="0" fontId="28" fillId="3" borderId="12" xfId="0" applyFont="1" applyFill="1" applyBorder="1" applyAlignment="1" applyProtection="1">
      <alignment horizontal="center"/>
      <protection locked="0"/>
    </xf>
    <xf numFmtId="0" fontId="28" fillId="3" borderId="13" xfId="0" applyFont="1" applyFill="1" applyBorder="1" applyAlignment="1" applyProtection="1">
      <alignment horizontal="center"/>
      <protection locked="0"/>
    </xf>
    <xf numFmtId="14" fontId="35" fillId="3" borderId="14" xfId="0" applyNumberFormat="1" applyFont="1" applyFill="1" applyBorder="1" applyAlignment="1" applyProtection="1">
      <alignment horizontal="center"/>
      <protection locked="0"/>
    </xf>
    <xf numFmtId="0" fontId="41" fillId="29" borderId="2" xfId="0" applyFont="1" applyFill="1" applyBorder="1" applyProtection="1">
      <protection hidden="1"/>
    </xf>
    <xf numFmtId="0" fontId="0" fillId="29" borderId="2" xfId="0" applyFill="1" applyBorder="1" applyProtection="1">
      <protection hidden="1"/>
    </xf>
    <xf numFmtId="14" fontId="119" fillId="0" borderId="1" xfId="0" applyNumberFormat="1" applyFont="1" applyBorder="1" applyAlignment="1" applyProtection="1">
      <alignment horizontal="left"/>
      <protection hidden="1"/>
    </xf>
    <xf numFmtId="14" fontId="119" fillId="0" borderId="2" xfId="0" applyNumberFormat="1" applyFont="1" applyBorder="1" applyAlignment="1" applyProtection="1">
      <alignment horizontal="left"/>
      <protection hidden="1"/>
    </xf>
    <xf numFmtId="49" fontId="5" fillId="3" borderId="7" xfId="0" applyNumberFormat="1" applyFont="1" applyFill="1" applyBorder="1" applyAlignment="1" applyProtection="1">
      <alignment vertical="center"/>
      <protection locked="0"/>
    </xf>
    <xf numFmtId="0" fontId="5" fillId="3" borderId="7" xfId="0" applyFont="1" applyFill="1" applyBorder="1" applyAlignment="1" applyProtection="1">
      <alignment vertical="center"/>
      <protection locked="0"/>
    </xf>
    <xf numFmtId="0" fontId="42" fillId="4" borderId="7" xfId="0" applyFont="1" applyFill="1" applyBorder="1" applyAlignment="1" applyProtection="1">
      <alignment horizontal="left"/>
      <protection locked="0"/>
    </xf>
    <xf numFmtId="0" fontId="35" fillId="2" borderId="4" xfId="0" applyFont="1" applyFill="1" applyBorder="1" applyAlignment="1" applyProtection="1">
      <alignment horizontal="center"/>
      <protection hidden="1"/>
    </xf>
    <xf numFmtId="0" fontId="35" fillId="2" borderId="0" xfId="0" applyFont="1" applyFill="1" applyAlignment="1" applyProtection="1">
      <alignment horizontal="center"/>
      <protection hidden="1"/>
    </xf>
    <xf numFmtId="0" fontId="35" fillId="2" borderId="5" xfId="0" applyFont="1" applyFill="1" applyBorder="1" applyAlignment="1" applyProtection="1">
      <alignment horizontal="center"/>
      <protection hidden="1"/>
    </xf>
    <xf numFmtId="0" fontId="35" fillId="2" borderId="6" xfId="0" applyFont="1" applyFill="1" applyBorder="1" applyAlignment="1" applyProtection="1">
      <alignment horizontal="center"/>
      <protection hidden="1"/>
    </xf>
    <xf numFmtId="0" fontId="35" fillId="2" borderId="7" xfId="0" applyFont="1" applyFill="1" applyBorder="1" applyAlignment="1" applyProtection="1">
      <alignment horizontal="center"/>
      <protection hidden="1"/>
    </xf>
    <xf numFmtId="0" fontId="35" fillId="2" borderId="8" xfId="0" applyFont="1" applyFill="1" applyBorder="1" applyAlignment="1" applyProtection="1">
      <alignment horizontal="center"/>
      <protection hidden="1"/>
    </xf>
    <xf numFmtId="0" fontId="30" fillId="0" borderId="0" xfId="0" applyFont="1" applyAlignment="1" applyProtection="1">
      <alignment horizontal="left"/>
      <protection hidden="1"/>
    </xf>
    <xf numFmtId="0" fontId="0" fillId="0" borderId="0" xfId="0" applyAlignment="1" applyProtection="1">
      <alignment horizontal="left"/>
      <protection hidden="1"/>
    </xf>
    <xf numFmtId="0" fontId="30" fillId="0" borderId="0" xfId="0" applyFont="1" applyAlignment="1" applyProtection="1">
      <alignment horizontal="center" vertical="center" wrapText="1"/>
      <protection hidden="1"/>
    </xf>
    <xf numFmtId="0" fontId="41" fillId="25" borderId="0" xfId="0" applyFont="1" applyFill="1" applyAlignment="1" applyProtection="1">
      <alignment horizontal="left" vertical="top" wrapText="1"/>
      <protection hidden="1"/>
    </xf>
    <xf numFmtId="0" fontId="36" fillId="33" borderId="59" xfId="0" applyFont="1" applyFill="1" applyBorder="1" applyAlignment="1">
      <alignment horizontal="center"/>
    </xf>
    <xf numFmtId="0" fontId="36" fillId="33" borderId="60" xfId="0" applyFont="1" applyFill="1" applyBorder="1" applyAlignment="1">
      <alignment horizontal="center"/>
    </xf>
    <xf numFmtId="186" fontId="36" fillId="11" borderId="12" xfId="0" applyNumberFormat="1" applyFont="1" applyFill="1" applyBorder="1" applyAlignment="1">
      <alignment horizontal="center"/>
    </xf>
    <xf numFmtId="186" fontId="36" fillId="11" borderId="18" xfId="0" applyNumberFormat="1" applyFont="1" applyFill="1" applyBorder="1" applyAlignment="1">
      <alignment horizontal="center"/>
    </xf>
    <xf numFmtId="186" fontId="36" fillId="11" borderId="13" xfId="0" applyNumberFormat="1" applyFont="1" applyFill="1" applyBorder="1" applyAlignment="1">
      <alignment horizontal="center"/>
    </xf>
    <xf numFmtId="186" fontId="36" fillId="25" borderId="12" xfId="0" applyNumberFormat="1" applyFont="1" applyFill="1" applyBorder="1" applyAlignment="1">
      <alignment horizontal="center"/>
    </xf>
    <xf numFmtId="186" fontId="36" fillId="25" borderId="18" xfId="0" applyNumberFormat="1" applyFont="1" applyFill="1" applyBorder="1" applyAlignment="1">
      <alignment horizontal="center"/>
    </xf>
    <xf numFmtId="186" fontId="36" fillId="25" borderId="13" xfId="0" applyNumberFormat="1" applyFont="1" applyFill="1" applyBorder="1" applyAlignment="1">
      <alignment horizontal="center"/>
    </xf>
    <xf numFmtId="186" fontId="36" fillId="42" borderId="12" xfId="0" applyNumberFormat="1" applyFont="1" applyFill="1" applyBorder="1" applyAlignment="1">
      <alignment horizontal="center"/>
    </xf>
    <xf numFmtId="186" fontId="36" fillId="42" borderId="18" xfId="0" applyNumberFormat="1" applyFont="1" applyFill="1" applyBorder="1" applyAlignment="1">
      <alignment horizontal="center"/>
    </xf>
    <xf numFmtId="186" fontId="36" fillId="42" borderId="13" xfId="0" applyNumberFormat="1" applyFont="1" applyFill="1" applyBorder="1" applyAlignment="1">
      <alignment horizontal="center"/>
    </xf>
    <xf numFmtId="0" fontId="145" fillId="40" borderId="0" xfId="0" applyFont="1" applyFill="1" applyAlignment="1">
      <alignment horizontal="center" wrapText="1"/>
    </xf>
    <xf numFmtId="0" fontId="146" fillId="0" borderId="7" xfId="0" applyFont="1" applyBorder="1" applyAlignment="1">
      <alignment horizontal="center"/>
    </xf>
    <xf numFmtId="0" fontId="131" fillId="25" borderId="0" xfId="0" applyFont="1" applyFill="1" applyAlignment="1">
      <alignment horizontal="center" vertical="center" wrapText="1"/>
    </xf>
    <xf numFmtId="0" fontId="49" fillId="11" borderId="12" xfId="0" applyFont="1" applyFill="1" applyBorder="1" applyAlignment="1">
      <alignment horizontal="center" vertical="center" wrapText="1"/>
    </xf>
    <xf numFmtId="0" fontId="49" fillId="11" borderId="89" xfId="0" applyFont="1" applyFill="1" applyBorder="1" applyAlignment="1">
      <alignment horizontal="center" vertical="center" wrapText="1"/>
    </xf>
    <xf numFmtId="0" fontId="37" fillId="11" borderId="86" xfId="0" applyFont="1" applyFill="1" applyBorder="1" applyAlignment="1">
      <alignment horizontal="center" vertical="center" wrapText="1"/>
    </xf>
    <xf numFmtId="0" fontId="37" fillId="11" borderId="88" xfId="0" applyFont="1" applyFill="1" applyBorder="1" applyAlignment="1">
      <alignment horizontal="center" vertical="center" wrapText="1"/>
    </xf>
    <xf numFmtId="0" fontId="0" fillId="0" borderId="92" xfId="0" applyBorder="1" applyAlignment="1">
      <alignment horizontal="center" vertical="center" wrapText="1"/>
    </xf>
    <xf numFmtId="0" fontId="132" fillId="19" borderId="0" xfId="0" applyFont="1" applyFill="1" applyAlignment="1">
      <alignment horizontal="center" vertical="center" wrapText="1"/>
    </xf>
    <xf numFmtId="0" fontId="37" fillId="11" borderId="77" xfId="0" applyFont="1" applyFill="1" applyBorder="1" applyAlignment="1">
      <alignment horizontal="center" vertical="center" wrapText="1"/>
    </xf>
    <xf numFmtId="0" fontId="37" fillId="11" borderId="19" xfId="0" applyFont="1" applyFill="1" applyBorder="1" applyAlignment="1">
      <alignment horizontal="center" vertical="center" wrapText="1"/>
    </xf>
    <xf numFmtId="0" fontId="37" fillId="11" borderId="75" xfId="0" applyFont="1" applyFill="1" applyBorder="1" applyAlignment="1">
      <alignment horizontal="center" vertical="center" wrapText="1"/>
    </xf>
    <xf numFmtId="0" fontId="37" fillId="24" borderId="3" xfId="0" applyFont="1" applyFill="1" applyBorder="1" applyAlignment="1">
      <alignment horizontal="center" vertical="top" wrapText="1"/>
    </xf>
    <xf numFmtId="0" fontId="37" fillId="24" borderId="93" xfId="0" applyFont="1" applyFill="1" applyBorder="1" applyAlignment="1">
      <alignment horizontal="center" vertical="top" wrapText="1"/>
    </xf>
    <xf numFmtId="0" fontId="37" fillId="24" borderId="12" xfId="0" applyFont="1" applyFill="1" applyBorder="1" applyAlignment="1">
      <alignment horizontal="center" vertical="top" wrapText="1"/>
    </xf>
    <xf numFmtId="0" fontId="37" fillId="24" borderId="13" xfId="0" applyFont="1" applyFill="1" applyBorder="1" applyAlignment="1">
      <alignment horizontal="center" vertical="top" wrapText="1"/>
    </xf>
    <xf numFmtId="0" fontId="36" fillId="0" borderId="9" xfId="0" applyFont="1" applyBorder="1" applyAlignment="1">
      <alignment horizontal="left" wrapText="1"/>
    </xf>
    <xf numFmtId="0" fontId="36" fillId="0" borderId="11" xfId="0" applyFont="1" applyBorder="1" applyAlignment="1">
      <alignment horizontal="left" wrapText="1"/>
    </xf>
    <xf numFmtId="0" fontId="36" fillId="0" borderId="0" xfId="0" applyFont="1" applyAlignment="1">
      <alignment horizontal="center" wrapText="1"/>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9" xfId="0" applyFont="1" applyBorder="1" applyAlignment="1">
      <alignment wrapText="1"/>
    </xf>
    <xf numFmtId="0" fontId="0" fillId="0" borderId="11" xfId="0" applyBorder="1" applyAlignment="1">
      <alignment wrapText="1"/>
    </xf>
    <xf numFmtId="2" fontId="36" fillId="7" borderId="94" xfId="0" applyNumberFormat="1" applyFont="1" applyFill="1" applyBorder="1" applyAlignment="1">
      <alignment horizontal="left" vertical="center" wrapText="1"/>
    </xf>
    <xf numFmtId="0" fontId="0" fillId="0" borderId="18" xfId="0" applyBorder="1" applyAlignment="1">
      <alignment vertical="center" wrapText="1"/>
    </xf>
    <xf numFmtId="0" fontId="0" fillId="0" borderId="13" xfId="0" applyBorder="1" applyAlignment="1">
      <alignment vertical="center" wrapText="1"/>
    </xf>
    <xf numFmtId="2" fontId="36" fillId="20" borderId="94" xfId="0" applyNumberFormat="1" applyFont="1" applyFill="1" applyBorder="1" applyAlignment="1">
      <alignment horizontal="left" vertical="center" wrapText="1"/>
    </xf>
    <xf numFmtId="0" fontId="109" fillId="25" borderId="0" xfId="0" applyFont="1" applyFill="1" applyAlignment="1">
      <alignment horizontal="left" vertical="center" wrapText="1"/>
    </xf>
    <xf numFmtId="0" fontId="0" fillId="0" borderId="0" xfId="0" applyAlignment="1">
      <alignment wrapText="1"/>
    </xf>
    <xf numFmtId="0" fontId="0" fillId="0" borderId="5" xfId="0" applyBorder="1" applyAlignment="1">
      <alignment wrapText="1"/>
    </xf>
    <xf numFmtId="49" fontId="36" fillId="23" borderId="12" xfId="0" applyNumberFormat="1" applyFont="1" applyFill="1" applyBorder="1" applyAlignment="1" applyProtection="1">
      <alignment horizontal="left" vertical="center"/>
      <protection locked="0"/>
    </xf>
    <xf numFmtId="49" fontId="36" fillId="23" borderId="18" xfId="0" applyNumberFormat="1" applyFont="1" applyFill="1" applyBorder="1" applyAlignment="1" applyProtection="1">
      <alignment horizontal="left" vertical="center"/>
      <protection locked="0"/>
    </xf>
    <xf numFmtId="49" fontId="36" fillId="23" borderId="13" xfId="0" applyNumberFormat="1" applyFont="1" applyFill="1" applyBorder="1" applyAlignment="1" applyProtection="1">
      <alignment horizontal="left" vertical="center"/>
      <protection locked="0"/>
    </xf>
    <xf numFmtId="0" fontId="36" fillId="15" borderId="12" xfId="0" applyFont="1" applyFill="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36" fillId="0" borderId="60" xfId="0" applyFont="1" applyBorder="1" applyAlignment="1">
      <alignment horizontal="center"/>
    </xf>
    <xf numFmtId="0" fontId="36" fillId="0" borderId="61" xfId="0" applyFont="1" applyBorder="1" applyAlignment="1">
      <alignment horizontal="center"/>
    </xf>
    <xf numFmtId="0" fontId="37" fillId="7" borderId="9" xfId="6" applyFont="1" applyFill="1" applyBorder="1" applyAlignment="1" applyProtection="1">
      <alignment horizontal="left" vertical="center"/>
    </xf>
    <xf numFmtId="0" fontId="37"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37" fillId="33" borderId="86" xfId="0" applyFont="1" applyFill="1" applyBorder="1" applyAlignment="1">
      <alignment horizontal="center" vertical="center" wrapText="1"/>
    </xf>
    <xf numFmtId="0" fontId="37" fillId="33" borderId="88" xfId="0" applyFont="1" applyFill="1" applyBorder="1" applyAlignment="1">
      <alignment horizontal="center" vertical="center" wrapText="1"/>
    </xf>
    <xf numFmtId="0" fontId="0" fillId="33" borderId="92" xfId="0" applyFill="1" applyBorder="1" applyAlignment="1">
      <alignment horizontal="center" vertical="center" wrapText="1"/>
    </xf>
    <xf numFmtId="0" fontId="79" fillId="11" borderId="12" xfId="0" applyFont="1" applyFill="1" applyBorder="1" applyAlignment="1">
      <alignment horizontal="center" vertical="center" wrapText="1"/>
    </xf>
    <xf numFmtId="0" fontId="79" fillId="11" borderId="18" xfId="0" applyFont="1" applyFill="1" applyBorder="1" applyAlignment="1">
      <alignment horizontal="center" vertical="center" wrapText="1"/>
    </xf>
    <xf numFmtId="0" fontId="79" fillId="11" borderId="13" xfId="0" applyFont="1" applyFill="1" applyBorder="1" applyAlignment="1">
      <alignment horizontal="center" vertical="center" wrapText="1"/>
    </xf>
    <xf numFmtId="0" fontId="37" fillId="32" borderId="0" xfId="0" applyFont="1" applyFill="1" applyAlignment="1">
      <alignment horizontal="left" vertical="center"/>
    </xf>
    <xf numFmtId="0" fontId="129" fillId="20" borderId="56" xfId="0" applyFont="1" applyFill="1" applyBorder="1" applyAlignment="1">
      <alignment horizontal="center" vertical="center" wrapText="1"/>
    </xf>
    <xf numFmtId="0" fontId="129" fillId="20" borderId="55" xfId="0" applyFont="1" applyFill="1" applyBorder="1" applyAlignment="1">
      <alignment horizontal="center" vertical="center" wrapText="1"/>
    </xf>
    <xf numFmtId="0" fontId="129" fillId="20" borderId="57" xfId="0" applyFont="1" applyFill="1" applyBorder="1" applyAlignment="1">
      <alignment horizontal="center" vertical="center" wrapText="1"/>
    </xf>
    <xf numFmtId="0" fontId="34" fillId="7" borderId="59" xfId="6" applyFont="1" applyFill="1" applyBorder="1" applyAlignment="1" applyProtection="1">
      <alignment horizontal="left" vertical="center"/>
    </xf>
    <xf numFmtId="0" fontId="34" fillId="7" borderId="60" xfId="6" applyFont="1" applyFill="1" applyBorder="1" applyAlignment="1" applyProtection="1">
      <alignment horizontal="left" vertical="center"/>
    </xf>
    <xf numFmtId="0" fontId="31" fillId="0" borderId="60" xfId="0" applyFont="1" applyBorder="1" applyAlignment="1">
      <alignment horizontal="left" vertical="center"/>
    </xf>
    <xf numFmtId="0" fontId="31" fillId="0" borderId="61" xfId="0" applyFont="1" applyBorder="1" applyAlignment="1">
      <alignment horizontal="left" vertical="center"/>
    </xf>
    <xf numFmtId="0" fontId="36" fillId="11" borderId="77"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7" fillId="11" borderId="71" xfId="0" applyFont="1" applyFill="1" applyBorder="1" applyAlignment="1">
      <alignment horizontal="center" vertical="center" wrapText="1"/>
    </xf>
    <xf numFmtId="0" fontId="37" fillId="11" borderId="64" xfId="0" applyFont="1" applyFill="1" applyBorder="1" applyAlignment="1">
      <alignment horizontal="center" vertical="center" wrapText="1"/>
    </xf>
    <xf numFmtId="0" fontId="37" fillId="11" borderId="87" xfId="0" applyFont="1" applyFill="1" applyBorder="1" applyAlignment="1">
      <alignment horizontal="center" vertical="center" wrapText="1"/>
    </xf>
    <xf numFmtId="0" fontId="37" fillId="11" borderId="91" xfId="0" applyFont="1" applyFill="1" applyBorder="1" applyAlignment="1">
      <alignment horizontal="center" vertical="center" wrapText="1"/>
    </xf>
    <xf numFmtId="0" fontId="37" fillId="11" borderId="74" xfId="0" applyFont="1" applyFill="1" applyBorder="1" applyAlignment="1">
      <alignment horizontal="center" vertical="center" wrapText="1"/>
    </xf>
    <xf numFmtId="0" fontId="37" fillId="24" borderId="1" xfId="0" applyFont="1" applyFill="1" applyBorder="1" applyAlignment="1">
      <alignment horizontal="center" vertical="top" wrapText="1"/>
    </xf>
    <xf numFmtId="0" fontId="37" fillId="24" borderId="73" xfId="0" applyFont="1" applyFill="1" applyBorder="1" applyAlignment="1">
      <alignment horizontal="center" vertical="top" wrapText="1"/>
    </xf>
    <xf numFmtId="0" fontId="37" fillId="24" borderId="71" xfId="0" applyFont="1" applyFill="1" applyBorder="1" applyAlignment="1">
      <alignment horizontal="center" vertical="center" wrapText="1"/>
    </xf>
    <xf numFmtId="0" fontId="37" fillId="24" borderId="62" xfId="0" applyFont="1" applyFill="1" applyBorder="1" applyAlignment="1">
      <alignment horizontal="center" vertical="center" wrapText="1"/>
    </xf>
    <xf numFmtId="0" fontId="37" fillId="24" borderId="68" xfId="0" applyFont="1" applyFill="1" applyBorder="1" applyAlignment="1">
      <alignment horizontal="center" vertical="top" wrapText="1"/>
    </xf>
    <xf numFmtId="0" fontId="37" fillId="24" borderId="74" xfId="0" applyFont="1" applyFill="1" applyBorder="1" applyAlignment="1">
      <alignment horizontal="center" vertical="top" wrapText="1"/>
    </xf>
    <xf numFmtId="0" fontId="37" fillId="11" borderId="90" xfId="0" applyFont="1" applyFill="1" applyBorder="1" applyAlignment="1">
      <alignment horizontal="center" vertical="center" wrapText="1"/>
    </xf>
    <xf numFmtId="0" fontId="37" fillId="11" borderId="8" xfId="0" applyFont="1" applyFill="1" applyBorder="1" applyAlignment="1">
      <alignment horizontal="center" vertical="center" wrapText="1"/>
    </xf>
    <xf numFmtId="0" fontId="37" fillId="24" borderId="65" xfId="0" applyFont="1" applyFill="1" applyBorder="1" applyAlignment="1">
      <alignment horizontal="center" vertical="top" wrapText="1"/>
    </xf>
    <xf numFmtId="0" fontId="37" fillId="24" borderId="92" xfId="0" applyFont="1" applyFill="1" applyBorder="1" applyAlignment="1">
      <alignment horizontal="center" vertical="top" wrapText="1"/>
    </xf>
    <xf numFmtId="0" fontId="75" fillId="24" borderId="69" xfId="0" applyFont="1" applyFill="1" applyBorder="1" applyAlignment="1">
      <alignment horizontal="center" vertical="center" wrapText="1"/>
    </xf>
    <xf numFmtId="0" fontId="37" fillId="24" borderId="63" xfId="0" applyFont="1" applyFill="1" applyBorder="1" applyAlignment="1">
      <alignment horizontal="center" vertical="center" wrapText="1"/>
    </xf>
    <xf numFmtId="0" fontId="37" fillId="11" borderId="76" xfId="0" applyFont="1" applyFill="1" applyBorder="1" applyAlignment="1">
      <alignment horizontal="center" vertical="center" wrapText="1"/>
    </xf>
    <xf numFmtId="0" fontId="37" fillId="11" borderId="57" xfId="0" applyFont="1" applyFill="1" applyBorder="1" applyAlignment="1">
      <alignment horizontal="center" vertical="center" wrapText="1"/>
    </xf>
    <xf numFmtId="0" fontId="36" fillId="6" borderId="9" xfId="0" applyFont="1" applyFill="1" applyBorder="1" applyAlignment="1">
      <alignment horizontal="left" vertical="top" wrapText="1"/>
    </xf>
    <xf numFmtId="0" fontId="36" fillId="6" borderId="38" xfId="0" applyFont="1" applyFill="1" applyBorder="1" applyAlignment="1">
      <alignment horizontal="left" vertical="top" wrapText="1"/>
    </xf>
    <xf numFmtId="4" fontId="133" fillId="7" borderId="0" xfId="0" applyNumberFormat="1" applyFont="1" applyFill="1" applyAlignment="1">
      <alignment horizontal="center" wrapText="1"/>
    </xf>
    <xf numFmtId="0" fontId="133" fillId="7" borderId="0" xfId="0" applyFont="1" applyFill="1" applyAlignment="1">
      <alignment horizontal="center" wrapText="1"/>
    </xf>
    <xf numFmtId="4" fontId="134" fillId="7" borderId="0" xfId="0" applyNumberFormat="1" applyFont="1" applyFill="1" applyAlignment="1">
      <alignment horizontal="center" wrapText="1"/>
    </xf>
    <xf numFmtId="0" fontId="134" fillId="7" borderId="0" xfId="0" applyFont="1" applyFill="1" applyAlignment="1">
      <alignment horizontal="center" wrapText="1"/>
    </xf>
    <xf numFmtId="4" fontId="135" fillId="7" borderId="0" xfId="0" applyNumberFormat="1" applyFont="1" applyFill="1" applyAlignment="1">
      <alignment horizontal="center" wrapText="1"/>
    </xf>
    <xf numFmtId="0" fontId="135" fillId="7" borderId="0" xfId="0" applyFont="1" applyFill="1" applyAlignment="1">
      <alignment horizontal="center" wrapText="1"/>
    </xf>
    <xf numFmtId="0" fontId="14" fillId="6" borderId="1" xfId="0" applyFont="1" applyFill="1" applyBorder="1" applyAlignment="1">
      <alignment horizontal="center"/>
    </xf>
    <xf numFmtId="0" fontId="14" fillId="6" borderId="2" xfId="0" applyFont="1" applyFill="1" applyBorder="1" applyAlignment="1">
      <alignment horizontal="center"/>
    </xf>
    <xf numFmtId="0" fontId="14" fillId="6" borderId="3" xfId="0" applyFont="1" applyFill="1" applyBorder="1" applyAlignment="1">
      <alignment horizontal="center"/>
    </xf>
    <xf numFmtId="0" fontId="14" fillId="6" borderId="4" xfId="0" applyFont="1" applyFill="1" applyBorder="1" applyAlignment="1">
      <alignment horizontal="center"/>
    </xf>
    <xf numFmtId="0" fontId="14" fillId="6" borderId="0" xfId="0" applyFont="1" applyFill="1" applyAlignment="1">
      <alignment horizontal="center"/>
    </xf>
    <xf numFmtId="0" fontId="14" fillId="6" borderId="5" xfId="0" applyFont="1" applyFill="1" applyBorder="1" applyAlignment="1">
      <alignment horizontal="center"/>
    </xf>
    <xf numFmtId="0" fontId="14" fillId="6" borderId="73" xfId="0" applyFont="1" applyFill="1" applyBorder="1" applyAlignment="1">
      <alignment horizontal="center"/>
    </xf>
    <xf numFmtId="0" fontId="14" fillId="6" borderId="60" xfId="0" applyFont="1" applyFill="1" applyBorder="1" applyAlignment="1">
      <alignment horizontal="center"/>
    </xf>
    <xf numFmtId="0" fontId="14" fillId="6" borderId="93" xfId="0" applyFont="1" applyFill="1" applyBorder="1" applyAlignment="1">
      <alignment horizontal="center"/>
    </xf>
    <xf numFmtId="0" fontId="36" fillId="0" borderId="9" xfId="0" applyFont="1" applyBorder="1" applyAlignment="1">
      <alignment horizontal="left" vertical="top" wrapText="1"/>
    </xf>
    <xf numFmtId="0" fontId="36" fillId="0" borderId="38" xfId="0" applyFont="1" applyBorder="1" applyAlignment="1">
      <alignment horizontal="left" vertical="top" wrapText="1"/>
    </xf>
    <xf numFmtId="0" fontId="109" fillId="6" borderId="7" xfId="0" applyFont="1" applyFill="1" applyBorder="1" applyAlignment="1">
      <alignment horizontal="left"/>
    </xf>
    <xf numFmtId="0" fontId="109" fillId="6" borderId="58" xfId="0" applyFont="1" applyFill="1" applyBorder="1" applyAlignment="1">
      <alignment horizontal="left"/>
    </xf>
    <xf numFmtId="0" fontId="109" fillId="6" borderId="0" xfId="0" applyFont="1" applyFill="1" applyAlignment="1">
      <alignment horizontal="left"/>
    </xf>
    <xf numFmtId="0" fontId="109" fillId="6" borderId="39" xfId="0" applyFont="1" applyFill="1" applyBorder="1" applyAlignment="1">
      <alignment horizontal="left"/>
    </xf>
    <xf numFmtId="0" fontId="44" fillId="20" borderId="9" xfId="2" applyFill="1" applyBorder="1" applyAlignment="1" applyProtection="1">
      <alignment horizontal="center"/>
      <protection locked="0"/>
    </xf>
    <xf numFmtId="0" fontId="44" fillId="20" borderId="10" xfId="2" applyFill="1" applyBorder="1" applyAlignment="1" applyProtection="1">
      <alignment horizontal="center"/>
      <protection locked="0"/>
    </xf>
    <xf numFmtId="0" fontId="44" fillId="20" borderId="11" xfId="2" applyFill="1" applyBorder="1" applyAlignment="1" applyProtection="1">
      <alignment horizontal="center"/>
      <protection locked="0"/>
    </xf>
    <xf numFmtId="178" fontId="36" fillId="28" borderId="9" xfId="3" applyNumberFormat="1" applyFont="1" applyFill="1" applyBorder="1" applyAlignment="1" applyProtection="1">
      <alignment horizontal="center" vertical="center"/>
    </xf>
    <xf numFmtId="178" fontId="36" fillId="28" borderId="11" xfId="3" applyNumberFormat="1" applyFont="1" applyFill="1" applyBorder="1" applyAlignment="1" applyProtection="1">
      <alignment horizontal="center" vertical="center"/>
    </xf>
    <xf numFmtId="173" fontId="14" fillId="0" borderId="12" xfId="0" applyNumberFormat="1" applyFont="1" applyBorder="1" applyAlignment="1">
      <alignment horizontal="center"/>
    </xf>
    <xf numFmtId="173" fontId="14" fillId="0" borderId="13" xfId="0" applyNumberFormat="1" applyFont="1" applyBorder="1" applyAlignment="1">
      <alignment horizontal="center"/>
    </xf>
    <xf numFmtId="173" fontId="14" fillId="0" borderId="14" xfId="0" applyNumberFormat="1" applyFont="1" applyBorder="1" applyAlignment="1">
      <alignment horizontal="center"/>
    </xf>
    <xf numFmtId="173" fontId="14" fillId="0" borderId="23" xfId="0" applyNumberFormat="1" applyFont="1" applyBorder="1" applyAlignment="1">
      <alignment horizontal="center"/>
    </xf>
    <xf numFmtId="10" fontId="14" fillId="14" borderId="67" xfId="4" applyNumberFormat="1" applyFont="1" applyFill="1" applyBorder="1" applyAlignment="1" applyProtection="1">
      <alignment horizontal="center"/>
    </xf>
    <xf numFmtId="10" fontId="14" fillId="14" borderId="38" xfId="4" applyNumberFormat="1" applyFont="1" applyFill="1" applyBorder="1" applyAlignment="1" applyProtection="1">
      <alignment horizontal="center"/>
    </xf>
    <xf numFmtId="10" fontId="14" fillId="14" borderId="41" xfId="4" applyNumberFormat="1" applyFont="1" applyFill="1" applyBorder="1" applyAlignment="1" applyProtection="1">
      <alignment horizontal="center"/>
    </xf>
    <xf numFmtId="10" fontId="14" fillId="14" borderId="29" xfId="4" applyNumberFormat="1" applyFont="1" applyFill="1" applyBorder="1" applyAlignment="1" applyProtection="1">
      <alignment horizontal="center"/>
    </xf>
    <xf numFmtId="2" fontId="36" fillId="7" borderId="94" xfId="0" applyNumberFormat="1" applyFont="1" applyFill="1" applyBorder="1" applyAlignment="1">
      <alignment horizontal="left" wrapText="1"/>
    </xf>
    <xf numFmtId="0" fontId="0" fillId="0" borderId="18" xfId="0" applyBorder="1" applyAlignment="1">
      <alignment wrapText="1"/>
    </xf>
    <xf numFmtId="0" fontId="0" fillId="0" borderId="13" xfId="0" applyBorder="1" applyAlignment="1">
      <alignment wrapText="1"/>
    </xf>
    <xf numFmtId="2" fontId="36" fillId="20" borderId="94" xfId="0" applyNumberFormat="1" applyFont="1" applyFill="1" applyBorder="1" applyAlignment="1">
      <alignment horizontal="left" wrapText="1"/>
    </xf>
    <xf numFmtId="183" fontId="72" fillId="28" borderId="9" xfId="0" applyNumberFormat="1" applyFont="1" applyFill="1" applyBorder="1" applyAlignment="1">
      <alignment horizontal="center"/>
    </xf>
    <xf numFmtId="183" fontId="72" fillId="28" borderId="10" xfId="0" applyNumberFormat="1" applyFont="1" applyFill="1" applyBorder="1" applyAlignment="1">
      <alignment horizontal="center"/>
    </xf>
    <xf numFmtId="183" fontId="72" fillId="28" borderId="11" xfId="0" applyNumberFormat="1" applyFont="1" applyFill="1" applyBorder="1" applyAlignment="1">
      <alignment horizontal="center"/>
    </xf>
    <xf numFmtId="179" fontId="112" fillId="27" borderId="12" xfId="3" applyNumberFormat="1" applyFont="1" applyFill="1" applyBorder="1" applyAlignment="1" applyProtection="1">
      <alignment horizontal="center" vertical="center"/>
    </xf>
    <xf numFmtId="0" fontId="0" fillId="0" borderId="13" xfId="0" applyBorder="1" applyAlignment="1">
      <alignment horizontal="center" vertical="center"/>
    </xf>
    <xf numFmtId="0" fontId="14" fillId="0" borderId="46" xfId="0" applyFont="1" applyBorder="1" applyAlignment="1">
      <alignment horizontal="center"/>
    </xf>
    <xf numFmtId="0" fontId="14" fillId="0" borderId="48" xfId="0" applyFont="1" applyBorder="1" applyAlignment="1">
      <alignment horizontal="center"/>
    </xf>
    <xf numFmtId="0" fontId="14" fillId="0" borderId="79" xfId="0" applyFont="1" applyBorder="1" applyAlignment="1">
      <alignment horizontal="center"/>
    </xf>
    <xf numFmtId="0" fontId="14" fillId="0" borderId="80" xfId="0" applyFont="1" applyBorder="1" applyAlignment="1">
      <alignment horizontal="center"/>
    </xf>
    <xf numFmtId="165" fontId="14" fillId="6" borderId="14" xfId="3" applyNumberFormat="1" applyFont="1" applyFill="1" applyBorder="1" applyAlignment="1" applyProtection="1">
      <alignment horizontal="center" vertical="center"/>
    </xf>
    <xf numFmtId="165" fontId="14" fillId="0" borderId="14" xfId="3" applyNumberFormat="1" applyFont="1" applyBorder="1" applyAlignment="1" applyProtection="1">
      <alignment horizontal="center" vertical="center"/>
    </xf>
    <xf numFmtId="2" fontId="14" fillId="0" borderId="19" xfId="0" applyNumberFormat="1" applyFont="1" applyBorder="1" applyAlignment="1">
      <alignment horizontal="center"/>
    </xf>
    <xf numFmtId="2" fontId="14" fillId="0" borderId="23" xfId="0" applyNumberFormat="1" applyFont="1" applyBorder="1" applyAlignment="1">
      <alignment horizontal="center"/>
    </xf>
    <xf numFmtId="0" fontId="14" fillId="20" borderId="49" xfId="0" applyFont="1" applyFill="1" applyBorder="1" applyAlignment="1">
      <alignment horizontal="center"/>
    </xf>
    <xf numFmtId="0" fontId="14" fillId="20" borderId="51" xfId="0" applyFont="1" applyFill="1" applyBorder="1" applyAlignment="1">
      <alignment horizontal="center"/>
    </xf>
    <xf numFmtId="0" fontId="14" fillId="20" borderId="62" xfId="0" applyFont="1" applyFill="1" applyBorder="1" applyAlignment="1">
      <alignment horizontal="center"/>
    </xf>
    <xf numFmtId="0" fontId="14" fillId="20" borderId="63" xfId="0" applyFont="1" applyFill="1" applyBorder="1" applyAlignment="1">
      <alignment horizontal="center"/>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0" fillId="0" borderId="7" xfId="0" applyBorder="1" applyProtection="1">
      <protection hidden="1"/>
    </xf>
    <xf numFmtId="0" fontId="0" fillId="0" borderId="8" xfId="0" applyBorder="1" applyProtection="1">
      <protection hidden="1"/>
    </xf>
    <xf numFmtId="0" fontId="14" fillId="6" borderId="0" xfId="0" applyFont="1" applyFill="1" applyAlignment="1" applyProtection="1">
      <alignment horizontal="left" vertical="center" wrapText="1"/>
      <protection hidden="1"/>
    </xf>
    <xf numFmtId="0" fontId="14" fillId="6" borderId="5" xfId="0" applyFont="1" applyFill="1" applyBorder="1" applyAlignment="1" applyProtection="1">
      <alignment horizontal="left" vertical="center" wrapText="1"/>
      <protection hidden="1"/>
    </xf>
    <xf numFmtId="0" fontId="42" fillId="13" borderId="23" xfId="0" applyFont="1" applyFill="1" applyBorder="1" applyAlignment="1">
      <alignment horizontal="center" vertical="center" textRotation="90" wrapText="1"/>
    </xf>
    <xf numFmtId="0" fontId="42" fillId="13" borderId="19" xfId="0" applyFont="1" applyFill="1" applyBorder="1" applyAlignment="1">
      <alignment horizontal="center" vertical="center" textRotation="90" wrapText="1"/>
    </xf>
    <xf numFmtId="0" fontId="42" fillId="13" borderId="24" xfId="0" applyFont="1" applyFill="1" applyBorder="1" applyAlignment="1">
      <alignment horizontal="center" vertical="center" textRotation="90" wrapText="1"/>
    </xf>
    <xf numFmtId="0" fontId="9" fillId="22" borderId="12" xfId="0" applyFont="1" applyFill="1" applyBorder="1" applyAlignment="1" applyProtection="1">
      <alignment horizontal="left" vertical="center"/>
      <protection locked="0"/>
    </xf>
    <xf numFmtId="0" fontId="13" fillId="22" borderId="18" xfId="0" applyFont="1" applyFill="1" applyBorder="1" applyAlignment="1" applyProtection="1">
      <alignment horizontal="left" vertical="center"/>
      <protection locked="0"/>
    </xf>
    <xf numFmtId="0" fontId="13" fillId="22" borderId="13" xfId="0" applyFont="1" applyFill="1" applyBorder="1" applyAlignment="1" applyProtection="1">
      <alignment horizontal="left" vertical="center"/>
      <protection locked="0"/>
    </xf>
    <xf numFmtId="0" fontId="68" fillId="22" borderId="14" xfId="0" applyFont="1" applyFill="1" applyBorder="1" applyAlignment="1" applyProtection="1">
      <alignment horizontal="center" vertical="center" wrapText="1"/>
      <protection locked="0"/>
    </xf>
    <xf numFmtId="0" fontId="68" fillId="7" borderId="14" xfId="0" applyFont="1" applyFill="1" applyBorder="1" applyAlignment="1" applyProtection="1">
      <alignment horizontal="center" vertical="center" wrapText="1"/>
      <protection hidden="1"/>
    </xf>
    <xf numFmtId="0" fontId="143" fillId="37" borderId="0" xfId="2" applyFont="1" applyFill="1" applyBorder="1" applyAlignment="1" applyProtection="1">
      <alignment horizontal="left"/>
      <protection locked="0"/>
    </xf>
    <xf numFmtId="0" fontId="143" fillId="37" borderId="5" xfId="2" applyFont="1" applyFill="1" applyBorder="1" applyAlignment="1" applyProtection="1">
      <alignment horizontal="left"/>
      <protection locked="0"/>
    </xf>
    <xf numFmtId="0" fontId="36" fillId="0" borderId="0" xfId="0" applyFont="1" applyAlignment="1" applyProtection="1">
      <alignment horizontal="center" vertical="center"/>
      <protection hidden="1"/>
    </xf>
    <xf numFmtId="2" fontId="65" fillId="0" borderId="0" xfId="0" applyNumberFormat="1" applyFont="1" applyAlignment="1" applyProtection="1">
      <alignment horizontal="center" vertical="center"/>
      <protection hidden="1"/>
    </xf>
    <xf numFmtId="0" fontId="30" fillId="3" borderId="7" xfId="0" applyFont="1" applyFill="1" applyBorder="1" applyAlignment="1" applyProtection="1">
      <alignment horizontal="left"/>
      <protection locked="0"/>
    </xf>
    <xf numFmtId="0" fontId="0" fillId="0" borderId="7" xfId="0" applyBorder="1" applyAlignment="1" applyProtection="1">
      <alignment horizontal="left"/>
      <protection locked="0"/>
    </xf>
    <xf numFmtId="0" fontId="142" fillId="37" borderId="0" xfId="0" applyFont="1" applyFill="1" applyAlignment="1" applyProtection="1">
      <alignment horizontal="left" wrapText="1"/>
      <protection hidden="1"/>
    </xf>
    <xf numFmtId="0" fontId="143" fillId="37" borderId="0" xfId="2" quotePrefix="1" applyFont="1" applyFill="1" applyBorder="1" applyAlignment="1" applyProtection="1">
      <alignment horizontal="left"/>
      <protection locked="0"/>
    </xf>
    <xf numFmtId="49" fontId="30" fillId="0" borderId="6" xfId="0" applyNumberFormat="1" applyFont="1" applyBorder="1" applyAlignment="1" applyProtection="1">
      <alignment horizontal="left" wrapText="1"/>
      <protection hidden="1"/>
    </xf>
    <xf numFmtId="49" fontId="30" fillId="0" borderId="7" xfId="0" applyNumberFormat="1" applyFont="1" applyBorder="1" applyAlignment="1" applyProtection="1">
      <alignment horizontal="left" wrapText="1"/>
      <protection hidden="1"/>
    </xf>
    <xf numFmtId="49" fontId="30" fillId="0" borderId="8" xfId="0" applyNumberFormat="1" applyFont="1" applyBorder="1" applyAlignment="1" applyProtection="1">
      <alignment horizontal="left" wrapText="1"/>
      <protection hidden="1"/>
    </xf>
    <xf numFmtId="0" fontId="48" fillId="0" borderId="0" xfId="0" applyFont="1" applyAlignment="1" applyProtection="1">
      <alignment horizontal="center" vertical="center"/>
      <protection hidden="1"/>
    </xf>
    <xf numFmtId="0" fontId="0" fillId="0" borderId="0" xfId="0" applyAlignment="1">
      <alignment horizontal="center" vertical="center"/>
    </xf>
    <xf numFmtId="0" fontId="0" fillId="0" borderId="2" xfId="0" applyBorder="1"/>
    <xf numFmtId="0" fontId="0" fillId="0" borderId="3" xfId="0" applyBorder="1"/>
    <xf numFmtId="0" fontId="0" fillId="0" borderId="5" xfId="0" applyBorder="1"/>
    <xf numFmtId="0" fontId="14" fillId="0" borderId="8" xfId="0" applyFont="1" applyBorder="1" applyAlignment="1">
      <alignment horizontal="center" vertical="top"/>
    </xf>
    <xf numFmtId="0" fontId="14" fillId="0" borderId="24" xfId="0" applyFont="1" applyBorder="1" applyAlignment="1">
      <alignment horizontal="center" vertical="top"/>
    </xf>
    <xf numFmtId="0" fontId="14" fillId="0" borderId="6" xfId="0" applyFont="1" applyBorder="1" applyAlignment="1">
      <alignment horizontal="center" vertical="top"/>
    </xf>
    <xf numFmtId="0" fontId="36" fillId="7" borderId="12" xfId="0" applyFont="1" applyFill="1" applyBorder="1" applyAlignment="1">
      <alignment horizontal="center" vertical="top"/>
    </xf>
    <xf numFmtId="0" fontId="33" fillId="0" borderId="18" xfId="0" applyFont="1" applyBorder="1" applyAlignment="1">
      <alignment horizontal="center" vertical="top"/>
    </xf>
    <xf numFmtId="0" fontId="33" fillId="0" borderId="13" xfId="0" applyFont="1" applyBorder="1" applyAlignment="1">
      <alignment horizontal="center" vertical="top"/>
    </xf>
    <xf numFmtId="0" fontId="0" fillId="30" borderId="0" xfId="0" applyFill="1" applyAlignment="1" applyProtection="1">
      <alignment horizontal="center" vertical="top" wrapText="1"/>
      <protection locked="0"/>
    </xf>
    <xf numFmtId="0" fontId="31" fillId="30" borderId="0" xfId="0" applyFont="1" applyFill="1" applyAlignment="1" applyProtection="1">
      <alignment horizontal="center" vertical="top" wrapText="1"/>
      <protection locked="0"/>
    </xf>
    <xf numFmtId="0" fontId="72" fillId="2" borderId="1" xfId="0" applyFont="1" applyFill="1" applyBorder="1" applyAlignment="1">
      <alignment horizontal="center"/>
    </xf>
    <xf numFmtId="0" fontId="72" fillId="2" borderId="2" xfId="0" applyFont="1" applyFill="1" applyBorder="1" applyAlignment="1">
      <alignment horizontal="center"/>
    </xf>
    <xf numFmtId="0" fontId="113" fillId="0" borderId="3" xfId="0" applyFont="1" applyBorder="1" applyAlignment="1">
      <alignment horizontal="center"/>
    </xf>
    <xf numFmtId="0" fontId="113" fillId="2" borderId="4" xfId="0" applyFont="1" applyFill="1" applyBorder="1" applyAlignment="1">
      <alignment horizontal="center" vertical="center"/>
    </xf>
    <xf numFmtId="0" fontId="113" fillId="2" borderId="0" xfId="0" applyFont="1" applyFill="1" applyAlignment="1">
      <alignment horizontal="center" vertical="center"/>
    </xf>
    <xf numFmtId="0" fontId="113" fillId="0" borderId="5" xfId="0" applyFont="1" applyBorder="1" applyAlignment="1">
      <alignment horizontal="center" vertical="center"/>
    </xf>
    <xf numFmtId="0" fontId="72" fillId="2" borderId="4" xfId="0" applyFont="1" applyFill="1" applyBorder="1" applyAlignment="1">
      <alignment horizontal="center"/>
    </xf>
    <xf numFmtId="0" fontId="72" fillId="2" borderId="0" xfId="0" applyFont="1" applyFill="1" applyAlignment="1">
      <alignment horizontal="center"/>
    </xf>
    <xf numFmtId="0" fontId="113" fillId="0" borderId="5" xfId="0" applyFont="1" applyBorder="1" applyAlignment="1">
      <alignment horizontal="center"/>
    </xf>
    <xf numFmtId="0" fontId="61" fillId="0" borderId="0" xfId="0" applyFont="1" applyAlignment="1">
      <alignment horizontal="center"/>
    </xf>
    <xf numFmtId="0" fontId="61" fillId="0" borderId="39" xfId="0" applyFont="1" applyBorder="1" applyAlignment="1">
      <alignment horizontal="center"/>
    </xf>
    <xf numFmtId="0" fontId="61" fillId="0" borderId="40" xfId="0" applyFont="1" applyBorder="1" applyAlignment="1">
      <alignment horizontal="center"/>
    </xf>
    <xf numFmtId="0" fontId="62" fillId="0" borderId="0" xfId="0" applyFont="1" applyAlignment="1">
      <alignment horizontal="center" wrapText="1"/>
    </xf>
    <xf numFmtId="0" fontId="42" fillId="0" borderId="0" xfId="0" applyFont="1" applyAlignment="1">
      <alignment horizontal="left" vertical="top"/>
    </xf>
    <xf numFmtId="0" fontId="42" fillId="0" borderId="0" xfId="0" applyFont="1" applyAlignment="1">
      <alignment horizontal="left"/>
    </xf>
    <xf numFmtId="0" fontId="31" fillId="6" borderId="0" xfId="0" applyFont="1" applyFill="1" applyAlignment="1">
      <alignment horizontal="center"/>
    </xf>
    <xf numFmtId="0" fontId="31" fillId="30" borderId="7" xfId="0" applyFont="1" applyFill="1" applyBorder="1" applyProtection="1">
      <protection locked="0"/>
    </xf>
    <xf numFmtId="0" fontId="42" fillId="0" borderId="2" xfId="0" applyFont="1" applyBorder="1" applyAlignment="1">
      <alignment horizontal="center"/>
    </xf>
    <xf numFmtId="0" fontId="42" fillId="0" borderId="7" xfId="0" applyFont="1" applyBorder="1" applyAlignment="1">
      <alignment horizontal="center"/>
    </xf>
    <xf numFmtId="0" fontId="30" fillId="0" borderId="0" xfId="0" applyFont="1" applyAlignment="1">
      <alignment horizontal="left" vertical="center" wrapText="1"/>
    </xf>
    <xf numFmtId="0" fontId="34" fillId="2" borderId="12" xfId="0" applyFont="1" applyFill="1" applyBorder="1" applyAlignment="1">
      <alignment horizontal="center"/>
    </xf>
    <xf numFmtId="0" fontId="34" fillId="2" borderId="18" xfId="0" applyFont="1" applyFill="1" applyBorder="1" applyAlignment="1">
      <alignment horizontal="center"/>
    </xf>
    <xf numFmtId="0" fontId="34" fillId="2" borderId="13" xfId="0" applyFont="1" applyFill="1" applyBorder="1" applyAlignment="1">
      <alignment horizontal="center"/>
    </xf>
    <xf numFmtId="0" fontId="30" fillId="0" borderId="0" xfId="0" applyFont="1" applyAlignment="1">
      <alignment horizontal="left" vertical="center"/>
    </xf>
    <xf numFmtId="0" fontId="37" fillId="0" borderId="0" xfId="0" applyFont="1" applyAlignment="1">
      <alignment horizontal="left" vertical="center" wrapText="1"/>
    </xf>
    <xf numFmtId="0" fontId="34" fillId="2" borderId="1" xfId="0" applyFont="1" applyFill="1" applyBorder="1" applyAlignment="1">
      <alignment wrapText="1"/>
    </xf>
    <xf numFmtId="0" fontId="34" fillId="2" borderId="2" xfId="0" applyFont="1" applyFill="1" applyBorder="1"/>
    <xf numFmtId="0" fontId="34" fillId="2" borderId="3" xfId="0" applyFont="1" applyFill="1" applyBorder="1"/>
    <xf numFmtId="0" fontId="34" fillId="2" borderId="4" xfId="0" applyFont="1" applyFill="1" applyBorder="1"/>
    <xf numFmtId="0" fontId="34" fillId="2" borderId="0" xfId="0" applyFont="1" applyFill="1"/>
    <xf numFmtId="0" fontId="34" fillId="2" borderId="5" xfId="0" applyFont="1" applyFill="1" applyBorder="1"/>
    <xf numFmtId="0" fontId="34" fillId="2" borderId="6" xfId="0" applyFont="1" applyFill="1" applyBorder="1"/>
    <xf numFmtId="0" fontId="34" fillId="2" borderId="7" xfId="0" applyFont="1" applyFill="1" applyBorder="1"/>
    <xf numFmtId="0" fontId="34" fillId="2" borderId="8" xfId="0" applyFont="1" applyFill="1" applyBorder="1"/>
    <xf numFmtId="0" fontId="31" fillId="6" borderId="4" xfId="0" applyFont="1" applyFill="1" applyBorder="1"/>
  </cellXfs>
  <cellStyles count="22">
    <cellStyle name="40 % - Akzent3" xfId="6" builtinId="39"/>
    <cellStyle name="40% - Akzent1 2" xfId="8" xr:uid="{00000000-0005-0000-0000-000001000000}"/>
    <cellStyle name="40% - Akzent3 2" xfId="9" xr:uid="{00000000-0005-0000-0000-000002000000}"/>
    <cellStyle name="Datum" xfId="10" xr:uid="{00000000-0005-0000-0000-000003000000}"/>
    <cellStyle name="Eingabe 2" xfId="5" xr:uid="{00000000-0005-0000-0000-000004000000}"/>
    <cellStyle name="Eingabe 2 2" xfId="11" xr:uid="{00000000-0005-0000-0000-000005000000}"/>
    <cellStyle name="Eingabe 3" xfId="12" xr:uid="{00000000-0005-0000-0000-000006000000}"/>
    <cellStyle name="Formelfeld" xfId="13" xr:uid="{00000000-0005-0000-0000-000007000000}"/>
    <cellStyle name="Formular" xfId="14" xr:uid="{00000000-0005-0000-0000-000008000000}"/>
    <cellStyle name="Komma" xfId="1" builtinId="3"/>
    <cellStyle name="Link" xfId="2" builtinId="8"/>
    <cellStyle name="Prozent" xfId="4" builtinId="5"/>
    <cellStyle name="Prozent 2" xfId="7" xr:uid="{00000000-0005-0000-0000-00000C000000}"/>
    <cellStyle name="Standard" xfId="0" builtinId="0"/>
    <cellStyle name="Standard 2" xfId="15" xr:uid="{00000000-0005-0000-0000-00000E000000}"/>
    <cellStyle name="Standard 4" xfId="21" xr:uid="{00000000-0005-0000-0000-00000F000000}"/>
    <cellStyle name="Stunden" xfId="16" xr:uid="{00000000-0005-0000-0000-000010000000}"/>
    <cellStyle name="Text" xfId="17" xr:uid="{00000000-0005-0000-0000-000011000000}"/>
    <cellStyle name="VZK" xfId="18" xr:uid="{00000000-0005-0000-0000-000012000000}"/>
    <cellStyle name="Währung" xfId="3" builtinId="4"/>
    <cellStyle name="Währung 2" xfId="19" xr:uid="{00000000-0005-0000-0000-000014000000}"/>
    <cellStyle name="Währung 3" xfId="20" xr:uid="{00000000-0005-0000-0000-000015000000}"/>
  </cellStyles>
  <dxfs count="121">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font>
      <fill>
        <patternFill>
          <bgColor theme="0"/>
        </patternFill>
      </fill>
      <border>
        <left/>
        <right/>
        <top/>
        <bottom/>
        <vertical/>
        <horizontal/>
      </border>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rgb="FF081EFC"/>
      </font>
    </dxf>
    <dxf>
      <font>
        <color rgb="FF081EFC"/>
      </font>
    </dxf>
    <dxf>
      <font>
        <color rgb="FF081EFC"/>
      </font>
    </dxf>
    <dxf>
      <font>
        <color rgb="FF081EFC"/>
      </font>
    </dxf>
    <dxf>
      <font>
        <color rgb="FF081EFC"/>
      </font>
    </dxf>
    <dxf>
      <font>
        <color rgb="FF081EFC"/>
      </font>
    </dxf>
    <dxf>
      <font>
        <color rgb="FF081EFC"/>
      </font>
    </dxf>
    <dxf>
      <fill>
        <patternFill>
          <bgColor rgb="FFCCECFF"/>
        </patternFill>
      </fill>
    </dxf>
    <dxf>
      <font>
        <color rgb="FF081EFC"/>
      </font>
    </dxf>
    <dxf>
      <font>
        <color rgb="FF081EFC"/>
      </font>
    </dxf>
    <dxf>
      <font>
        <color rgb="FF081EFC"/>
      </font>
    </dxf>
    <dxf>
      <font>
        <color theme="6" tint="0.79998168889431442"/>
      </font>
    </dxf>
    <dxf>
      <font>
        <color theme="6" tint="0.79998168889431442"/>
      </font>
    </dxf>
    <dxf>
      <font>
        <b/>
        <i val="0"/>
        <color rgb="FFFF0000"/>
      </font>
    </dxf>
    <dxf>
      <font>
        <b/>
        <i val="0"/>
        <color theme="3"/>
      </font>
    </dxf>
    <dxf>
      <font>
        <color theme="6" tint="0.79998168889431442"/>
      </font>
    </dxf>
    <dxf>
      <font>
        <color theme="6" tint="0.79998168889431442"/>
      </font>
    </dxf>
    <dxf>
      <font>
        <b/>
        <i val="0"/>
        <color theme="3"/>
      </font>
    </dxf>
    <dxf>
      <font>
        <b/>
        <i val="0"/>
        <color rgb="FFFF0000"/>
      </font>
    </dxf>
    <dxf>
      <font>
        <b/>
        <i val="0"/>
        <color rgb="FFFF0000"/>
      </font>
    </dxf>
    <dxf>
      <font>
        <b/>
        <i val="0"/>
        <color theme="3"/>
      </font>
    </dxf>
    <dxf>
      <font>
        <color theme="6" tint="0.79998168889431442"/>
      </font>
    </dxf>
    <dxf>
      <font>
        <color theme="6" tint="0.79998168889431442"/>
      </font>
    </dxf>
    <dxf>
      <font>
        <color theme="6" tint="0.79998168889431442"/>
      </font>
    </dxf>
    <dxf>
      <font>
        <b/>
        <i val="0"/>
        <color rgb="FFFF0000"/>
      </font>
    </dxf>
    <dxf>
      <font>
        <b/>
        <i val="0"/>
        <color theme="3"/>
      </font>
    </dxf>
    <dxf>
      <font>
        <color theme="6" tint="0.79998168889431442"/>
      </font>
    </dxf>
    <dxf>
      <font>
        <b/>
        <i val="0"/>
        <color theme="3"/>
      </font>
    </dxf>
    <dxf>
      <font>
        <b/>
        <i val="0"/>
        <color rgb="FFFF0000"/>
      </font>
    </dxf>
    <dxf>
      <font>
        <b/>
        <i val="0"/>
        <color theme="3"/>
      </font>
    </dxf>
    <dxf>
      <font>
        <b/>
        <i val="0"/>
        <color rgb="FFFF0000"/>
      </font>
    </dxf>
    <dxf>
      <font>
        <color theme="6" tint="0.79998168889431442"/>
      </font>
    </dxf>
    <dxf>
      <font>
        <color theme="6" tint="0.79998168889431442"/>
      </font>
    </dxf>
    <dxf>
      <font>
        <color theme="6" tint="0.79998168889431442"/>
      </font>
    </dxf>
    <dxf>
      <font>
        <b/>
        <i val="0"/>
        <color theme="3"/>
      </font>
    </dxf>
    <dxf>
      <font>
        <b/>
        <i val="0"/>
        <color rgb="FFFF0000"/>
      </font>
    </dxf>
    <dxf>
      <font>
        <b/>
        <i val="0"/>
        <color rgb="FFFF0000"/>
      </font>
    </dxf>
    <dxf>
      <font>
        <b/>
        <i val="0"/>
        <color theme="3"/>
      </font>
    </dxf>
    <dxf>
      <font>
        <color theme="6" tint="0.79998168889431442"/>
      </font>
    </dxf>
    <dxf>
      <font>
        <color theme="6" tint="0.79998168889431442"/>
      </font>
    </dxf>
    <dxf>
      <font>
        <color theme="6" tint="0.79998168889431442"/>
      </font>
    </dxf>
    <dxf>
      <font>
        <color theme="6" tint="0.79998168889431442"/>
      </font>
    </dxf>
    <dxf>
      <font>
        <b/>
        <i val="0"/>
        <color theme="3"/>
      </font>
    </dxf>
    <dxf>
      <font>
        <b/>
        <i val="0"/>
        <color rgb="FFFF0000"/>
      </font>
    </dxf>
    <dxf>
      <font>
        <b/>
        <i val="0"/>
        <color rgb="FFFF0000"/>
      </font>
    </dxf>
    <dxf>
      <font>
        <color theme="6" tint="0.79998168889431442"/>
      </font>
    </dxf>
    <dxf>
      <font>
        <color theme="3"/>
      </font>
    </dxf>
    <dxf>
      <fill>
        <patternFill>
          <bgColor rgb="FFCCECFF"/>
        </patternFill>
      </fill>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tint="-4.9989318521683403E-2"/>
      </font>
    </dxf>
    <dxf>
      <font>
        <color auto="1"/>
      </font>
      <fill>
        <patternFill>
          <bgColor theme="0" tint="-4.9989318521683403E-2"/>
        </patternFill>
      </fill>
      <border>
        <bottom style="thin">
          <color auto="1"/>
        </bottom>
        <vertical/>
        <horizontal/>
      </border>
    </dxf>
    <dxf>
      <font>
        <color theme="0"/>
      </font>
      <fill>
        <patternFill patternType="none">
          <bgColor auto="1"/>
        </patternFill>
      </fill>
      <border>
        <vertical/>
        <horizontal/>
      </border>
    </dxf>
    <dxf>
      <fill>
        <patternFill>
          <bgColor rgb="FFCCECFF"/>
        </patternFill>
      </fill>
    </dxf>
    <dxf>
      <font>
        <color theme="0" tint="-4.9989318521683403E-2"/>
      </font>
    </dxf>
    <dxf>
      <font>
        <color rgb="FFF0F5E6"/>
      </font>
    </dxf>
    <dxf>
      <font>
        <color rgb="FFF0F5E6"/>
      </font>
    </dxf>
    <dxf>
      <fill>
        <patternFill>
          <bgColor rgb="FFCCECFF"/>
        </patternFill>
      </fill>
    </dxf>
    <dxf>
      <font>
        <color theme="0"/>
      </font>
      <fill>
        <patternFill>
          <fgColor theme="0"/>
          <bgColor theme="0"/>
        </patternFill>
      </fill>
      <border>
        <left/>
        <right/>
        <top/>
        <bottom/>
        <vertical/>
        <horizontal/>
      </border>
    </dxf>
    <dxf>
      <font>
        <color theme="0" tint="-4.9989318521683403E-2"/>
      </font>
    </dxf>
    <dxf>
      <font>
        <color theme="0" tint="-4.9989318521683403E-2"/>
      </font>
    </dxf>
    <dxf>
      <font>
        <color theme="0" tint="-4.9989318521683403E-2"/>
      </font>
    </dxf>
    <dxf>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4.9989318521683403E-2"/>
      </font>
    </dxf>
    <dxf>
      <font>
        <color theme="0"/>
      </font>
    </dxf>
    <dxf>
      <font>
        <color rgb="FFFF0000"/>
      </font>
    </dxf>
    <dxf>
      <font>
        <color rgb="FFFF0000"/>
      </font>
    </dxf>
    <dxf>
      <font>
        <color theme="0" tint="-4.9989318521683403E-2"/>
      </font>
    </dxf>
    <dxf>
      <font>
        <color theme="0" tint="-4.9989318521683403E-2"/>
      </font>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1"/>
      </font>
    </dxf>
    <dxf>
      <font>
        <color theme="0" tint="-4.9989318521683403E-2"/>
      </font>
    </dxf>
    <dxf>
      <fill>
        <patternFill>
          <bgColor theme="0"/>
        </patternFill>
      </fill>
    </dxf>
    <dxf>
      <font>
        <color theme="1"/>
      </font>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ont>
        <color theme="7" tint="0.79998168889431442"/>
      </font>
      <fill>
        <patternFill>
          <bgColor theme="7" tint="0.79998168889431442"/>
        </patternFill>
      </fill>
    </dxf>
    <dxf>
      <font>
        <color theme="0"/>
      </font>
      <fill>
        <patternFill>
          <bgColor theme="0"/>
        </patternFill>
      </fill>
      <border>
        <left/>
        <right/>
        <top/>
        <bottom/>
      </border>
    </dxf>
    <dxf>
      <font>
        <color theme="0" tint="-0.14996795556505021"/>
      </font>
    </dxf>
    <dxf>
      <font>
        <color theme="0" tint="-0.24994659260841701"/>
      </font>
    </dxf>
    <dxf>
      <font>
        <color theme="0" tint="-0.14996795556505021"/>
      </font>
    </dxf>
    <dxf>
      <font>
        <color theme="0" tint="-0.24994659260841701"/>
      </font>
    </dxf>
    <dxf>
      <font>
        <color theme="7" tint="0.79998168889431442"/>
      </font>
    </dxf>
    <dxf>
      <fill>
        <patternFill>
          <bgColor theme="0"/>
        </patternFill>
      </fill>
    </dxf>
    <dxf>
      <font>
        <color theme="0"/>
      </font>
    </dxf>
    <dxf>
      <fill>
        <patternFill>
          <bgColor theme="0"/>
        </patternFill>
      </fill>
    </dxf>
    <dxf>
      <fill>
        <patternFill>
          <bgColor theme="0"/>
        </patternFill>
      </fill>
    </dxf>
    <dxf>
      <font>
        <color theme="0" tint="-4.9989318521683403E-2"/>
      </font>
    </dxf>
    <dxf>
      <font>
        <color theme="0" tint="-4.9989318521683403E-2"/>
      </font>
    </dxf>
    <dxf>
      <fill>
        <patternFill>
          <bgColor rgb="FFCCECFF"/>
        </patternFill>
      </fill>
    </dxf>
    <dxf>
      <font>
        <color theme="0" tint="-4.9989318521683403E-2"/>
      </font>
    </dxf>
    <dxf>
      <font>
        <color theme="0" tint="-4.9989318521683403E-2"/>
      </font>
    </dxf>
    <dxf>
      <fill>
        <patternFill>
          <bgColor rgb="FFCCECFF"/>
        </patternFill>
      </fill>
    </dxf>
    <dxf>
      <font>
        <color theme="0" tint="-0.14996795556505021"/>
      </font>
      <fill>
        <patternFill>
          <bgColor theme="0" tint="-0.24994659260841701"/>
        </patternFill>
      </fill>
      <border>
        <left/>
        <right/>
        <bottom/>
        <vertical/>
        <horizontal/>
      </border>
    </dxf>
    <dxf>
      <font>
        <color theme="0"/>
      </font>
      <fill>
        <patternFill>
          <fgColor theme="0"/>
        </patternFill>
      </fill>
      <border>
        <vertical/>
        <horizontal/>
      </border>
    </dxf>
    <dxf>
      <fill>
        <patternFill patternType="none">
          <bgColor auto="1"/>
        </patternFill>
      </fill>
    </dxf>
    <dxf>
      <fill>
        <patternFill>
          <bgColor theme="0"/>
        </patternFill>
      </fill>
    </dxf>
  </dxfs>
  <tableStyles count="0" defaultTableStyle="TableStyleMedium2" defaultPivotStyle="PivotStyleLight16"/>
  <colors>
    <mruColors>
      <color rgb="FFCCFFFF"/>
      <color rgb="FFCCECFF"/>
      <color rgb="FFFFFF99"/>
      <color rgb="FFF0F5E6"/>
      <color rgb="FF081EFC"/>
      <color rgb="FF99CCFF"/>
      <color rgb="FFE0FDC1"/>
      <color rgb="FF000000"/>
      <color rgb="FFFDDCCC"/>
      <color rgb="FFFFF4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845820</xdr:colOff>
      <xdr:row>36</xdr:row>
      <xdr:rowOff>998220</xdr:rowOff>
    </xdr:from>
    <xdr:to>
      <xdr:col>10</xdr:col>
      <xdr:colOff>22860</xdr:colOff>
      <xdr:row>38</xdr:row>
      <xdr:rowOff>7620</xdr:rowOff>
    </xdr:to>
    <xdr:cxnSp macro="">
      <xdr:nvCxnSpPr>
        <xdr:cNvPr id="3" name="Gerader Verbinder 2">
          <a:extLst>
            <a:ext uri="{FF2B5EF4-FFF2-40B4-BE49-F238E27FC236}">
              <a16:creationId xmlns:a16="http://schemas.microsoft.com/office/drawing/2014/main" id="{95C978FE-7FE8-8CC5-BA8F-B87BA351D4B4}"/>
            </a:ext>
          </a:extLst>
        </xdr:cNvPr>
        <xdr:cNvCxnSpPr/>
      </xdr:nvCxnSpPr>
      <xdr:spPr>
        <a:xfrm>
          <a:off x="10789920" y="7322820"/>
          <a:ext cx="883920" cy="4419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76200</xdr:colOff>
      <xdr:row>44</xdr:row>
      <xdr:rowOff>133350</xdr:rowOff>
    </xdr:from>
    <xdr:to>
      <xdr:col>4</xdr:col>
      <xdr:colOff>38100</xdr:colOff>
      <xdr:row>45</xdr:row>
      <xdr:rowOff>171450</xdr:rowOff>
    </xdr:to>
    <xdr:sp macro="" textlink="">
      <xdr:nvSpPr>
        <xdr:cNvPr id="5" name="Textfeld 4">
          <a:extLst>
            <a:ext uri="{FF2B5EF4-FFF2-40B4-BE49-F238E27FC236}">
              <a16:creationId xmlns:a16="http://schemas.microsoft.com/office/drawing/2014/main" id="{2A7E6B5F-525B-2651-EA7C-838CA101763A}"/>
            </a:ext>
          </a:extLst>
        </xdr:cNvPr>
        <xdr:cNvSpPr txBox="1"/>
      </xdr:nvSpPr>
      <xdr:spPr>
        <a:xfrm>
          <a:off x="2590800" y="8096250"/>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733425</xdr:colOff>
      <xdr:row>93</xdr:row>
      <xdr:rowOff>152401</xdr:rowOff>
    </xdr:from>
    <xdr:to>
      <xdr:col>3</xdr:col>
      <xdr:colOff>695325</xdr:colOff>
      <xdr:row>95</xdr:row>
      <xdr:rowOff>9526</xdr:rowOff>
    </xdr:to>
    <xdr:sp macro="" textlink="">
      <xdr:nvSpPr>
        <xdr:cNvPr id="9" name="Textfeld 8">
          <a:extLst>
            <a:ext uri="{FF2B5EF4-FFF2-40B4-BE49-F238E27FC236}">
              <a16:creationId xmlns:a16="http://schemas.microsoft.com/office/drawing/2014/main" id="{7B6BF33E-7BDF-4E06-AD45-86A63883FCF3}"/>
            </a:ext>
          </a:extLst>
        </xdr:cNvPr>
        <xdr:cNvSpPr txBox="1"/>
      </xdr:nvSpPr>
      <xdr:spPr>
        <a:xfrm>
          <a:off x="2409825" y="18202276"/>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9525</xdr:colOff>
      <xdr:row>150</xdr:row>
      <xdr:rowOff>171450</xdr:rowOff>
    </xdr:from>
    <xdr:to>
      <xdr:col>3</xdr:col>
      <xdr:colOff>809625</xdr:colOff>
      <xdr:row>152</xdr:row>
      <xdr:rowOff>28575</xdr:rowOff>
    </xdr:to>
    <xdr:sp macro="" textlink="">
      <xdr:nvSpPr>
        <xdr:cNvPr id="10" name="Textfeld 9">
          <a:extLst>
            <a:ext uri="{FF2B5EF4-FFF2-40B4-BE49-F238E27FC236}">
              <a16:creationId xmlns:a16="http://schemas.microsoft.com/office/drawing/2014/main" id="{0D4EF5CE-B26F-40D0-9441-5338AF17EC47}"/>
            </a:ext>
          </a:extLst>
        </xdr:cNvPr>
        <xdr:cNvSpPr txBox="1"/>
      </xdr:nvSpPr>
      <xdr:spPr>
        <a:xfrm>
          <a:off x="2524125" y="285273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76201</xdr:colOff>
      <xdr:row>207</xdr:row>
      <xdr:rowOff>28575</xdr:rowOff>
    </xdr:from>
    <xdr:to>
      <xdr:col>4</xdr:col>
      <xdr:colOff>38101</xdr:colOff>
      <xdr:row>208</xdr:row>
      <xdr:rowOff>66675</xdr:rowOff>
    </xdr:to>
    <xdr:sp macro="" textlink="">
      <xdr:nvSpPr>
        <xdr:cNvPr id="11" name="Textfeld 10">
          <a:extLst>
            <a:ext uri="{FF2B5EF4-FFF2-40B4-BE49-F238E27FC236}">
              <a16:creationId xmlns:a16="http://schemas.microsoft.com/office/drawing/2014/main" id="{2E3C8F22-EA5A-4DDF-9725-CE3CB3CDA93C}"/>
            </a:ext>
          </a:extLst>
        </xdr:cNvPr>
        <xdr:cNvSpPr txBox="1"/>
      </xdr:nvSpPr>
      <xdr:spPr>
        <a:xfrm>
          <a:off x="2590801" y="387000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152400</xdr:colOff>
      <xdr:row>263</xdr:row>
      <xdr:rowOff>28574</xdr:rowOff>
    </xdr:from>
    <xdr:to>
      <xdr:col>4</xdr:col>
      <xdr:colOff>114300</xdr:colOff>
      <xdr:row>264</xdr:row>
      <xdr:rowOff>66674</xdr:rowOff>
    </xdr:to>
    <xdr:sp macro="" textlink="">
      <xdr:nvSpPr>
        <xdr:cNvPr id="12" name="Textfeld 11">
          <a:extLst>
            <a:ext uri="{FF2B5EF4-FFF2-40B4-BE49-F238E27FC236}">
              <a16:creationId xmlns:a16="http://schemas.microsoft.com/office/drawing/2014/main" id="{272D7F79-C2F2-4C57-8AC7-DB999605FCCB}"/>
            </a:ext>
          </a:extLst>
        </xdr:cNvPr>
        <xdr:cNvSpPr txBox="1"/>
      </xdr:nvSpPr>
      <xdr:spPr>
        <a:xfrm>
          <a:off x="2667000" y="48834674"/>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828676</xdr:colOff>
      <xdr:row>318</xdr:row>
      <xdr:rowOff>38100</xdr:rowOff>
    </xdr:from>
    <xdr:to>
      <xdr:col>3</xdr:col>
      <xdr:colOff>790576</xdr:colOff>
      <xdr:row>319</xdr:row>
      <xdr:rowOff>76200</xdr:rowOff>
    </xdr:to>
    <xdr:sp macro="" textlink="">
      <xdr:nvSpPr>
        <xdr:cNvPr id="13" name="Textfeld 12">
          <a:extLst>
            <a:ext uri="{FF2B5EF4-FFF2-40B4-BE49-F238E27FC236}">
              <a16:creationId xmlns:a16="http://schemas.microsoft.com/office/drawing/2014/main" id="{A619E826-F66C-4C54-B636-75DAC4B9391A}"/>
            </a:ext>
          </a:extLst>
        </xdr:cNvPr>
        <xdr:cNvSpPr txBox="1"/>
      </xdr:nvSpPr>
      <xdr:spPr>
        <a:xfrm>
          <a:off x="2505076" y="5879782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80</xdr:row>
      <xdr:rowOff>104774</xdr:rowOff>
    </xdr:from>
    <xdr:to>
      <xdr:col>3</xdr:col>
      <xdr:colOff>800100</xdr:colOff>
      <xdr:row>82</xdr:row>
      <xdr:rowOff>9524</xdr:rowOff>
    </xdr:to>
    <xdr:sp macro="" textlink="">
      <xdr:nvSpPr>
        <xdr:cNvPr id="22" name="Textfeld 21">
          <a:extLst>
            <a:ext uri="{FF2B5EF4-FFF2-40B4-BE49-F238E27FC236}">
              <a16:creationId xmlns:a16="http://schemas.microsoft.com/office/drawing/2014/main" id="{3D5A848B-25DA-4B66-97C1-3E0D8D19B01D}"/>
            </a:ext>
          </a:extLst>
        </xdr:cNvPr>
        <xdr:cNvSpPr txBox="1"/>
      </xdr:nvSpPr>
      <xdr:spPr>
        <a:xfrm>
          <a:off x="8791575" y="49710974"/>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131</xdr:row>
      <xdr:rowOff>123824</xdr:rowOff>
    </xdr:from>
    <xdr:to>
      <xdr:col>4</xdr:col>
      <xdr:colOff>76200</xdr:colOff>
      <xdr:row>133</xdr:row>
      <xdr:rowOff>28574</xdr:rowOff>
    </xdr:to>
    <xdr:sp macro="" textlink="">
      <xdr:nvSpPr>
        <xdr:cNvPr id="23" name="Textfeld 22">
          <a:extLst>
            <a:ext uri="{FF2B5EF4-FFF2-40B4-BE49-F238E27FC236}">
              <a16:creationId xmlns:a16="http://schemas.microsoft.com/office/drawing/2014/main" id="{1FB0D173-D0A1-4F9D-A3ED-67C9189251C0}"/>
            </a:ext>
          </a:extLst>
        </xdr:cNvPr>
        <xdr:cNvSpPr txBox="1"/>
      </xdr:nvSpPr>
      <xdr:spPr>
        <a:xfrm>
          <a:off x="11115675" y="61388624"/>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182</xdr:row>
      <xdr:rowOff>133350</xdr:rowOff>
    </xdr:from>
    <xdr:to>
      <xdr:col>4</xdr:col>
      <xdr:colOff>95250</xdr:colOff>
      <xdr:row>184</xdr:row>
      <xdr:rowOff>38100</xdr:rowOff>
    </xdr:to>
    <xdr:sp macro="" textlink="">
      <xdr:nvSpPr>
        <xdr:cNvPr id="24" name="Textfeld 23">
          <a:extLst>
            <a:ext uri="{FF2B5EF4-FFF2-40B4-BE49-F238E27FC236}">
              <a16:creationId xmlns:a16="http://schemas.microsoft.com/office/drawing/2014/main" id="{C22199BF-8258-4419-B4FC-BE4A152EE095}"/>
            </a:ext>
          </a:extLst>
        </xdr:cNvPr>
        <xdr:cNvSpPr txBox="1"/>
      </xdr:nvSpPr>
      <xdr:spPr>
        <a:xfrm>
          <a:off x="11134725" y="73056750"/>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233</xdr:row>
      <xdr:rowOff>152400</xdr:rowOff>
    </xdr:from>
    <xdr:to>
      <xdr:col>3</xdr:col>
      <xdr:colOff>800100</xdr:colOff>
      <xdr:row>235</xdr:row>
      <xdr:rowOff>57150</xdr:rowOff>
    </xdr:to>
    <xdr:sp macro="" textlink="">
      <xdr:nvSpPr>
        <xdr:cNvPr id="25" name="Textfeld 24">
          <a:extLst>
            <a:ext uri="{FF2B5EF4-FFF2-40B4-BE49-F238E27FC236}">
              <a16:creationId xmlns:a16="http://schemas.microsoft.com/office/drawing/2014/main" id="{6EE0A5E4-D7D2-4C87-81A7-D9D2A1543FE2}"/>
            </a:ext>
          </a:extLst>
        </xdr:cNvPr>
        <xdr:cNvSpPr txBox="1"/>
      </xdr:nvSpPr>
      <xdr:spPr>
        <a:xfrm>
          <a:off x="8791575" y="84734400"/>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284</xdr:row>
      <xdr:rowOff>133349</xdr:rowOff>
    </xdr:from>
    <xdr:to>
      <xdr:col>4</xdr:col>
      <xdr:colOff>28575</xdr:colOff>
      <xdr:row>286</xdr:row>
      <xdr:rowOff>38099</xdr:rowOff>
    </xdr:to>
    <xdr:sp macro="" textlink="">
      <xdr:nvSpPr>
        <xdr:cNvPr id="26" name="Textfeld 25">
          <a:extLst>
            <a:ext uri="{FF2B5EF4-FFF2-40B4-BE49-F238E27FC236}">
              <a16:creationId xmlns:a16="http://schemas.microsoft.com/office/drawing/2014/main" id="{71CDA55D-CC07-4A6C-BA01-4ED88AD4AECD}"/>
            </a:ext>
          </a:extLst>
        </xdr:cNvPr>
        <xdr:cNvSpPr txBox="1"/>
      </xdr:nvSpPr>
      <xdr:spPr>
        <a:xfrm>
          <a:off x="8858250" y="963739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335</xdr:row>
      <xdr:rowOff>95250</xdr:rowOff>
    </xdr:from>
    <xdr:to>
      <xdr:col>4</xdr:col>
      <xdr:colOff>38100</xdr:colOff>
      <xdr:row>337</xdr:row>
      <xdr:rowOff>0</xdr:rowOff>
    </xdr:to>
    <xdr:sp macro="" textlink="">
      <xdr:nvSpPr>
        <xdr:cNvPr id="27" name="Textfeld 26">
          <a:extLst>
            <a:ext uri="{FF2B5EF4-FFF2-40B4-BE49-F238E27FC236}">
              <a16:creationId xmlns:a16="http://schemas.microsoft.com/office/drawing/2014/main" id="{9C5E723F-B28F-434E-8292-B82A7BEFD9F9}"/>
            </a:ext>
          </a:extLst>
        </xdr:cNvPr>
        <xdr:cNvSpPr txBox="1"/>
      </xdr:nvSpPr>
      <xdr:spPr>
        <a:xfrm>
          <a:off x="8867775" y="107994450"/>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386</xdr:row>
      <xdr:rowOff>171449</xdr:rowOff>
    </xdr:from>
    <xdr:to>
      <xdr:col>4</xdr:col>
      <xdr:colOff>38100</xdr:colOff>
      <xdr:row>388</xdr:row>
      <xdr:rowOff>76199</xdr:rowOff>
    </xdr:to>
    <xdr:sp macro="" textlink="">
      <xdr:nvSpPr>
        <xdr:cNvPr id="28" name="Textfeld 27">
          <a:extLst>
            <a:ext uri="{FF2B5EF4-FFF2-40B4-BE49-F238E27FC236}">
              <a16:creationId xmlns:a16="http://schemas.microsoft.com/office/drawing/2014/main" id="{AA7E59DD-B264-46C4-B31A-6286405FB0C6}"/>
            </a:ext>
          </a:extLst>
        </xdr:cNvPr>
        <xdr:cNvSpPr txBox="1"/>
      </xdr:nvSpPr>
      <xdr:spPr>
        <a:xfrm>
          <a:off x="8867775" y="1197292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80</xdr:row>
      <xdr:rowOff>104774</xdr:rowOff>
    </xdr:from>
    <xdr:to>
      <xdr:col>3</xdr:col>
      <xdr:colOff>800100</xdr:colOff>
      <xdr:row>82</xdr:row>
      <xdr:rowOff>9524</xdr:rowOff>
    </xdr:to>
    <xdr:sp macro="" textlink="">
      <xdr:nvSpPr>
        <xdr:cNvPr id="29" name="Textfeld 28">
          <a:extLst>
            <a:ext uri="{FF2B5EF4-FFF2-40B4-BE49-F238E27FC236}">
              <a16:creationId xmlns:a16="http://schemas.microsoft.com/office/drawing/2014/main" id="{2CDA7FBD-7429-4E3A-BFC0-C8E2137BCF3F}"/>
            </a:ext>
          </a:extLst>
        </xdr:cNvPr>
        <xdr:cNvSpPr txBox="1"/>
      </xdr:nvSpPr>
      <xdr:spPr>
        <a:xfrm>
          <a:off x="8791575" y="49710974"/>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131</xdr:row>
      <xdr:rowOff>123824</xdr:rowOff>
    </xdr:from>
    <xdr:to>
      <xdr:col>4</xdr:col>
      <xdr:colOff>76200</xdr:colOff>
      <xdr:row>133</xdr:row>
      <xdr:rowOff>28574</xdr:rowOff>
    </xdr:to>
    <xdr:sp macro="" textlink="">
      <xdr:nvSpPr>
        <xdr:cNvPr id="30" name="Textfeld 29">
          <a:extLst>
            <a:ext uri="{FF2B5EF4-FFF2-40B4-BE49-F238E27FC236}">
              <a16:creationId xmlns:a16="http://schemas.microsoft.com/office/drawing/2014/main" id="{F2142986-EA93-4161-B3D4-DB06F867E947}"/>
            </a:ext>
          </a:extLst>
        </xdr:cNvPr>
        <xdr:cNvSpPr txBox="1"/>
      </xdr:nvSpPr>
      <xdr:spPr>
        <a:xfrm>
          <a:off x="11115675" y="61388624"/>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182</xdr:row>
      <xdr:rowOff>133350</xdr:rowOff>
    </xdr:from>
    <xdr:to>
      <xdr:col>4</xdr:col>
      <xdr:colOff>95250</xdr:colOff>
      <xdr:row>184</xdr:row>
      <xdr:rowOff>38100</xdr:rowOff>
    </xdr:to>
    <xdr:sp macro="" textlink="">
      <xdr:nvSpPr>
        <xdr:cNvPr id="31" name="Textfeld 30">
          <a:extLst>
            <a:ext uri="{FF2B5EF4-FFF2-40B4-BE49-F238E27FC236}">
              <a16:creationId xmlns:a16="http://schemas.microsoft.com/office/drawing/2014/main" id="{EFD46FEC-2265-474D-A86C-03895C783707}"/>
            </a:ext>
          </a:extLst>
        </xdr:cNvPr>
        <xdr:cNvSpPr txBox="1"/>
      </xdr:nvSpPr>
      <xdr:spPr>
        <a:xfrm>
          <a:off x="11134725" y="73056750"/>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233</xdr:row>
      <xdr:rowOff>152400</xdr:rowOff>
    </xdr:from>
    <xdr:to>
      <xdr:col>3</xdr:col>
      <xdr:colOff>800100</xdr:colOff>
      <xdr:row>235</xdr:row>
      <xdr:rowOff>57150</xdr:rowOff>
    </xdr:to>
    <xdr:sp macro="" textlink="">
      <xdr:nvSpPr>
        <xdr:cNvPr id="32" name="Textfeld 31">
          <a:extLst>
            <a:ext uri="{FF2B5EF4-FFF2-40B4-BE49-F238E27FC236}">
              <a16:creationId xmlns:a16="http://schemas.microsoft.com/office/drawing/2014/main" id="{3513F657-0A23-4CC4-9755-7177B369B039}"/>
            </a:ext>
          </a:extLst>
        </xdr:cNvPr>
        <xdr:cNvSpPr txBox="1"/>
      </xdr:nvSpPr>
      <xdr:spPr>
        <a:xfrm>
          <a:off x="8791575" y="84734400"/>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284</xdr:row>
      <xdr:rowOff>133349</xdr:rowOff>
    </xdr:from>
    <xdr:to>
      <xdr:col>4</xdr:col>
      <xdr:colOff>28575</xdr:colOff>
      <xdr:row>286</xdr:row>
      <xdr:rowOff>38099</xdr:rowOff>
    </xdr:to>
    <xdr:sp macro="" textlink="">
      <xdr:nvSpPr>
        <xdr:cNvPr id="33" name="Textfeld 32">
          <a:extLst>
            <a:ext uri="{FF2B5EF4-FFF2-40B4-BE49-F238E27FC236}">
              <a16:creationId xmlns:a16="http://schemas.microsoft.com/office/drawing/2014/main" id="{A0CBC123-6645-43C8-8E17-EB1CD7ABF1B2}"/>
            </a:ext>
          </a:extLst>
        </xdr:cNvPr>
        <xdr:cNvSpPr txBox="1"/>
      </xdr:nvSpPr>
      <xdr:spPr>
        <a:xfrm>
          <a:off x="8858250" y="963739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335</xdr:row>
      <xdr:rowOff>95250</xdr:rowOff>
    </xdr:from>
    <xdr:to>
      <xdr:col>4</xdr:col>
      <xdr:colOff>38100</xdr:colOff>
      <xdr:row>337</xdr:row>
      <xdr:rowOff>0</xdr:rowOff>
    </xdr:to>
    <xdr:sp macro="" textlink="">
      <xdr:nvSpPr>
        <xdr:cNvPr id="34" name="Textfeld 33">
          <a:extLst>
            <a:ext uri="{FF2B5EF4-FFF2-40B4-BE49-F238E27FC236}">
              <a16:creationId xmlns:a16="http://schemas.microsoft.com/office/drawing/2014/main" id="{E9D64E07-DBBD-4CF7-B791-12CAAD1B871D}"/>
            </a:ext>
          </a:extLst>
        </xdr:cNvPr>
        <xdr:cNvSpPr txBox="1"/>
      </xdr:nvSpPr>
      <xdr:spPr>
        <a:xfrm>
          <a:off x="8867775" y="107994450"/>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386</xdr:row>
      <xdr:rowOff>171449</xdr:rowOff>
    </xdr:from>
    <xdr:to>
      <xdr:col>4</xdr:col>
      <xdr:colOff>38100</xdr:colOff>
      <xdr:row>388</xdr:row>
      <xdr:rowOff>76199</xdr:rowOff>
    </xdr:to>
    <xdr:sp macro="" textlink="">
      <xdr:nvSpPr>
        <xdr:cNvPr id="35" name="Textfeld 34">
          <a:extLst>
            <a:ext uri="{FF2B5EF4-FFF2-40B4-BE49-F238E27FC236}">
              <a16:creationId xmlns:a16="http://schemas.microsoft.com/office/drawing/2014/main" id="{D3FC79E4-07C8-4585-91F2-6DF32B29014C}"/>
            </a:ext>
          </a:extLst>
        </xdr:cNvPr>
        <xdr:cNvSpPr txBox="1"/>
      </xdr:nvSpPr>
      <xdr:spPr>
        <a:xfrm>
          <a:off x="8867775" y="1197292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830580</xdr:colOff>
          <xdr:row>40</xdr:row>
          <xdr:rowOff>38100</xdr:rowOff>
        </xdr:from>
        <xdr:to>
          <xdr:col>8</xdr:col>
          <xdr:colOff>251460</xdr:colOff>
          <xdr:row>42</xdr:row>
          <xdr:rowOff>68580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8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8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8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175260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8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175260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8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8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8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8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8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8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8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8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8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8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8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8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8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8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8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8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8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8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8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8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8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8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8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8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8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8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8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8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8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8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8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8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8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8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8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8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8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8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8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8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8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8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8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8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8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8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8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8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8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8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8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8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8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8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8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8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8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8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8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8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8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8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8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8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8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8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8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8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8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8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8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8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8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8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8" name="Check Box 114" hidden="1">
              <a:extLst>
                <a:ext uri="{63B3BB69-23CF-44E3-9099-C40C66FF867C}">
                  <a14:compatExt spid="_x0000_s11378"/>
                </a:ext>
                <a:ext uri="{FF2B5EF4-FFF2-40B4-BE49-F238E27FC236}">
                  <a16:creationId xmlns:a16="http://schemas.microsoft.com/office/drawing/2014/main" id="{00000000-0008-0000-08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79" name="Check Box 115" hidden="1">
              <a:extLst>
                <a:ext uri="{63B3BB69-23CF-44E3-9099-C40C66FF867C}">
                  <a14:compatExt spid="_x0000_s11379"/>
                </a:ext>
                <a:ext uri="{FF2B5EF4-FFF2-40B4-BE49-F238E27FC236}">
                  <a16:creationId xmlns:a16="http://schemas.microsoft.com/office/drawing/2014/main" id="{00000000-0008-0000-08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80" name="Check Box 116" hidden="1">
              <a:extLst>
                <a:ext uri="{63B3BB69-23CF-44E3-9099-C40C66FF867C}">
                  <a14:compatExt spid="_x0000_s11380"/>
                </a:ext>
                <a:ext uri="{FF2B5EF4-FFF2-40B4-BE49-F238E27FC236}">
                  <a16:creationId xmlns:a16="http://schemas.microsoft.com/office/drawing/2014/main" id="{00000000-0008-0000-08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8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2.v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drawing" Target="../drawings/drawing4.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atzverhandlungen_sachsen@barmer.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Pflege-SN@bkkmitte.de" TargetMode="External"/><Relationship Id="rId5" Type="http://schemas.openxmlformats.org/officeDocument/2006/relationships/hyperlink" Target="mailto:vertrag.chemnitz@kbs.de" TargetMode="External"/><Relationship Id="rId4" Type="http://schemas.openxmlformats.org/officeDocument/2006/relationships/hyperlink" Target="mailto:pflegeverhandlungen-sachsen@ikk-classic.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6"/>
  <sheetViews>
    <sheetView showGridLines="0" zoomScaleNormal="100" workbookViewId="0">
      <pane ySplit="5" topLeftCell="A77" activePane="bottomLeft" state="frozen"/>
      <selection pane="bottomLeft" activeCell="D81" sqref="D81"/>
    </sheetView>
  </sheetViews>
  <sheetFormatPr baseColWidth="10" defaultRowHeight="13.8" x14ac:dyDescent="0.25"/>
  <cols>
    <col min="1" max="1" width="10.59765625" customWidth="1"/>
    <col min="2" max="2" width="28.09765625" customWidth="1"/>
    <col min="3" max="3" width="30" customWidth="1"/>
    <col min="4" max="4" width="42.69921875" customWidth="1"/>
    <col min="5" max="5" width="29.69921875" customWidth="1"/>
  </cols>
  <sheetData>
    <row r="1" spans="1:5" x14ac:dyDescent="0.25">
      <c r="A1" s="379"/>
      <c r="B1" s="379"/>
      <c r="C1" s="379"/>
      <c r="D1" s="379"/>
      <c r="E1" s="379"/>
    </row>
    <row r="2" spans="1:5" ht="23.25" customHeight="1" x14ac:dyDescent="0.25">
      <c r="A2" s="1623" t="s">
        <v>886</v>
      </c>
      <c r="B2" s="1611"/>
      <c r="C2" s="1611"/>
      <c r="D2" s="1611"/>
      <c r="E2" s="1611"/>
    </row>
    <row r="3" spans="1:5" x14ac:dyDescent="0.25">
      <c r="A3" s="379"/>
      <c r="B3" s="379"/>
      <c r="C3" s="379"/>
      <c r="D3" s="379"/>
      <c r="E3" s="379"/>
    </row>
    <row r="5" spans="1:5" ht="26.4" x14ac:dyDescent="0.25">
      <c r="A5" s="380" t="s">
        <v>327</v>
      </c>
      <c r="B5" s="380" t="s">
        <v>328</v>
      </c>
      <c r="C5" s="380" t="s">
        <v>329</v>
      </c>
      <c r="D5" s="380" t="s">
        <v>330</v>
      </c>
      <c r="E5" s="380" t="s">
        <v>331</v>
      </c>
    </row>
    <row r="6" spans="1:5" s="397" customFormat="1" ht="26.4" x14ac:dyDescent="0.25">
      <c r="A6" s="398">
        <v>46185</v>
      </c>
      <c r="B6" s="399"/>
      <c r="C6" s="399"/>
      <c r="D6" s="1126" t="s">
        <v>516</v>
      </c>
      <c r="E6" s="399"/>
    </row>
    <row r="7" spans="1:5" s="397" customFormat="1" ht="39.6" x14ac:dyDescent="0.25">
      <c r="A7" s="398">
        <v>46196</v>
      </c>
      <c r="B7" s="1150" t="s">
        <v>1</v>
      </c>
      <c r="C7" s="1150" t="s">
        <v>520</v>
      </c>
      <c r="D7" s="1150" t="s">
        <v>519</v>
      </c>
      <c r="E7" s="1150" t="s">
        <v>521</v>
      </c>
    </row>
    <row r="8" spans="1:5" s="397" customFormat="1" ht="39.6" x14ac:dyDescent="0.25">
      <c r="A8" s="398"/>
      <c r="B8" s="399"/>
      <c r="C8" s="399"/>
      <c r="D8" s="1150" t="s">
        <v>518</v>
      </c>
      <c r="E8" s="399"/>
    </row>
    <row r="9" spans="1:5" s="397" customFormat="1" ht="92.4" x14ac:dyDescent="0.25">
      <c r="A9" s="398"/>
      <c r="B9" s="399"/>
      <c r="C9" s="1366" t="s">
        <v>524</v>
      </c>
      <c r="D9" s="1366" t="s">
        <v>536</v>
      </c>
      <c r="E9" s="1366" t="s">
        <v>537</v>
      </c>
    </row>
    <row r="10" spans="1:5" s="397" customFormat="1" ht="13.2" x14ac:dyDescent="0.25">
      <c r="A10" s="398"/>
      <c r="B10" s="399"/>
      <c r="C10" s="1150"/>
      <c r="D10" s="1150" t="s">
        <v>525</v>
      </c>
      <c r="E10" s="1150"/>
    </row>
    <row r="11" spans="1:5" s="397" customFormat="1" ht="52.8" x14ac:dyDescent="0.25">
      <c r="A11" s="398"/>
      <c r="B11" s="399"/>
      <c r="C11" s="1150" t="s">
        <v>531</v>
      </c>
      <c r="D11" s="1150" t="s">
        <v>529</v>
      </c>
      <c r="E11" s="1363" t="s">
        <v>530</v>
      </c>
    </row>
    <row r="12" spans="1:5" s="397" customFormat="1" ht="13.2" x14ac:dyDescent="0.25">
      <c r="A12" s="398"/>
      <c r="B12" s="1150" t="s">
        <v>116</v>
      </c>
      <c r="C12" s="1150" t="s">
        <v>522</v>
      </c>
      <c r="D12" s="1150" t="s">
        <v>523</v>
      </c>
      <c r="E12" s="399"/>
    </row>
    <row r="13" spans="1:5" s="397" customFormat="1" ht="39.6" x14ac:dyDescent="0.25">
      <c r="A13" s="398"/>
      <c r="B13" s="1150" t="s">
        <v>451</v>
      </c>
      <c r="C13" s="1150" t="s">
        <v>527</v>
      </c>
      <c r="D13" s="1150" t="s">
        <v>526</v>
      </c>
      <c r="E13" s="1150" t="s">
        <v>528</v>
      </c>
    </row>
    <row r="14" spans="1:5" s="397" customFormat="1" ht="66" x14ac:dyDescent="0.25">
      <c r="A14" s="398"/>
      <c r="B14" s="399"/>
      <c r="C14" s="1150" t="s">
        <v>533</v>
      </c>
      <c r="D14" s="1150" t="s">
        <v>532</v>
      </c>
      <c r="E14" s="1150" t="s">
        <v>534</v>
      </c>
    </row>
    <row r="15" spans="1:5" s="397" customFormat="1" ht="26.4" x14ac:dyDescent="0.25">
      <c r="A15" s="1341" t="s">
        <v>741</v>
      </c>
      <c r="B15" s="1342" t="s">
        <v>742</v>
      </c>
      <c r="C15" s="1342" t="s">
        <v>743</v>
      </c>
      <c r="D15" s="1342" t="s">
        <v>744</v>
      </c>
      <c r="E15" s="399"/>
    </row>
    <row r="16" spans="1:5" s="397" customFormat="1" ht="39.6" x14ac:dyDescent="0.25">
      <c r="A16" s="398"/>
      <c r="B16" s="1342" t="s">
        <v>745</v>
      </c>
      <c r="C16" s="1342" t="s">
        <v>746</v>
      </c>
      <c r="D16" s="1342" t="s">
        <v>747</v>
      </c>
      <c r="E16" s="399"/>
    </row>
    <row r="17" spans="1:5" s="397" customFormat="1" ht="26.4" x14ac:dyDescent="0.25">
      <c r="A17" s="398"/>
      <c r="B17" s="1342" t="s">
        <v>748</v>
      </c>
      <c r="C17" s="1342" t="s">
        <v>749</v>
      </c>
      <c r="D17" s="399"/>
      <c r="E17" s="399"/>
    </row>
    <row r="18" spans="1:5" s="397" customFormat="1" ht="52.8" x14ac:dyDescent="0.25">
      <c r="A18" s="398"/>
      <c r="B18" s="1342" t="s">
        <v>453</v>
      </c>
      <c r="C18" s="1342" t="s">
        <v>750</v>
      </c>
      <c r="D18" s="399"/>
      <c r="E18" s="399"/>
    </row>
    <row r="19" spans="1:5" s="397" customFormat="1" ht="105.6" customHeight="1" x14ac:dyDescent="0.25">
      <c r="A19" s="398">
        <v>46199</v>
      </c>
      <c r="B19" s="1344" t="s">
        <v>742</v>
      </c>
      <c r="C19" s="1344" t="s">
        <v>752</v>
      </c>
      <c r="D19" s="1363" t="s">
        <v>796</v>
      </c>
      <c r="E19" s="1365" t="s">
        <v>767</v>
      </c>
    </row>
    <row r="20" spans="1:5" s="397" customFormat="1" ht="66" x14ac:dyDescent="0.25">
      <c r="A20" s="398"/>
      <c r="B20" s="1344" t="s">
        <v>451</v>
      </c>
      <c r="C20" s="1344" t="s">
        <v>533</v>
      </c>
      <c r="D20" s="1344" t="s">
        <v>753</v>
      </c>
      <c r="E20" s="1344" t="s">
        <v>764</v>
      </c>
    </row>
    <row r="21" spans="1:5" s="397" customFormat="1" ht="66" x14ac:dyDescent="0.25">
      <c r="A21" s="398"/>
      <c r="B21" s="399"/>
      <c r="C21" s="399"/>
      <c r="D21" s="1378" t="s">
        <v>841</v>
      </c>
      <c r="E21" s="399"/>
    </row>
    <row r="22" spans="1:5" ht="52.8" x14ac:dyDescent="0.25">
      <c r="A22" s="398"/>
      <c r="B22" s="399"/>
      <c r="C22" s="1344" t="s">
        <v>755</v>
      </c>
      <c r="D22" s="1344" t="s">
        <v>756</v>
      </c>
      <c r="E22" s="1344" t="s">
        <v>754</v>
      </c>
    </row>
    <row r="23" spans="1:5" ht="39.6" x14ac:dyDescent="0.25">
      <c r="A23" s="398"/>
      <c r="B23" s="1344" t="s">
        <v>1</v>
      </c>
      <c r="C23" s="1344" t="s">
        <v>524</v>
      </c>
      <c r="D23" s="1344" t="s">
        <v>769</v>
      </c>
      <c r="E23" s="1480" t="s">
        <v>768</v>
      </c>
    </row>
    <row r="24" spans="1:5" x14ac:dyDescent="0.25">
      <c r="A24" s="398">
        <v>46202</v>
      </c>
      <c r="B24" s="1363" t="s">
        <v>452</v>
      </c>
      <c r="C24" s="1363" t="s">
        <v>790</v>
      </c>
      <c r="D24" s="1363" t="s">
        <v>791</v>
      </c>
      <c r="E24" s="1624" t="s">
        <v>799</v>
      </c>
    </row>
    <row r="25" spans="1:5" x14ac:dyDescent="0.25">
      <c r="A25" s="398"/>
      <c r="B25" s="399"/>
      <c r="C25" s="399"/>
      <c r="D25" s="1363" t="s">
        <v>792</v>
      </c>
      <c r="E25" s="1625"/>
    </row>
    <row r="26" spans="1:5" ht="39.6" x14ac:dyDescent="0.25">
      <c r="A26" s="398"/>
      <c r="B26" s="399"/>
      <c r="C26" s="1363" t="s">
        <v>795</v>
      </c>
      <c r="D26" s="1363" t="s">
        <v>794</v>
      </c>
      <c r="E26" s="1625"/>
    </row>
    <row r="27" spans="1:5" ht="39.6" x14ac:dyDescent="0.25">
      <c r="A27" s="398"/>
      <c r="B27" s="399"/>
      <c r="C27" s="399"/>
      <c r="D27" s="1363" t="s">
        <v>793</v>
      </c>
      <c r="E27" s="1625"/>
    </row>
    <row r="28" spans="1:5" x14ac:dyDescent="0.25">
      <c r="A28" s="398"/>
      <c r="B28" s="399"/>
      <c r="C28" s="1363" t="s">
        <v>798</v>
      </c>
      <c r="D28" s="1363" t="s">
        <v>797</v>
      </c>
      <c r="E28" s="1625"/>
    </row>
    <row r="29" spans="1:5" x14ac:dyDescent="0.25">
      <c r="A29" s="398"/>
      <c r="B29" s="399"/>
      <c r="C29" s="399"/>
      <c r="D29" s="1368" t="s">
        <v>800</v>
      </c>
      <c r="E29" s="1626"/>
    </row>
    <row r="30" spans="1:5" ht="39.6" x14ac:dyDescent="0.25">
      <c r="A30" s="398"/>
      <c r="B30" s="399"/>
      <c r="C30" s="1363" t="s">
        <v>802</v>
      </c>
      <c r="D30" s="1379" t="s">
        <v>801</v>
      </c>
      <c r="E30" s="872"/>
    </row>
    <row r="31" spans="1:5" ht="39.6" x14ac:dyDescent="0.25">
      <c r="A31" s="873"/>
      <c r="B31" s="874"/>
      <c r="C31" s="874"/>
      <c r="D31" s="1363" t="s">
        <v>803</v>
      </c>
      <c r="E31" s="874"/>
    </row>
    <row r="32" spans="1:5" ht="52.8" x14ac:dyDescent="0.25">
      <c r="A32" s="875"/>
      <c r="B32" s="399"/>
      <c r="C32" s="1363" t="s">
        <v>804</v>
      </c>
      <c r="D32" s="1363" t="s">
        <v>805</v>
      </c>
      <c r="E32" s="399"/>
    </row>
    <row r="33" spans="1:5" ht="39.6" x14ac:dyDescent="0.25">
      <c r="A33" s="875"/>
      <c r="B33" s="399"/>
      <c r="C33" s="399"/>
      <c r="D33" s="1363" t="s">
        <v>808</v>
      </c>
      <c r="E33" s="399"/>
    </row>
    <row r="34" spans="1:5" ht="52.8" x14ac:dyDescent="0.25">
      <c r="A34" s="875"/>
      <c r="B34" s="399"/>
      <c r="C34" s="1363" t="s">
        <v>807</v>
      </c>
      <c r="D34" s="1363" t="s">
        <v>806</v>
      </c>
      <c r="E34" s="399"/>
    </row>
    <row r="35" spans="1:5" ht="39.6" x14ac:dyDescent="0.25">
      <c r="A35" s="875"/>
      <c r="B35" s="399"/>
      <c r="C35" s="399"/>
      <c r="D35" s="1363" t="s">
        <v>809</v>
      </c>
      <c r="E35" s="399"/>
    </row>
    <row r="36" spans="1:5" ht="52.8" x14ac:dyDescent="0.25">
      <c r="A36" s="875"/>
      <c r="B36" s="399"/>
      <c r="C36" s="1363" t="s">
        <v>811</v>
      </c>
      <c r="D36" s="1363" t="s">
        <v>810</v>
      </c>
      <c r="E36" s="399"/>
    </row>
    <row r="37" spans="1:5" ht="39.6" x14ac:dyDescent="0.25">
      <c r="A37" s="875"/>
      <c r="B37" s="399"/>
      <c r="C37" s="399"/>
      <c r="D37" s="1363" t="s">
        <v>812</v>
      </c>
      <c r="E37" s="399"/>
    </row>
    <row r="38" spans="1:5" ht="52.8" x14ac:dyDescent="0.25">
      <c r="A38" s="875"/>
      <c r="B38" s="399"/>
      <c r="C38" s="1363" t="s">
        <v>814</v>
      </c>
      <c r="D38" s="1363" t="s">
        <v>813</v>
      </c>
      <c r="E38" s="399"/>
    </row>
    <row r="39" spans="1:5" ht="39.6" x14ac:dyDescent="0.25">
      <c r="A39" s="875"/>
      <c r="B39" s="399"/>
      <c r="C39" s="399"/>
      <c r="D39" s="1363" t="s">
        <v>815</v>
      </c>
      <c r="E39" s="399"/>
    </row>
    <row r="40" spans="1:5" ht="52.8" x14ac:dyDescent="0.25">
      <c r="A40" s="875"/>
      <c r="B40" s="399"/>
      <c r="C40" s="1363" t="s">
        <v>817</v>
      </c>
      <c r="D40" s="1363" t="s">
        <v>816</v>
      </c>
      <c r="E40" s="399"/>
    </row>
    <row r="41" spans="1:5" ht="39.6" x14ac:dyDescent="0.25">
      <c r="A41" s="875"/>
      <c r="B41" s="399"/>
      <c r="C41" s="399"/>
      <c r="D41" s="1363" t="s">
        <v>818</v>
      </c>
      <c r="E41" s="876"/>
    </row>
    <row r="42" spans="1:5" ht="52.8" x14ac:dyDescent="0.25">
      <c r="A42" s="875"/>
      <c r="B42" s="399"/>
      <c r="C42" s="1363" t="s">
        <v>820</v>
      </c>
      <c r="D42" s="1363" t="s">
        <v>819</v>
      </c>
      <c r="E42" s="876"/>
    </row>
    <row r="43" spans="1:5" ht="39.6" x14ac:dyDescent="0.25">
      <c r="A43" s="875"/>
      <c r="B43" s="399"/>
      <c r="C43" s="399"/>
      <c r="D43" s="1363" t="s">
        <v>821</v>
      </c>
      <c r="E43" s="876"/>
    </row>
    <row r="44" spans="1:5" ht="52.8" x14ac:dyDescent="0.25">
      <c r="A44" s="875"/>
      <c r="B44" s="399"/>
      <c r="C44" s="1363" t="s">
        <v>823</v>
      </c>
      <c r="D44" s="1363" t="s">
        <v>822</v>
      </c>
      <c r="E44" s="399"/>
    </row>
    <row r="45" spans="1:5" ht="39.6" x14ac:dyDescent="0.25">
      <c r="A45" s="875"/>
      <c r="B45" s="399"/>
      <c r="C45" s="399"/>
      <c r="D45" s="1363" t="s">
        <v>824</v>
      </c>
      <c r="E45" s="399"/>
    </row>
    <row r="46" spans="1:5" ht="52.8" x14ac:dyDescent="0.25">
      <c r="A46" s="875"/>
      <c r="B46" s="399"/>
      <c r="C46" s="1363" t="s">
        <v>826</v>
      </c>
      <c r="D46" s="1363" t="s">
        <v>825</v>
      </c>
      <c r="E46" s="399"/>
    </row>
    <row r="47" spans="1:5" ht="39.6" x14ac:dyDescent="0.25">
      <c r="A47" s="875"/>
      <c r="B47" s="877"/>
      <c r="C47" s="878"/>
      <c r="D47" s="1363" t="s">
        <v>827</v>
      </c>
      <c r="E47" s="399"/>
    </row>
    <row r="48" spans="1:5" ht="52.8" x14ac:dyDescent="0.25">
      <c r="A48" s="875"/>
      <c r="B48" s="877"/>
      <c r="C48" s="1363" t="s">
        <v>829</v>
      </c>
      <c r="D48" s="1363" t="s">
        <v>828</v>
      </c>
      <c r="E48" s="879"/>
    </row>
    <row r="49" spans="1:5" ht="39.6" x14ac:dyDescent="0.25">
      <c r="A49" s="875"/>
      <c r="B49" s="877"/>
      <c r="C49" s="878"/>
      <c r="D49" s="1363" t="s">
        <v>830</v>
      </c>
      <c r="E49" s="879"/>
    </row>
    <row r="50" spans="1:5" ht="52.8" x14ac:dyDescent="0.25">
      <c r="A50" s="875"/>
      <c r="B50" s="877"/>
      <c r="C50" s="1363" t="s">
        <v>832</v>
      </c>
      <c r="D50" s="1363" t="s">
        <v>831</v>
      </c>
      <c r="E50" s="879"/>
    </row>
    <row r="51" spans="1:5" ht="39.6" x14ac:dyDescent="0.25">
      <c r="A51" s="875"/>
      <c r="B51" s="877"/>
      <c r="C51" s="880"/>
      <c r="D51" s="1363" t="s">
        <v>833</v>
      </c>
      <c r="E51" s="879"/>
    </row>
    <row r="52" spans="1:5" ht="52.8" x14ac:dyDescent="0.25">
      <c r="A52" s="875"/>
      <c r="B52" s="881"/>
      <c r="C52" s="1363" t="s">
        <v>835</v>
      </c>
      <c r="D52" s="1363" t="s">
        <v>834</v>
      </c>
      <c r="E52" s="879"/>
    </row>
    <row r="53" spans="1:5" ht="39.6" x14ac:dyDescent="0.25">
      <c r="A53" s="875"/>
      <c r="B53" s="881"/>
      <c r="C53" s="880"/>
      <c r="D53" s="1363" t="s">
        <v>836</v>
      </c>
      <c r="E53" s="881"/>
    </row>
    <row r="54" spans="1:5" ht="26.4" x14ac:dyDescent="0.25">
      <c r="A54" s="875"/>
      <c r="B54" s="881"/>
      <c r="C54" s="1455" t="s">
        <v>854</v>
      </c>
      <c r="D54" s="1460" t="s">
        <v>855</v>
      </c>
      <c r="E54" s="881"/>
    </row>
    <row r="55" spans="1:5" ht="26.4" x14ac:dyDescent="0.25">
      <c r="A55" s="875"/>
      <c r="B55" s="881"/>
      <c r="C55" s="1455" t="s">
        <v>856</v>
      </c>
      <c r="D55" s="1460" t="s">
        <v>855</v>
      </c>
      <c r="E55" s="881"/>
    </row>
    <row r="56" spans="1:5" x14ac:dyDescent="0.25">
      <c r="A56" s="875"/>
      <c r="B56" s="881"/>
      <c r="C56" s="1455" t="s">
        <v>861</v>
      </c>
      <c r="D56" s="1460" t="s">
        <v>862</v>
      </c>
      <c r="E56" s="881"/>
    </row>
    <row r="57" spans="1:5" ht="26.4" x14ac:dyDescent="0.25">
      <c r="A57" s="875"/>
      <c r="B57" s="881"/>
      <c r="C57" s="1455" t="s">
        <v>863</v>
      </c>
      <c r="D57" s="1460" t="s">
        <v>864</v>
      </c>
      <c r="E57" s="881"/>
    </row>
    <row r="58" spans="1:5" x14ac:dyDescent="0.25">
      <c r="A58" s="875"/>
      <c r="B58" s="1455" t="s">
        <v>453</v>
      </c>
      <c r="C58" s="1452" t="s">
        <v>842</v>
      </c>
      <c r="D58" s="1453" t="s">
        <v>845</v>
      </c>
      <c r="E58" s="1363"/>
    </row>
    <row r="59" spans="1:5" x14ac:dyDescent="0.25">
      <c r="A59" s="882"/>
      <c r="B59" s="883"/>
      <c r="C59" s="1452"/>
      <c r="D59" s="1453" t="s">
        <v>844</v>
      </c>
      <c r="E59" s="430"/>
    </row>
    <row r="60" spans="1:5" x14ac:dyDescent="0.25">
      <c r="A60" s="882"/>
      <c r="B60" s="883"/>
      <c r="C60" s="1452" t="s">
        <v>843</v>
      </c>
      <c r="D60" s="1452" t="s">
        <v>847</v>
      </c>
      <c r="E60" s="430"/>
    </row>
    <row r="61" spans="1:5" x14ac:dyDescent="0.25">
      <c r="A61" s="882"/>
      <c r="B61" s="883"/>
      <c r="C61" s="884"/>
      <c r="D61" s="1452" t="s">
        <v>846</v>
      </c>
      <c r="E61" s="430"/>
    </row>
    <row r="62" spans="1:5" ht="39.6" x14ac:dyDescent="0.25">
      <c r="A62" s="882"/>
      <c r="B62" s="883"/>
      <c r="C62" s="1455" t="s">
        <v>857</v>
      </c>
      <c r="D62" s="1452" t="s">
        <v>858</v>
      </c>
      <c r="E62" s="1461" t="s">
        <v>860</v>
      </c>
    </row>
    <row r="63" spans="1:5" ht="39.6" x14ac:dyDescent="0.25">
      <c r="A63" s="882"/>
      <c r="B63" s="883"/>
      <c r="C63" s="884"/>
      <c r="D63" s="1452" t="s">
        <v>859</v>
      </c>
      <c r="E63" s="1452"/>
    </row>
    <row r="64" spans="1:5" x14ac:dyDescent="0.25">
      <c r="A64" s="882"/>
      <c r="B64" s="883"/>
      <c r="C64" s="1455" t="s">
        <v>865</v>
      </c>
      <c r="D64" s="1452" t="s">
        <v>851</v>
      </c>
      <c r="E64" s="1452"/>
    </row>
    <row r="65" spans="1:5" x14ac:dyDescent="0.25">
      <c r="A65" s="430"/>
      <c r="B65" s="1454" t="s">
        <v>1</v>
      </c>
      <c r="C65" s="1455" t="s">
        <v>848</v>
      </c>
      <c r="D65" s="1452" t="s">
        <v>849</v>
      </c>
      <c r="E65" s="1452"/>
    </row>
    <row r="66" spans="1:5" x14ac:dyDescent="0.25">
      <c r="A66" s="430"/>
      <c r="B66" s="883"/>
      <c r="C66" s="1455" t="s">
        <v>850</v>
      </c>
      <c r="D66" s="1452" t="s">
        <v>851</v>
      </c>
      <c r="E66" s="1452"/>
    </row>
    <row r="67" spans="1:5" ht="26.4" x14ac:dyDescent="0.25">
      <c r="A67" s="430"/>
      <c r="B67" s="885"/>
      <c r="C67" s="1455" t="s">
        <v>852</v>
      </c>
      <c r="D67" s="1452" t="s">
        <v>853</v>
      </c>
      <c r="E67" s="1452"/>
    </row>
    <row r="68" spans="1:5" x14ac:dyDescent="0.25">
      <c r="A68" s="1481">
        <v>46204</v>
      </c>
      <c r="B68" s="1465" t="s">
        <v>451</v>
      </c>
      <c r="C68" s="1466" t="s">
        <v>866</v>
      </c>
      <c r="D68" s="1452" t="s">
        <v>867</v>
      </c>
      <c r="E68" s="1452"/>
    </row>
    <row r="69" spans="1:5" x14ac:dyDescent="0.25">
      <c r="A69" s="886"/>
      <c r="B69" s="887"/>
      <c r="C69" s="1466"/>
      <c r="D69" s="1452" t="s">
        <v>525</v>
      </c>
      <c r="E69" s="1452"/>
    </row>
    <row r="70" spans="1:5" ht="26.4" x14ac:dyDescent="0.25">
      <c r="A70" s="886"/>
      <c r="B70" s="887"/>
      <c r="C70" s="1466" t="s">
        <v>527</v>
      </c>
      <c r="D70" s="1452" t="s">
        <v>868</v>
      </c>
      <c r="E70" s="1452" t="s">
        <v>870</v>
      </c>
    </row>
    <row r="71" spans="1:5" ht="34.200000000000003" x14ac:dyDescent="0.25">
      <c r="A71" s="1469"/>
      <c r="B71" s="1470"/>
      <c r="C71" s="1471" t="s">
        <v>533</v>
      </c>
      <c r="D71" s="1471" t="s">
        <v>869</v>
      </c>
      <c r="E71" s="1471" t="s">
        <v>870</v>
      </c>
    </row>
    <row r="72" spans="1:5" x14ac:dyDescent="0.25">
      <c r="A72" s="1469"/>
      <c r="B72" s="1470" t="s">
        <v>742</v>
      </c>
      <c r="C72" s="1471" t="s">
        <v>871</v>
      </c>
      <c r="D72" s="1472" t="s">
        <v>872</v>
      </c>
      <c r="E72" s="1472"/>
    </row>
    <row r="73" spans="1:5" x14ac:dyDescent="0.25">
      <c r="A73" s="1469"/>
      <c r="B73" s="1470" t="s">
        <v>1</v>
      </c>
      <c r="C73" s="1471" t="s">
        <v>524</v>
      </c>
      <c r="D73" s="1472" t="s">
        <v>873</v>
      </c>
      <c r="E73" s="1472"/>
    </row>
    <row r="74" spans="1:5" x14ac:dyDescent="0.25">
      <c r="A74" s="1469"/>
      <c r="B74" s="1470" t="s">
        <v>742</v>
      </c>
      <c r="C74" s="1473" t="s">
        <v>876</v>
      </c>
      <c r="D74" s="1474" t="s">
        <v>874</v>
      </c>
      <c r="E74" s="1472"/>
    </row>
    <row r="75" spans="1:5" x14ac:dyDescent="0.25">
      <c r="A75" s="1469"/>
      <c r="B75" s="1470"/>
      <c r="C75" s="1471" t="s">
        <v>877</v>
      </c>
      <c r="D75" s="1472" t="s">
        <v>875</v>
      </c>
      <c r="E75" s="1472"/>
    </row>
    <row r="76" spans="1:5" x14ac:dyDescent="0.25">
      <c r="A76" s="1469">
        <v>46206</v>
      </c>
      <c r="B76" s="1470" t="s">
        <v>742</v>
      </c>
      <c r="C76" s="1471" t="s">
        <v>876</v>
      </c>
      <c r="D76" s="1472" t="s">
        <v>879</v>
      </c>
      <c r="E76" s="1472"/>
    </row>
    <row r="77" spans="1:5" ht="46.2" x14ac:dyDescent="0.25">
      <c r="A77" s="1472"/>
      <c r="B77" s="1470" t="s">
        <v>1</v>
      </c>
      <c r="C77" s="1471" t="s">
        <v>882</v>
      </c>
      <c r="D77" s="1477" t="s">
        <v>881</v>
      </c>
      <c r="E77" s="1477" t="s">
        <v>880</v>
      </c>
    </row>
    <row r="78" spans="1:5" ht="34.200000000000003" x14ac:dyDescent="0.25">
      <c r="A78" s="1472"/>
      <c r="B78" s="1472"/>
      <c r="C78" s="1471" t="s">
        <v>520</v>
      </c>
      <c r="D78" s="1478" t="s">
        <v>884</v>
      </c>
      <c r="E78" s="1477" t="s">
        <v>880</v>
      </c>
    </row>
    <row r="79" spans="1:5" ht="45.6" x14ac:dyDescent="0.25">
      <c r="A79" s="1472"/>
      <c r="B79" s="1470" t="s">
        <v>883</v>
      </c>
      <c r="C79" s="1471" t="s">
        <v>755</v>
      </c>
      <c r="D79" s="1479" t="s">
        <v>885</v>
      </c>
      <c r="E79" s="1477" t="s">
        <v>880</v>
      </c>
    </row>
    <row r="80" spans="1:5" x14ac:dyDescent="0.25">
      <c r="A80" s="1472" t="s">
        <v>888</v>
      </c>
      <c r="B80" s="1470" t="s">
        <v>99</v>
      </c>
      <c r="C80" s="1471" t="s">
        <v>889</v>
      </c>
      <c r="D80" s="1479" t="s">
        <v>890</v>
      </c>
      <c r="E80" s="1477"/>
    </row>
    <row r="81" spans="1:5" ht="22.8" x14ac:dyDescent="0.25">
      <c r="A81" s="1469">
        <v>46246</v>
      </c>
      <c r="B81" s="1470" t="s">
        <v>883</v>
      </c>
      <c r="C81" s="1471" t="s">
        <v>1306</v>
      </c>
      <c r="D81" s="1551" t="s">
        <v>1307</v>
      </c>
      <c r="E81" s="1477"/>
    </row>
    <row r="82" spans="1:5" x14ac:dyDescent="0.25">
      <c r="A82" s="1469"/>
      <c r="B82" s="1470" t="s">
        <v>1</v>
      </c>
      <c r="C82" s="1471" t="s">
        <v>1100</v>
      </c>
      <c r="D82" s="1551" t="s">
        <v>1308</v>
      </c>
      <c r="E82" s="1477"/>
    </row>
    <row r="83" spans="1:5" x14ac:dyDescent="0.25">
      <c r="A83" s="1469"/>
      <c r="B83" s="1470" t="s">
        <v>748</v>
      </c>
      <c r="C83" s="1471" t="s">
        <v>1338</v>
      </c>
      <c r="D83" s="1551" t="s">
        <v>1337</v>
      </c>
      <c r="E83" s="1477"/>
    </row>
    <row r="84" spans="1:5" ht="34.200000000000003" x14ac:dyDescent="0.25">
      <c r="B84" s="1571" t="s">
        <v>452</v>
      </c>
      <c r="C84" s="1572" t="s">
        <v>1339</v>
      </c>
      <c r="D84" s="1551" t="s">
        <v>1340</v>
      </c>
      <c r="E84" s="430"/>
    </row>
    <row r="85" spans="1:5" x14ac:dyDescent="0.25">
      <c r="A85" s="1472"/>
      <c r="B85" s="1470"/>
      <c r="C85" s="1471" t="s">
        <v>1341</v>
      </c>
      <c r="D85" s="1551" t="s">
        <v>1342</v>
      </c>
      <c r="E85" s="1477"/>
    </row>
    <row r="86" spans="1:5" x14ac:dyDescent="0.25">
      <c r="A86" s="1472"/>
      <c r="B86" s="1470" t="s">
        <v>565</v>
      </c>
      <c r="C86" s="1471" t="s">
        <v>1343</v>
      </c>
      <c r="D86" s="1551" t="s">
        <v>1344</v>
      </c>
      <c r="E86" s="1477"/>
    </row>
  </sheetData>
  <sheetProtection algorithmName="SHA-512" hashValue="1BxUDt99N87L1EVm6OVtTvjXkocREd/8saEn/jYmSsRqtWtR2Mp+sYmONgi4BK/FeiFeHg22oqhwpgbnMKxPHQ==" saltValue="afahEwH6/NGqRPKG+KmiSQ==" spinCount="100000" sheet="1" objects="1" scenarios="1"/>
  <mergeCells count="2">
    <mergeCell ref="A2:E2"/>
    <mergeCell ref="E24:E29"/>
  </mergeCells>
  <phoneticPr fontId="43" type="noConversion"/>
  <pageMargins left="0.70866141732283472" right="0.70866141732283472" top="0.78740157480314965" bottom="0.78740157480314965" header="0.31496062992125984" footer="0.31496062992125984"/>
  <pageSetup paperSize="9" scale="85" fitToHeight="10" orientation="landscape"/>
  <headerFooter>
    <oddFooter>&amp;LVersion:  ENTWURF 03.07.2026&amp;RPSK vom xx</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pageSetUpPr fitToPage="1"/>
  </sheetPr>
  <dimension ref="A1:R59"/>
  <sheetViews>
    <sheetView topLeftCell="A12" workbookViewId="0">
      <selection activeCell="A32" sqref="A32"/>
    </sheetView>
  </sheetViews>
  <sheetFormatPr baseColWidth="10" defaultRowHeight="13.8" x14ac:dyDescent="0.25"/>
  <cols>
    <col min="1" max="1" width="16.8984375" customWidth="1"/>
    <col min="5" max="5" width="14.5" customWidth="1"/>
    <col min="7" max="7" width="43.09765625" customWidth="1"/>
    <col min="14" max="14" width="12.09765625" customWidth="1"/>
  </cols>
  <sheetData>
    <row r="1" spans="1:6" s="133" customFormat="1" x14ac:dyDescent="0.25">
      <c r="A1" s="133" t="s">
        <v>119</v>
      </c>
      <c r="B1" s="133" t="s">
        <v>120</v>
      </c>
      <c r="C1" s="133" t="s">
        <v>103</v>
      </c>
      <c r="D1" s="133" t="s">
        <v>121</v>
      </c>
      <c r="E1" s="1026" t="s">
        <v>509</v>
      </c>
      <c r="F1" s="133" t="s">
        <v>123</v>
      </c>
    </row>
    <row r="2" spans="1:6" x14ac:dyDescent="0.25">
      <c r="B2" s="832" t="s">
        <v>124</v>
      </c>
      <c r="C2">
        <v>30.42</v>
      </c>
      <c r="D2">
        <v>365</v>
      </c>
      <c r="E2" s="1119">
        <v>100</v>
      </c>
      <c r="F2" t="s">
        <v>126</v>
      </c>
    </row>
    <row r="3" spans="1:6" x14ac:dyDescent="0.25">
      <c r="A3" t="s">
        <v>127</v>
      </c>
      <c r="E3" s="1119">
        <v>78</v>
      </c>
      <c r="F3" t="s">
        <v>125</v>
      </c>
    </row>
    <row r="4" spans="1:6" x14ac:dyDescent="0.25">
      <c r="E4" s="1119">
        <v>73</v>
      </c>
    </row>
    <row r="5" spans="1:6" x14ac:dyDescent="0.25">
      <c r="E5" s="1119">
        <v>70</v>
      </c>
    </row>
    <row r="6" spans="1:6" x14ac:dyDescent="0.25">
      <c r="E6" s="833"/>
    </row>
    <row r="7" spans="1:6" x14ac:dyDescent="0.25">
      <c r="D7" s="1028" t="s">
        <v>499</v>
      </c>
      <c r="E7" s="1027">
        <f>IF('Allgemeine Angaben'!H44="",0,DATEDIF('Allgemeine Angaben'!H44,'Allgemeine Angaben'!H50,"m"))</f>
        <v>0</v>
      </c>
    </row>
    <row r="8" spans="1:6" x14ac:dyDescent="0.25">
      <c r="E8" s="833"/>
    </row>
    <row r="9" spans="1:6" x14ac:dyDescent="0.25">
      <c r="E9" s="833"/>
    </row>
    <row r="10" spans="1:6" x14ac:dyDescent="0.25">
      <c r="E10" s="833"/>
    </row>
    <row r="11" spans="1:6" x14ac:dyDescent="0.25">
      <c r="A11" s="133" t="s">
        <v>418</v>
      </c>
      <c r="C11" s="935" t="s">
        <v>458</v>
      </c>
      <c r="E11" s="833"/>
    </row>
    <row r="12" spans="1:6" x14ac:dyDescent="0.25">
      <c r="A12" t="s">
        <v>10</v>
      </c>
      <c r="B12">
        <v>20</v>
      </c>
      <c r="C12" s="934">
        <f>ROUND('Allgemeine Angaben'!L46/KAT!B12,4)</f>
        <v>0</v>
      </c>
      <c r="E12" s="833"/>
    </row>
    <row r="13" spans="1:6" x14ac:dyDescent="0.25">
      <c r="A13" t="s">
        <v>419</v>
      </c>
      <c r="B13">
        <v>1.7</v>
      </c>
      <c r="C13" s="934">
        <f>ROUND('Allgemeine Angaben'!L46/KAT!B13,4)</f>
        <v>0</v>
      </c>
      <c r="E13" s="833"/>
    </row>
    <row r="14" spans="1:6" x14ac:dyDescent="0.25">
      <c r="A14" t="s">
        <v>420</v>
      </c>
      <c r="B14">
        <v>15</v>
      </c>
      <c r="C14" s="934">
        <f>ROUND('Allgemeine Angaben'!L46/KAT!B14,4)</f>
        <v>0</v>
      </c>
      <c r="E14" s="833"/>
    </row>
    <row r="15" spans="1:6" x14ac:dyDescent="0.25">
      <c r="A15" t="s">
        <v>421</v>
      </c>
      <c r="B15">
        <v>4.5</v>
      </c>
      <c r="C15" s="934">
        <f>ROUND('Allgemeine Angaben'!L46/KAT!B15,4)</f>
        <v>0</v>
      </c>
      <c r="E15" s="833"/>
    </row>
    <row r="16" spans="1:6" x14ac:dyDescent="0.25">
      <c r="A16" t="s">
        <v>422</v>
      </c>
      <c r="B16">
        <v>20</v>
      </c>
      <c r="C16" s="934">
        <f>ROUND('Allgemeine Angaben'!L46/KAT!B16,4)</f>
        <v>0</v>
      </c>
    </row>
    <row r="17" spans="1:4" ht="14.25" customHeight="1" x14ac:dyDescent="0.25">
      <c r="A17" s="132"/>
    </row>
    <row r="20" spans="1:4" x14ac:dyDescent="0.25">
      <c r="A20" t="s">
        <v>271</v>
      </c>
    </row>
    <row r="21" spans="1:4" x14ac:dyDescent="0.25">
      <c r="A21" s="329"/>
      <c r="C21" s="329" t="s">
        <v>125</v>
      </c>
      <c r="D21" s="329" t="s">
        <v>299</v>
      </c>
    </row>
    <row r="22" spans="1:4" x14ac:dyDescent="0.25">
      <c r="A22" s="329" t="s">
        <v>10</v>
      </c>
      <c r="C22" s="329" t="s">
        <v>126</v>
      </c>
      <c r="D22" s="329" t="s">
        <v>282</v>
      </c>
    </row>
    <row r="23" spans="1:4" x14ac:dyDescent="0.25">
      <c r="A23" s="329" t="s">
        <v>272</v>
      </c>
      <c r="C23" s="329"/>
      <c r="D23" s="329"/>
    </row>
    <row r="24" spans="1:4" x14ac:dyDescent="0.25">
      <c r="A24" s="329" t="s">
        <v>273</v>
      </c>
    </row>
    <row r="25" spans="1:4" x14ac:dyDescent="0.25">
      <c r="A25" s="329" t="s">
        <v>274</v>
      </c>
    </row>
    <row r="26" spans="1:4" x14ac:dyDescent="0.25">
      <c r="A26" s="329" t="s">
        <v>275</v>
      </c>
    </row>
    <row r="27" spans="1:4" x14ac:dyDescent="0.25">
      <c r="A27" s="329"/>
    </row>
    <row r="31" spans="1:4" x14ac:dyDescent="0.25">
      <c r="A31" t="s">
        <v>339</v>
      </c>
    </row>
    <row r="32" spans="1:4" x14ac:dyDescent="0.25">
      <c r="A32" s="1123" t="s">
        <v>126</v>
      </c>
      <c r="B32" t="s">
        <v>340</v>
      </c>
    </row>
    <row r="33" spans="1:18" x14ac:dyDescent="0.25">
      <c r="I33" s="208" t="s">
        <v>517</v>
      </c>
    </row>
    <row r="34" spans="1:18" ht="14.4" thickBot="1" x14ac:dyDescent="0.3"/>
    <row r="35" spans="1:18" ht="14.4" customHeight="1" thickBot="1" x14ac:dyDescent="0.3">
      <c r="A35" s="955" t="s">
        <v>466</v>
      </c>
      <c r="B35" s="956"/>
      <c r="C35" s="956"/>
      <c r="D35" s="1356"/>
      <c r="E35" s="1357" t="s">
        <v>765</v>
      </c>
      <c r="F35" s="1358"/>
      <c r="G35" s="1154">
        <f>E7</f>
        <v>0</v>
      </c>
      <c r="H35" s="1629" t="s">
        <v>540</v>
      </c>
      <c r="I35" s="1170" t="s">
        <v>541</v>
      </c>
      <c r="J35" s="1171"/>
      <c r="K35" s="1171"/>
      <c r="L35" s="1172"/>
    </row>
    <row r="36" spans="1:18" x14ac:dyDescent="0.25">
      <c r="A36" s="957" t="s">
        <v>467</v>
      </c>
      <c r="B36" s="618"/>
      <c r="C36" s="958" t="s">
        <v>468</v>
      </c>
      <c r="D36" s="959"/>
      <c r="E36" s="959"/>
      <c r="F36" s="960" t="s">
        <v>449</v>
      </c>
      <c r="G36" s="961" t="s">
        <v>469</v>
      </c>
      <c r="H36" s="1630"/>
      <c r="I36" s="1631" t="s">
        <v>542</v>
      </c>
      <c r="J36" s="1631"/>
      <c r="K36" s="1631"/>
      <c r="L36" s="1632"/>
    </row>
    <row r="37" spans="1:18" ht="79.2" x14ac:dyDescent="0.25">
      <c r="A37" s="962"/>
      <c r="B37" s="963"/>
      <c r="C37" s="1158" t="s">
        <v>352</v>
      </c>
      <c r="D37" s="1158" t="s">
        <v>419</v>
      </c>
      <c r="E37" s="1159" t="s">
        <v>422</v>
      </c>
      <c r="F37" s="964" t="s">
        <v>458</v>
      </c>
      <c r="G37" s="1360" t="s">
        <v>470</v>
      </c>
      <c r="H37" s="1173" t="s">
        <v>543</v>
      </c>
      <c r="I37" s="1174" t="s">
        <v>544</v>
      </c>
      <c r="J37" s="1174" t="s">
        <v>544</v>
      </c>
      <c r="K37" s="1174" t="s">
        <v>545</v>
      </c>
      <c r="L37" s="1175" t="s">
        <v>546</v>
      </c>
    </row>
    <row r="38" spans="1:18" ht="23.4" x14ac:dyDescent="0.25">
      <c r="A38" s="1165" t="s">
        <v>539</v>
      </c>
      <c r="B38" s="1166"/>
      <c r="C38" s="1167"/>
      <c r="D38" s="1167"/>
      <c r="E38" s="1167"/>
      <c r="F38" s="1156">
        <f>IF('Allgemeine Angaben'!H44="",1,0)</f>
        <v>1</v>
      </c>
      <c r="G38" s="965"/>
      <c r="H38" s="1182">
        <f>IF(G51=0,1,IF(F38=0,3,IF(F38=1,4)))</f>
        <v>1</v>
      </c>
      <c r="I38" s="1176" t="s">
        <v>547</v>
      </c>
      <c r="J38" s="1180"/>
      <c r="K38" s="1176" t="s">
        <v>549</v>
      </c>
      <c r="L38" s="1177" t="s">
        <v>550</v>
      </c>
    </row>
    <row r="39" spans="1:18" ht="66" x14ac:dyDescent="0.25">
      <c r="A39" s="1153" t="s">
        <v>535</v>
      </c>
      <c r="B39" s="967"/>
      <c r="C39" s="968"/>
      <c r="D39" s="968"/>
      <c r="E39" s="968"/>
      <c r="F39" s="1156">
        <f>IF(AND(OR('Belegung_wö. Arbeitszeit'!C30=0,'Belegung_wö. Arbeitszeit'!C16&lt;&gt;24),KAT!G35&gt;29.99),1,0)</f>
        <v>0</v>
      </c>
      <c r="G39" s="1361" t="s">
        <v>839</v>
      </c>
      <c r="H39" s="1182">
        <f>IF(G51=0,1,IF(G35&lt;19,2,IF(F39=0,3,IF(F39=1,4))))</f>
        <v>1</v>
      </c>
      <c r="I39" s="1176" t="s">
        <v>547</v>
      </c>
      <c r="J39" s="1176" t="s">
        <v>548</v>
      </c>
      <c r="K39" s="1176" t="s">
        <v>549</v>
      </c>
      <c r="L39" s="1177" t="s">
        <v>550</v>
      </c>
      <c r="M39" s="1346" t="s">
        <v>757</v>
      </c>
      <c r="N39" s="1347" t="s">
        <v>766</v>
      </c>
      <c r="O39" s="1347"/>
      <c r="P39" s="1347"/>
      <c r="Q39" s="1347"/>
      <c r="R39" s="1348"/>
    </row>
    <row r="40" spans="1:18" ht="52.8" x14ac:dyDescent="0.25">
      <c r="A40" s="969" t="s">
        <v>471</v>
      </c>
      <c r="B40" s="970" t="s">
        <v>472</v>
      </c>
      <c r="C40" s="971"/>
      <c r="D40" s="971"/>
      <c r="E40" s="971"/>
      <c r="F40" s="1155">
        <f>IF(OR('Allgemeine Angaben'!H44='Allgemeine Angaben'!H50,'Belegung_wö. Arbeitszeit'!D30&gt;0),0,1)</f>
        <v>0</v>
      </c>
      <c r="G40" s="972" t="s">
        <v>473</v>
      </c>
      <c r="H40" s="1182">
        <f>IF(G51=0,1,IF('Allgemeine Angaben'!H44='Allgemeine Angaben'!H50,2,IF(KAT!F40=0,3,IF(KAT!F40=1,4))))</f>
        <v>1</v>
      </c>
      <c r="I40" s="1176" t="s">
        <v>547</v>
      </c>
      <c r="J40" s="1181" t="s">
        <v>560</v>
      </c>
      <c r="K40" s="1176" t="s">
        <v>561</v>
      </c>
      <c r="L40" s="1177" t="s">
        <v>562</v>
      </c>
      <c r="M40" s="1349">
        <v>45658</v>
      </c>
      <c r="N40" s="1350"/>
      <c r="O40" s="1350" t="s">
        <v>758</v>
      </c>
      <c r="P40" s="1350"/>
      <c r="Q40" s="1350"/>
      <c r="R40" s="1351"/>
    </row>
    <row r="41" spans="1:18" ht="33.6" x14ac:dyDescent="0.25">
      <c r="A41" s="966" t="s">
        <v>474</v>
      </c>
      <c r="B41" s="967"/>
      <c r="C41" s="1157">
        <f>IF(Personalkostenaufstellung!B33=0,1,0)</f>
        <v>1</v>
      </c>
      <c r="D41" s="1157">
        <f>IF(Personalkostenaufstellung!B154=0,1,0)</f>
        <v>1</v>
      </c>
      <c r="E41" s="1168">
        <f>IF(Personalkostenaufstellung!B216=0,1,0)</f>
        <v>1</v>
      </c>
      <c r="F41" s="1156">
        <f>IF(AND(G35&gt;18.99,SUM(C41:E41)&gt;0),1,0)</f>
        <v>0</v>
      </c>
      <c r="G41" s="1361" t="s">
        <v>788</v>
      </c>
      <c r="H41" s="1182">
        <f>IF(G51=0,1,IF(G35&lt;19,2,IF(F41=0,3,IF(F41=1,4))))</f>
        <v>1</v>
      </c>
      <c r="I41" s="1176" t="s">
        <v>547</v>
      </c>
      <c r="J41" s="1176" t="s">
        <v>548</v>
      </c>
      <c r="K41" s="1176" t="s">
        <v>549</v>
      </c>
      <c r="L41" s="1177" t="s">
        <v>550</v>
      </c>
      <c r="M41" s="1349">
        <v>45778</v>
      </c>
      <c r="N41" s="1355">
        <f>DATEDIF(M40,M41,"m")</f>
        <v>4</v>
      </c>
      <c r="O41" s="1350" t="s">
        <v>759</v>
      </c>
      <c r="P41" s="1350"/>
      <c r="Q41" s="1350"/>
      <c r="R41" s="1351"/>
    </row>
    <row r="42" spans="1:18" ht="52.8" x14ac:dyDescent="0.25">
      <c r="A42" s="1163" t="s">
        <v>878</v>
      </c>
      <c r="B42" s="973"/>
      <c r="C42" s="971"/>
      <c r="D42" s="971"/>
      <c r="E42" s="971"/>
      <c r="F42" s="1155">
        <f>IF(OR(Personalkostenaufstellung!H33&gt;KAT!C12,Personalkostenaufstellung!H33=0),1,0)</f>
        <v>1</v>
      </c>
      <c r="G42" s="974"/>
      <c r="H42" s="1182">
        <f>IF(G51=0,1,IF(F42=0,3,IF(F42=1,4)))</f>
        <v>1</v>
      </c>
      <c r="I42" s="1176" t="s">
        <v>547</v>
      </c>
      <c r="J42" s="1180"/>
      <c r="K42" s="1176" t="s">
        <v>549</v>
      </c>
      <c r="L42" s="1177" t="s">
        <v>550</v>
      </c>
      <c r="M42" s="1349">
        <v>45200</v>
      </c>
      <c r="N42" s="1355">
        <f>DATEDIF(M42,M40,"m")</f>
        <v>15</v>
      </c>
      <c r="O42" s="1350" t="s">
        <v>760</v>
      </c>
      <c r="P42" s="1350"/>
      <c r="Q42" s="1350"/>
      <c r="R42" s="1351"/>
    </row>
    <row r="43" spans="1:18" ht="23.4" x14ac:dyDescent="0.25">
      <c r="A43" s="1164" t="s">
        <v>475</v>
      </c>
      <c r="B43" s="975"/>
      <c r="C43" s="976"/>
      <c r="D43" s="976"/>
      <c r="E43" s="976"/>
      <c r="F43" s="1155">
        <f>IF(Personalkostenaufstellung!H216&lt;&gt;KAT!C16,1,0)</f>
        <v>0</v>
      </c>
      <c r="G43" s="974"/>
      <c r="H43" s="1182">
        <f>IF(G51=0,1,IF(F43=0,3,IF(F43=1,4)))</f>
        <v>1</v>
      </c>
      <c r="I43" s="1176" t="s">
        <v>547</v>
      </c>
      <c r="J43" s="1180"/>
      <c r="K43" s="1176" t="s">
        <v>549</v>
      </c>
      <c r="L43" s="1177" t="s">
        <v>550</v>
      </c>
      <c r="M43" s="1352">
        <v>45200</v>
      </c>
      <c r="N43" s="1353" t="s">
        <v>761</v>
      </c>
      <c r="O43" s="1353" t="s">
        <v>762</v>
      </c>
      <c r="P43" s="1353">
        <f>DATEDIF(M43,M41,"m")</f>
        <v>19</v>
      </c>
      <c r="Q43" s="1353" t="s">
        <v>763</v>
      </c>
      <c r="R43" s="1354"/>
    </row>
    <row r="44" spans="1:18" ht="26.4" x14ac:dyDescent="0.25">
      <c r="A44" s="1163" t="s">
        <v>538</v>
      </c>
      <c r="B44" s="1162"/>
      <c r="C44" s="976"/>
      <c r="D44" s="976"/>
      <c r="E44" s="976"/>
      <c r="F44" s="1155">
        <f>IF(Personalaufwendungen!H24="",1,0)</f>
        <v>1</v>
      </c>
      <c r="G44" s="974"/>
      <c r="H44" s="1182">
        <f>IF(G51=0,1,IF(F44=0,3,IF(F44=1,4)))</f>
        <v>1</v>
      </c>
      <c r="I44" s="1176" t="s">
        <v>547</v>
      </c>
      <c r="J44" s="1180"/>
      <c r="K44" s="1176" t="s">
        <v>549</v>
      </c>
      <c r="L44" s="1177" t="s">
        <v>550</v>
      </c>
    </row>
    <row r="45" spans="1:18" ht="52.8" x14ac:dyDescent="0.25">
      <c r="A45" s="1160" t="s">
        <v>476</v>
      </c>
      <c r="B45" s="970" t="s">
        <v>472</v>
      </c>
      <c r="C45" s="1161">
        <f>IF(OR('Allgemeine Angaben'!H44='Allgemeine Angaben'!H50,Personalaufwendungen!G12&gt;0),0,1)</f>
        <v>0</v>
      </c>
      <c r="D45" s="1161">
        <f>IF(OR('Allgemeine Angaben'!H44='Allgemeine Angaben'!H50,Personalaufwendungen!G22&gt;0),0,1)</f>
        <v>0</v>
      </c>
      <c r="E45" s="1169">
        <f>IF(OR('Allgemeine Angaben'!H44='Allgemeine Angaben'!H50,Personalaufwendungen!G27&gt;0),0,1)</f>
        <v>0</v>
      </c>
      <c r="F45" s="1155">
        <f>IF(SUM(C45:E45)&gt;0,1,0)</f>
        <v>0</v>
      </c>
      <c r="G45" s="972" t="s">
        <v>473</v>
      </c>
      <c r="H45" s="1182">
        <f>IF(G51=0,1,IF('Allgemeine Angaben'!H44='Allgemeine Angaben'!H50,2,IF(KAT!F45=0,3,IF(KAT!F45=1,4))))</f>
        <v>1</v>
      </c>
      <c r="I45" s="1176" t="s">
        <v>547</v>
      </c>
      <c r="J45" s="1181" t="s">
        <v>560</v>
      </c>
      <c r="K45" s="1176" t="s">
        <v>561</v>
      </c>
      <c r="L45" s="1177" t="s">
        <v>562</v>
      </c>
    </row>
    <row r="46" spans="1:18" ht="33.6" x14ac:dyDescent="0.25">
      <c r="A46" s="977" t="s">
        <v>477</v>
      </c>
      <c r="B46" s="978"/>
      <c r="C46" s="968"/>
      <c r="D46" s="968"/>
      <c r="E46" s="968"/>
      <c r="F46" s="1156">
        <f>IF(AND(G35&gt;18.99,Sachaufwendungen!H30=0),1,0)</f>
        <v>0</v>
      </c>
      <c r="G46" s="1362" t="s">
        <v>789</v>
      </c>
      <c r="H46" s="1182">
        <f>IF(G51=0,1,IF(G35&lt;19,2,IF(F46=0,3,IF(F46=1,4))))</f>
        <v>1</v>
      </c>
      <c r="I46" s="1176" t="s">
        <v>547</v>
      </c>
      <c r="J46" s="1176" t="s">
        <v>563</v>
      </c>
      <c r="K46" s="1176" t="s">
        <v>549</v>
      </c>
      <c r="L46" s="1177" t="s">
        <v>550</v>
      </c>
    </row>
    <row r="47" spans="1:18" ht="27" thickBot="1" x14ac:dyDescent="0.3">
      <c r="A47" s="969" t="s">
        <v>478</v>
      </c>
      <c r="B47" s="973"/>
      <c r="C47" s="971"/>
      <c r="D47" s="971"/>
      <c r="E47" s="971"/>
      <c r="F47" s="1155">
        <f>IF(AND(Personalkostenaufstellung!M13="regional übliches Entgelt",Personalkostenaufstellung!M12="nein"),"",IF(AND(OR(Personalkostenaufstellung!M13="Tarif/AVR maßgebend",Personalkostenaufstellung!M12="ja"),Personalkostenaufstellung!P15=""),1,0))</f>
        <v>0</v>
      </c>
      <c r="G47" s="979" t="s">
        <v>479</v>
      </c>
      <c r="H47" s="1182">
        <f>IF(G51=0,1,IF(F47="",2,IF(KAT!F47=0,3,IF(KAT!F47=1,4))))</f>
        <v>1</v>
      </c>
      <c r="I47" s="1176" t="s">
        <v>547</v>
      </c>
      <c r="J47" s="1176" t="s">
        <v>564</v>
      </c>
      <c r="K47" s="1176" t="s">
        <v>561</v>
      </c>
      <c r="L47" s="1177" t="s">
        <v>562</v>
      </c>
    </row>
    <row r="48" spans="1:18" ht="27" thickBot="1" x14ac:dyDescent="0.3">
      <c r="A48" s="980" t="s">
        <v>480</v>
      </c>
      <c r="B48" s="981"/>
      <c r="C48" s="982"/>
      <c r="D48" s="982"/>
      <c r="E48" s="982"/>
      <c r="F48" s="983">
        <f>IF(SUM(F38:F47)&gt;0,1,0)</f>
        <v>1</v>
      </c>
      <c r="G48" s="984" t="s">
        <v>481</v>
      </c>
      <c r="I48" s="208"/>
    </row>
    <row r="49" spans="1:18" x14ac:dyDescent="0.25">
      <c r="A49" s="985" t="s">
        <v>482</v>
      </c>
      <c r="G49" s="1627" t="s">
        <v>559</v>
      </c>
      <c r="H49" s="1372" t="s">
        <v>782</v>
      </c>
      <c r="I49" s="1373"/>
      <c r="J49" s="23"/>
      <c r="K49" s="23"/>
      <c r="L49" s="23"/>
      <c r="M49" s="23"/>
      <c r="N49" s="23"/>
      <c r="O49" s="23"/>
      <c r="P49" s="23"/>
      <c r="Q49" s="23"/>
      <c r="R49" s="25"/>
    </row>
    <row r="50" spans="1:18" ht="20.399999999999999" customHeight="1" thickBot="1" x14ac:dyDescent="0.3">
      <c r="A50" s="985" t="s">
        <v>483</v>
      </c>
      <c r="G50" s="1628"/>
      <c r="H50" s="22" t="s">
        <v>786</v>
      </c>
      <c r="R50" s="20"/>
    </row>
    <row r="51" spans="1:18" ht="31.2" thickBot="1" x14ac:dyDescent="0.3">
      <c r="A51" s="986" t="s">
        <v>484</v>
      </c>
      <c r="B51" s="987"/>
      <c r="C51" s="987"/>
      <c r="D51" s="987"/>
      <c r="E51" s="987"/>
      <c r="F51" s="987"/>
      <c r="G51" s="1371">
        <f>IF(AND('Allgemeine Angaben'!L6="",'Allgemeine Angaben'!H44="",'Allgemeine Angaben'!L46="",'Allgemeine Angaben'!H50=""),0,1)</f>
        <v>0</v>
      </c>
      <c r="H51" s="22"/>
      <c r="I51" s="1359" t="s">
        <v>773</v>
      </c>
      <c r="J51" s="1359" t="s">
        <v>770</v>
      </c>
      <c r="K51" s="1359" t="s">
        <v>771</v>
      </c>
      <c r="L51" s="1359" t="s">
        <v>772</v>
      </c>
      <c r="M51" s="1370" t="s">
        <v>780</v>
      </c>
      <c r="N51" s="1359" t="s">
        <v>778</v>
      </c>
      <c r="O51" s="1359" t="s">
        <v>779</v>
      </c>
      <c r="R51" s="20"/>
    </row>
    <row r="52" spans="1:18" x14ac:dyDescent="0.25">
      <c r="H52" s="22" t="s">
        <v>774</v>
      </c>
      <c r="I52" s="1374">
        <v>45536</v>
      </c>
      <c r="J52" s="1374">
        <v>45658</v>
      </c>
      <c r="K52" s="1374">
        <v>45658</v>
      </c>
      <c r="L52">
        <f>DATEDIF(J52,K52,"m")</f>
        <v>0</v>
      </c>
      <c r="M52" s="1375"/>
      <c r="N52" s="1374" t="str">
        <f>IF(J52=K52,"",IF(EDATE(K52,-30)&lt;J52,J52,IF(EDATE(K52,-30)&gt;29.99,EDATE(K52,-30))))</f>
        <v/>
      </c>
      <c r="O52" s="1374" t="str">
        <f>IF(J52=K52,"",IF(L52&lt;30,(EDATE(K52,-4)-1),EDATE(N52,24)-1))</f>
        <v/>
      </c>
      <c r="P52" t="s">
        <v>781</v>
      </c>
      <c r="R52" s="20"/>
    </row>
    <row r="53" spans="1:18" x14ac:dyDescent="0.25">
      <c r="H53" s="22" t="s">
        <v>775</v>
      </c>
      <c r="I53" s="1374">
        <v>45901</v>
      </c>
      <c r="J53" s="1374">
        <v>45658</v>
      </c>
      <c r="K53" s="1374">
        <v>46023</v>
      </c>
      <c r="L53">
        <f>DATEDIF(J53,K53,"m")</f>
        <v>12</v>
      </c>
      <c r="M53" s="1376">
        <f>EDATE(K53,-4)</f>
        <v>45901</v>
      </c>
      <c r="N53" s="1374">
        <f t="shared" ref="N53:N55" si="0">IF(J53=K53,0,IF(EDATE(K53,-30)&lt;J53,J53,IF(EDATE(K53,-30)&gt;29.99,EDATE(K53,-30))))</f>
        <v>45658</v>
      </c>
      <c r="O53" s="1374">
        <f>IF(J53=K53,"",IF(L53&lt;30,(EDATE(K53,-4)-1),EDATE(N53,24)-1))</f>
        <v>45900</v>
      </c>
      <c r="P53" s="1340" t="s">
        <v>837</v>
      </c>
      <c r="R53" s="20"/>
    </row>
    <row r="54" spans="1:18" x14ac:dyDescent="0.25">
      <c r="H54" s="22" t="s">
        <v>776</v>
      </c>
      <c r="I54" s="1374">
        <v>46266</v>
      </c>
      <c r="J54" s="1374">
        <v>45658</v>
      </c>
      <c r="K54" s="1374">
        <v>46388</v>
      </c>
      <c r="L54">
        <f>DATEDIF(J54,K54,"m")</f>
        <v>24</v>
      </c>
      <c r="M54" s="1376">
        <f t="shared" ref="M54" si="1">EDATE(K54,-4)</f>
        <v>46266</v>
      </c>
      <c r="N54" s="1374">
        <f t="shared" si="0"/>
        <v>45658</v>
      </c>
      <c r="O54" s="1374">
        <f t="shared" ref="O54:O55" si="2">IF(J54=K54,"",IF(L54&lt;30,(EDATE(K54,-4)-1),EDATE(N54,24)-1))</f>
        <v>46265</v>
      </c>
      <c r="P54" s="1340" t="s">
        <v>837</v>
      </c>
      <c r="R54" s="20"/>
    </row>
    <row r="55" spans="1:18" x14ac:dyDescent="0.25">
      <c r="H55" s="22" t="s">
        <v>777</v>
      </c>
      <c r="I55" s="1374">
        <v>46631</v>
      </c>
      <c r="J55" s="1374">
        <v>45658</v>
      </c>
      <c r="K55" s="1374">
        <v>46753</v>
      </c>
      <c r="L55">
        <f>DATEDIF(J55,K55,"m")</f>
        <v>36</v>
      </c>
      <c r="M55" s="1376">
        <f>EDATE(K55,-4)</f>
        <v>46631</v>
      </c>
      <c r="N55" s="1374">
        <f t="shared" si="0"/>
        <v>45839</v>
      </c>
      <c r="O55" s="1374">
        <f t="shared" si="2"/>
        <v>46568</v>
      </c>
      <c r="P55" s="1340" t="s">
        <v>838</v>
      </c>
      <c r="R55" s="20"/>
    </row>
    <row r="56" spans="1:18" x14ac:dyDescent="0.25">
      <c r="H56" s="22"/>
      <c r="R56" s="20"/>
    </row>
    <row r="57" spans="1:18" x14ac:dyDescent="0.25">
      <c r="H57" s="22" t="s">
        <v>783</v>
      </c>
      <c r="R57" s="20"/>
    </row>
    <row r="58" spans="1:18" x14ac:dyDescent="0.25">
      <c r="H58" s="22" t="s">
        <v>787</v>
      </c>
      <c r="R58" s="20"/>
    </row>
    <row r="59" spans="1:18" x14ac:dyDescent="0.25">
      <c r="H59" s="1377" t="s">
        <v>784</v>
      </c>
      <c r="I59" s="371"/>
      <c r="J59" s="371" t="s">
        <v>840</v>
      </c>
      <c r="K59" s="371" t="s">
        <v>785</v>
      </c>
      <c r="L59" s="371"/>
      <c r="M59" s="371"/>
      <c r="N59" s="371"/>
      <c r="O59" s="371"/>
      <c r="P59" s="371"/>
      <c r="Q59" s="371"/>
      <c r="R59" s="1343"/>
    </row>
  </sheetData>
  <sheetProtection algorithmName="SHA-512" hashValue="0qlTyvsK+bMVp6+D2XdkMeZntqCVajexoVpz7g6IEwPDgFaklh+CHnc6oTavnu1HkJFP2tumuTtq9QBvzcpuKA==" saltValue="Cv17LYO72ayI6X2vnWXjNA==" spinCount="100000" sheet="1" objects="1" scenarios="1" selectLockedCells="1"/>
  <customSheetViews>
    <customSheetView guid="{CDDBAA41-0D3E-44AF-A85A-332C81A5DAE4}" state="hidden">
      <selection activeCell="A2" sqref="A2:A7"/>
      <pageMargins left="0.7" right="0.7" top="0.78740157499999996" bottom="0.78740157499999996" header="0.3" footer="0.3"/>
    </customSheetView>
  </customSheetViews>
  <mergeCells count="3">
    <mergeCell ref="G49:G50"/>
    <mergeCell ref="H35:H36"/>
    <mergeCell ref="I36:L36"/>
  </mergeCells>
  <phoneticPr fontId="43" type="noConversion"/>
  <dataValidations count="1">
    <dataValidation type="list" allowBlank="1" showInputMessage="1" showErrorMessage="1" sqref="A32" xr:uid="{00000000-0002-0000-03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 xml:space="preserve">&amp;C
&amp;1#&amp;"Calibri,Standard"&amp;10&amp;K000000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452F-B7DD-4BD0-B697-51DD17C90E58}">
  <dimension ref="A1:NT8"/>
  <sheetViews>
    <sheetView topLeftCell="A3" workbookViewId="0">
      <selection activeCell="C11" sqref="C11"/>
    </sheetView>
  </sheetViews>
  <sheetFormatPr baseColWidth="10" defaultRowHeight="13.8" x14ac:dyDescent="0.25"/>
  <cols>
    <col min="2" max="2" width="13.3984375" customWidth="1"/>
    <col min="3" max="3" width="12" bestFit="1" customWidth="1"/>
    <col min="4" max="4" width="14.5" customWidth="1"/>
    <col min="219" max="219" width="17.19921875" customWidth="1"/>
  </cols>
  <sheetData>
    <row r="1" spans="1:384" s="1531" customFormat="1" hidden="1" x14ac:dyDescent="0.25">
      <c r="A1" s="1530"/>
      <c r="EV1" s="1532"/>
      <c r="NK1" s="1532"/>
    </row>
    <row r="2" spans="1:384" s="1536" customFormat="1" hidden="1" x14ac:dyDescent="0.25">
      <c r="A2" s="1533"/>
      <c r="B2" s="1534"/>
      <c r="C2" s="1534"/>
      <c r="D2" s="1535"/>
      <c r="H2" s="1537"/>
      <c r="R2" s="1537"/>
      <c r="Z2" s="1535"/>
      <c r="AC2" s="1535"/>
      <c r="AD2" s="1535"/>
      <c r="AE2" s="1535"/>
      <c r="AF2" s="1535"/>
      <c r="AQ2" s="1538"/>
      <c r="AR2" s="1539"/>
      <c r="AS2" s="1539"/>
      <c r="AT2" s="1539"/>
      <c r="AU2" s="1539"/>
      <c r="AV2" s="1539"/>
      <c r="AW2" s="1539"/>
      <c r="AX2" s="1539"/>
      <c r="AY2" s="1539"/>
      <c r="AZ2" s="1539"/>
      <c r="BA2" s="1539"/>
      <c r="BB2" s="1539"/>
      <c r="BC2" s="1539"/>
      <c r="BD2" s="1539"/>
      <c r="BE2" s="1539"/>
      <c r="BF2" s="1539"/>
      <c r="BG2" s="1539"/>
      <c r="BH2" s="1539"/>
      <c r="BI2" s="1539"/>
      <c r="BJ2" s="1539"/>
      <c r="BK2" s="1539"/>
      <c r="BL2" s="1539"/>
      <c r="BM2" s="1539"/>
      <c r="BN2" s="1539"/>
      <c r="BO2" s="1539"/>
      <c r="BP2" s="1540"/>
      <c r="BQ2" s="1535"/>
      <c r="BR2" s="1535"/>
      <c r="BS2" s="1541"/>
      <c r="BT2" s="1540"/>
      <c r="BU2" s="1541"/>
      <c r="BV2" s="1540"/>
      <c r="BW2" s="1541"/>
      <c r="BX2" s="1540"/>
      <c r="BY2" s="1541"/>
      <c r="BZ2" s="1540"/>
      <c r="CA2" s="1541"/>
      <c r="CB2" s="1541"/>
      <c r="CC2" s="1540"/>
      <c r="CD2" s="1541"/>
      <c r="CE2" s="1541"/>
      <c r="CF2" s="1540"/>
      <c r="CG2" s="1541"/>
      <c r="CH2" s="1541"/>
      <c r="CI2" s="1540"/>
      <c r="CJ2" s="1529"/>
      <c r="CK2" s="1529"/>
      <c r="CL2" s="1529"/>
      <c r="CM2" s="1541"/>
      <c r="CN2" s="1540"/>
      <c r="CO2" s="1541"/>
      <c r="CP2" s="1540"/>
      <c r="CQ2" s="1541"/>
      <c r="CR2" s="1540"/>
      <c r="CS2" s="1541"/>
      <c r="CT2" s="1540"/>
      <c r="CU2" s="1541"/>
      <c r="CV2" s="1540"/>
      <c r="CW2" s="1541"/>
      <c r="CX2" s="1541"/>
      <c r="CY2" s="1541"/>
      <c r="CZ2" s="1541"/>
      <c r="DA2" s="1540"/>
      <c r="DB2" s="1541"/>
      <c r="DD2" s="1542"/>
      <c r="DE2" s="1543"/>
      <c r="DF2" s="1542"/>
      <c r="DG2" s="1543"/>
      <c r="DH2" s="1542"/>
      <c r="DI2" s="1544"/>
      <c r="DM2" s="1535"/>
      <c r="DN2" s="1529"/>
      <c r="DO2" s="1529"/>
      <c r="DP2" s="1529"/>
      <c r="DT2" s="1526"/>
      <c r="DU2" s="1526"/>
      <c r="DV2" s="1526"/>
      <c r="DW2" s="1526"/>
      <c r="DX2" s="1527"/>
      <c r="DY2" s="1528"/>
      <c r="DZ2" s="1528"/>
      <c r="EA2" s="1528"/>
      <c r="EB2" s="1541"/>
      <c r="EC2" s="1541"/>
      <c r="ED2" s="1541"/>
      <c r="EE2" s="1541"/>
      <c r="EF2" s="1541"/>
      <c r="EG2" s="1541"/>
      <c r="EH2" s="1541"/>
      <c r="EI2" s="1541"/>
      <c r="EJ2" s="1541"/>
      <c r="EK2" s="1541"/>
      <c r="EL2" s="1541"/>
      <c r="EM2" s="1538"/>
      <c r="EN2" s="1538"/>
      <c r="EO2" s="1538"/>
      <c r="EP2" s="1541"/>
      <c r="EQ2" s="1541"/>
      <c r="ER2" s="1541"/>
      <c r="ES2" s="1541"/>
      <c r="ET2" s="1541"/>
      <c r="EU2" s="1541"/>
      <c r="EV2" s="1545"/>
      <c r="EW2" s="1541"/>
      <c r="EX2" s="1541"/>
      <c r="EY2" s="1541"/>
      <c r="EZ2" s="1541"/>
      <c r="FA2" s="1541"/>
      <c r="FB2" s="1542"/>
      <c r="FC2" s="1542"/>
      <c r="FD2" s="1541"/>
      <c r="FE2" s="1541"/>
      <c r="FF2" s="1541"/>
      <c r="FG2" s="1541"/>
      <c r="FH2" s="1541"/>
      <c r="FI2" s="1541"/>
      <c r="FJ2" s="1541"/>
      <c r="FK2" s="1541"/>
      <c r="FL2" s="1541"/>
      <c r="FM2" s="1541"/>
      <c r="FN2" s="1541"/>
      <c r="FO2" s="1529"/>
      <c r="FP2" s="1529"/>
      <c r="FQ2" s="1529"/>
      <c r="FR2" s="1541"/>
      <c r="FS2" s="1541"/>
      <c r="FT2" s="1541"/>
      <c r="FU2" s="1541"/>
      <c r="FV2" s="1541"/>
      <c r="FW2" s="1541"/>
      <c r="FX2" s="1541"/>
      <c r="FY2" s="1541"/>
      <c r="FZ2" s="1541"/>
      <c r="GA2" s="1541"/>
      <c r="GB2" s="1541"/>
      <c r="GC2" s="1529"/>
      <c r="GD2" s="1541"/>
      <c r="GE2" s="1541"/>
      <c r="GF2" s="1542"/>
      <c r="GG2" s="1542"/>
      <c r="GH2" s="1540"/>
      <c r="GI2" s="1540"/>
      <c r="GJ2" s="1540"/>
      <c r="GK2" s="1540"/>
      <c r="GL2" s="1529"/>
      <c r="GM2" s="1540"/>
      <c r="GN2" s="1529"/>
      <c r="GO2" s="1540"/>
      <c r="GP2" s="1529"/>
      <c r="GQ2" s="1540"/>
      <c r="GR2" s="1540"/>
      <c r="GS2" s="1540"/>
      <c r="GT2" s="1540"/>
      <c r="GU2" s="1540"/>
      <c r="GV2" s="1540"/>
      <c r="GW2" s="1540"/>
      <c r="GX2" s="1540"/>
      <c r="GY2" s="1540"/>
      <c r="GZ2" s="1540"/>
      <c r="HA2" s="1540"/>
      <c r="HB2" s="1540"/>
      <c r="HC2" s="1540"/>
      <c r="HD2" s="1540"/>
      <c r="HE2" s="1540"/>
      <c r="HF2" s="1540"/>
      <c r="HG2" s="1540"/>
      <c r="HH2" s="1540"/>
      <c r="HI2" s="1540"/>
      <c r="HJ2" s="1540"/>
      <c r="HL2" s="1535"/>
      <c r="HM2" s="1535"/>
      <c r="HO2" s="1540"/>
      <c r="HP2" s="1540"/>
      <c r="HQ2" s="1540"/>
      <c r="HR2" s="1540"/>
      <c r="HS2" s="1540"/>
      <c r="HT2" s="1540"/>
      <c r="HU2" s="1540"/>
      <c r="HV2" s="1540"/>
      <c r="HW2" s="1540"/>
      <c r="HX2" s="1540"/>
      <c r="HY2" s="1540"/>
      <c r="HZ2" s="1540"/>
      <c r="IA2" s="1540"/>
      <c r="IB2" s="1540"/>
      <c r="IC2" s="1540"/>
      <c r="ID2" s="1540"/>
      <c r="IE2" s="1540"/>
      <c r="IF2" s="1540"/>
      <c r="IG2" s="1540"/>
      <c r="IH2" s="1540"/>
      <c r="II2" s="1540"/>
      <c r="IJ2" s="1540"/>
      <c r="IK2" s="1540"/>
      <c r="IL2" s="1540"/>
      <c r="IM2" s="1540"/>
      <c r="IN2" s="1540"/>
      <c r="IO2" s="1540"/>
      <c r="IP2" s="1540"/>
      <c r="IQ2" s="1540"/>
      <c r="IR2" s="1540"/>
      <c r="IS2" s="1540"/>
      <c r="IT2" s="1540"/>
      <c r="IU2" s="1540"/>
      <c r="IV2" s="1540"/>
      <c r="IW2" s="1540"/>
      <c r="IX2" s="1540"/>
      <c r="IY2" s="1540"/>
      <c r="IZ2" s="1540"/>
      <c r="JA2" s="1540"/>
      <c r="JB2" s="1540"/>
      <c r="JC2" s="1540"/>
      <c r="JE2" s="1540"/>
      <c r="JF2" s="1540"/>
      <c r="KC2" s="1529"/>
      <c r="KD2" s="1540"/>
      <c r="KE2" s="1541"/>
      <c r="KF2" s="1541"/>
      <c r="KG2" s="1541"/>
      <c r="KH2" s="1541"/>
      <c r="KI2" s="1541"/>
      <c r="KJ2" s="1541"/>
      <c r="KK2" s="1541"/>
      <c r="KL2" s="1541"/>
      <c r="KM2" s="1541"/>
      <c r="KN2" s="1541"/>
      <c r="KO2" s="1541"/>
      <c r="KP2" s="1542"/>
      <c r="KQ2" s="1541"/>
      <c r="KR2" s="1541"/>
      <c r="KS2" s="1541"/>
      <c r="KT2" s="1541"/>
      <c r="KU2" s="1541"/>
      <c r="KV2" s="1541"/>
      <c r="KW2" s="1541"/>
      <c r="KX2" s="1541"/>
      <c r="KY2" s="1541"/>
      <c r="KZ2" s="1541"/>
      <c r="LA2" s="1541"/>
      <c r="LB2" s="1541"/>
      <c r="LC2" s="1541"/>
      <c r="LD2" s="1541"/>
      <c r="LE2" s="1541"/>
      <c r="LF2" s="1541"/>
      <c r="LG2" s="1541"/>
      <c r="LH2" s="1541"/>
      <c r="LI2" s="1541"/>
      <c r="LJ2" s="1541"/>
      <c r="LK2" s="1541"/>
      <c r="LL2" s="1541"/>
      <c r="LM2" s="1541"/>
      <c r="LN2" s="1541"/>
      <c r="LO2" s="1529"/>
      <c r="LP2" s="1529"/>
      <c r="LQ2" s="1529"/>
      <c r="MW2" s="1539"/>
      <c r="MX2" s="1539"/>
      <c r="MY2" s="1539"/>
      <c r="MZ2" s="1539"/>
      <c r="NA2" s="1539"/>
      <c r="NB2" s="1539"/>
      <c r="NK2" s="1545"/>
      <c r="NL2" s="1541"/>
      <c r="NO2" s="1541"/>
      <c r="NQ2" s="1541"/>
      <c r="NS2" s="1541"/>
    </row>
    <row r="3" spans="1:384" s="1546" customFormat="1" x14ac:dyDescent="0.25">
      <c r="DE3" s="293"/>
      <c r="DG3" s="293"/>
    </row>
    <row r="4" spans="1:384" s="1495" customFormat="1" ht="69" x14ac:dyDescent="0.25">
      <c r="A4" s="1335" t="s">
        <v>1075</v>
      </c>
      <c r="B4" s="1516" t="s">
        <v>569</v>
      </c>
      <c r="C4" s="1488" t="s">
        <v>895</v>
      </c>
      <c r="D4" s="1488" t="s">
        <v>570</v>
      </c>
      <c r="E4" s="1488" t="s">
        <v>571</v>
      </c>
      <c r="F4" s="1488" t="s">
        <v>572</v>
      </c>
      <c r="G4" s="1488" t="s">
        <v>573</v>
      </c>
      <c r="H4" s="1488" t="s">
        <v>574</v>
      </c>
      <c r="I4" s="1488" t="s">
        <v>575</v>
      </c>
      <c r="J4" s="1488" t="s">
        <v>576</v>
      </c>
      <c r="K4" s="1488" t="s">
        <v>577</v>
      </c>
      <c r="L4" s="1488" t="s">
        <v>578</v>
      </c>
      <c r="M4" s="1488" t="s">
        <v>579</v>
      </c>
      <c r="N4" s="1488" t="s">
        <v>129</v>
      </c>
      <c r="O4" s="1488" t="s">
        <v>10</v>
      </c>
      <c r="P4" s="1488" t="s">
        <v>580</v>
      </c>
      <c r="Q4" s="1488" t="s">
        <v>581</v>
      </c>
      <c r="R4" s="1488" t="s">
        <v>582</v>
      </c>
      <c r="S4" s="1488" t="s">
        <v>583</v>
      </c>
      <c r="T4" s="1488" t="s">
        <v>584</v>
      </c>
      <c r="U4" s="1488" t="s">
        <v>585</v>
      </c>
      <c r="V4" s="1488" t="s">
        <v>586</v>
      </c>
      <c r="W4" s="1488" t="s">
        <v>587</v>
      </c>
      <c r="X4" s="1488" t="s">
        <v>588</v>
      </c>
      <c r="Y4" s="1488" t="s">
        <v>589</v>
      </c>
      <c r="Z4" s="1488" t="s">
        <v>590</v>
      </c>
      <c r="AA4" s="1488" t="s">
        <v>591</v>
      </c>
      <c r="AB4" s="1516" t="s">
        <v>896</v>
      </c>
      <c r="AC4" s="1488" t="s">
        <v>592</v>
      </c>
      <c r="AD4" s="1488" t="s">
        <v>593</v>
      </c>
      <c r="AE4" s="1488" t="s">
        <v>594</v>
      </c>
      <c r="AF4" s="1488" t="s">
        <v>595</v>
      </c>
      <c r="AG4" s="1488" t="s">
        <v>596</v>
      </c>
      <c r="AH4" s="1488" t="s">
        <v>597</v>
      </c>
      <c r="AI4" s="1488" t="s">
        <v>598</v>
      </c>
      <c r="AJ4" s="1488" t="s">
        <v>599</v>
      </c>
      <c r="AK4" s="1488" t="s">
        <v>600</v>
      </c>
      <c r="AL4" s="1488" t="s">
        <v>601</v>
      </c>
      <c r="AM4" s="1488" t="s">
        <v>602</v>
      </c>
      <c r="AN4" s="1488" t="s">
        <v>603</v>
      </c>
      <c r="AO4" s="1488" t="s">
        <v>604</v>
      </c>
      <c r="AP4" s="1488" t="s">
        <v>897</v>
      </c>
      <c r="AQ4" s="1337" t="s">
        <v>605</v>
      </c>
      <c r="AR4" s="1516" t="s">
        <v>898</v>
      </c>
      <c r="AS4" s="1516" t="s">
        <v>899</v>
      </c>
      <c r="AT4" s="1516" t="s">
        <v>900</v>
      </c>
      <c r="AU4" s="1516" t="s">
        <v>901</v>
      </c>
      <c r="AV4" s="1516" t="s">
        <v>902</v>
      </c>
      <c r="AW4" s="1516" t="s">
        <v>903</v>
      </c>
      <c r="AX4" s="1337" t="s">
        <v>606</v>
      </c>
      <c r="AY4" s="1337" t="s">
        <v>607</v>
      </c>
      <c r="AZ4" s="1337" t="s">
        <v>608</v>
      </c>
      <c r="BA4" s="1337" t="s">
        <v>609</v>
      </c>
      <c r="BB4" s="1337" t="s">
        <v>610</v>
      </c>
      <c r="BC4" s="1337" t="s">
        <v>611</v>
      </c>
      <c r="BD4" s="1337" t="s">
        <v>612</v>
      </c>
      <c r="BE4" s="1337" t="s">
        <v>613</v>
      </c>
      <c r="BF4" s="1337" t="s">
        <v>614</v>
      </c>
      <c r="BG4" s="1337" t="s">
        <v>615</v>
      </c>
      <c r="BH4" s="1337" t="s">
        <v>616</v>
      </c>
      <c r="BI4" s="1337" t="s">
        <v>617</v>
      </c>
      <c r="BJ4" s="1516" t="s">
        <v>904</v>
      </c>
      <c r="BK4" s="1516" t="s">
        <v>905</v>
      </c>
      <c r="BL4" s="1516" t="s">
        <v>906</v>
      </c>
      <c r="BM4" s="1516" t="s">
        <v>907</v>
      </c>
      <c r="BN4" s="1516" t="s">
        <v>908</v>
      </c>
      <c r="BO4" s="1516" t="s">
        <v>909</v>
      </c>
      <c r="BP4" s="1337" t="s">
        <v>618</v>
      </c>
      <c r="BQ4" s="1489" t="s">
        <v>619</v>
      </c>
      <c r="BR4" s="1489" t="s">
        <v>620</v>
      </c>
      <c r="BS4" s="1489" t="s">
        <v>621</v>
      </c>
      <c r="BT4" s="1489" t="s">
        <v>622</v>
      </c>
      <c r="BU4" s="1516" t="s">
        <v>910</v>
      </c>
      <c r="BV4" s="1516" t="s">
        <v>911</v>
      </c>
      <c r="BW4" s="1516" t="s">
        <v>912</v>
      </c>
      <c r="BX4" s="1516" t="s">
        <v>913</v>
      </c>
      <c r="BY4" s="1489" t="s">
        <v>623</v>
      </c>
      <c r="BZ4" s="1489" t="s">
        <v>624</v>
      </c>
      <c r="CA4" s="1516" t="s">
        <v>914</v>
      </c>
      <c r="CB4" s="1489" t="s">
        <v>625</v>
      </c>
      <c r="CC4" s="1489" t="s">
        <v>626</v>
      </c>
      <c r="CD4" s="1516" t="s">
        <v>915</v>
      </c>
      <c r="CE4" s="1489" t="s">
        <v>627</v>
      </c>
      <c r="CF4" s="1489" t="s">
        <v>628</v>
      </c>
      <c r="CG4" s="1516" t="s">
        <v>916</v>
      </c>
      <c r="CH4" s="1489" t="s">
        <v>629</v>
      </c>
      <c r="CI4" s="1489" t="s">
        <v>630</v>
      </c>
      <c r="CJ4" s="1516" t="s">
        <v>917</v>
      </c>
      <c r="CK4" s="1516" t="s">
        <v>918</v>
      </c>
      <c r="CL4" s="1516" t="s">
        <v>919</v>
      </c>
      <c r="CM4" s="1489" t="s">
        <v>920</v>
      </c>
      <c r="CN4" s="1489" t="s">
        <v>921</v>
      </c>
      <c r="CO4" s="1489" t="s">
        <v>922</v>
      </c>
      <c r="CP4" s="1489" t="s">
        <v>923</v>
      </c>
      <c r="CQ4" s="1489" t="s">
        <v>633</v>
      </c>
      <c r="CR4" s="1489" t="s">
        <v>634</v>
      </c>
      <c r="CS4" s="1516" t="s">
        <v>1285</v>
      </c>
      <c r="CT4" s="1516" t="s">
        <v>1286</v>
      </c>
      <c r="CU4" s="1516" t="s">
        <v>924</v>
      </c>
      <c r="CV4" s="1516" t="s">
        <v>925</v>
      </c>
      <c r="CW4" s="1516" t="s">
        <v>926</v>
      </c>
      <c r="CX4" s="1516" t="s">
        <v>927</v>
      </c>
      <c r="CY4" s="1516" t="s">
        <v>928</v>
      </c>
      <c r="CZ4" s="1516" t="s">
        <v>929</v>
      </c>
      <c r="DA4" s="1516" t="s">
        <v>930</v>
      </c>
      <c r="DB4" s="1516" t="s">
        <v>931</v>
      </c>
      <c r="DC4" s="1516" t="s">
        <v>932</v>
      </c>
      <c r="DD4" s="1489" t="s">
        <v>933</v>
      </c>
      <c r="DE4" s="1489" t="s">
        <v>934</v>
      </c>
      <c r="DF4" s="1489" t="s">
        <v>935</v>
      </c>
      <c r="DG4" s="1489" t="s">
        <v>936</v>
      </c>
      <c r="DH4" s="1489" t="s">
        <v>937</v>
      </c>
      <c r="DI4" s="1489" t="s">
        <v>938</v>
      </c>
      <c r="DJ4" s="1489" t="s">
        <v>637</v>
      </c>
      <c r="DK4" s="1489" t="s">
        <v>638</v>
      </c>
      <c r="DL4" s="1489" t="s">
        <v>639</v>
      </c>
      <c r="DM4" s="1489" t="s">
        <v>640</v>
      </c>
      <c r="DN4" s="1489" t="s">
        <v>641</v>
      </c>
      <c r="DO4" s="1489" t="s">
        <v>642</v>
      </c>
      <c r="DP4" s="1489" t="s">
        <v>643</v>
      </c>
      <c r="DQ4" s="1489" t="s">
        <v>644</v>
      </c>
      <c r="DR4" s="1489" t="s">
        <v>645</v>
      </c>
      <c r="DS4" s="1489" t="s">
        <v>646</v>
      </c>
      <c r="DT4" s="1489" t="s">
        <v>647</v>
      </c>
      <c r="DU4" s="1489" t="s">
        <v>648</v>
      </c>
      <c r="DV4" s="1489" t="s">
        <v>649</v>
      </c>
      <c r="DW4" s="1489" t="s">
        <v>650</v>
      </c>
      <c r="DX4" s="1489" t="s">
        <v>651</v>
      </c>
      <c r="DY4" s="1489" t="s">
        <v>652</v>
      </c>
      <c r="DZ4" s="1489" t="s">
        <v>653</v>
      </c>
      <c r="EA4" s="1489" t="s">
        <v>654</v>
      </c>
      <c r="EB4" s="1490" t="s">
        <v>655</v>
      </c>
      <c r="EC4" s="1516" t="s">
        <v>939</v>
      </c>
      <c r="ED4" s="1516" t="s">
        <v>940</v>
      </c>
      <c r="EE4" s="1516" t="s">
        <v>941</v>
      </c>
      <c r="EF4" s="1491" t="s">
        <v>656</v>
      </c>
      <c r="EG4" s="1516" t="s">
        <v>942</v>
      </c>
      <c r="EH4" s="1491" t="s">
        <v>657</v>
      </c>
      <c r="EI4" s="1516" t="s">
        <v>943</v>
      </c>
      <c r="EJ4" s="1491" t="s">
        <v>658</v>
      </c>
      <c r="EK4" s="1516" t="s">
        <v>944</v>
      </c>
      <c r="EL4" s="1491" t="s">
        <v>659</v>
      </c>
      <c r="EM4" s="1516" t="s">
        <v>945</v>
      </c>
      <c r="EN4" s="1516" t="s">
        <v>946</v>
      </c>
      <c r="EO4" s="1516" t="s">
        <v>947</v>
      </c>
      <c r="EP4" s="1516" t="s">
        <v>948</v>
      </c>
      <c r="EQ4" s="1516" t="s">
        <v>949</v>
      </c>
      <c r="ER4" s="1491" t="s">
        <v>660</v>
      </c>
      <c r="ES4" s="1491" t="s">
        <v>950</v>
      </c>
      <c r="ET4" s="1516" t="s">
        <v>951</v>
      </c>
      <c r="EU4" s="1516" t="s">
        <v>1193</v>
      </c>
      <c r="EV4" s="1524" t="s">
        <v>952</v>
      </c>
      <c r="EW4" s="1516" t="s">
        <v>953</v>
      </c>
      <c r="EX4" s="1516" t="s">
        <v>954</v>
      </c>
      <c r="EY4" s="1516" t="s">
        <v>955</v>
      </c>
      <c r="EZ4" s="1516" t="s">
        <v>956</v>
      </c>
      <c r="FA4" s="1516" t="s">
        <v>957</v>
      </c>
      <c r="FB4" s="1491" t="s">
        <v>958</v>
      </c>
      <c r="FC4" s="1491" t="s">
        <v>959</v>
      </c>
      <c r="FD4" s="1491" t="s">
        <v>661</v>
      </c>
      <c r="FE4" s="1516" t="s">
        <v>960</v>
      </c>
      <c r="FF4" s="1516" t="s">
        <v>961</v>
      </c>
      <c r="FG4" s="1516" t="s">
        <v>962</v>
      </c>
      <c r="FH4" s="1491" t="s">
        <v>662</v>
      </c>
      <c r="FI4" s="1516" t="s">
        <v>963</v>
      </c>
      <c r="FJ4" s="1491" t="s">
        <v>663</v>
      </c>
      <c r="FK4" s="1516" t="s">
        <v>964</v>
      </c>
      <c r="FL4" s="1491" t="s">
        <v>664</v>
      </c>
      <c r="FM4" s="1516" t="s">
        <v>965</v>
      </c>
      <c r="FN4" s="1491" t="s">
        <v>665</v>
      </c>
      <c r="FO4" s="1516" t="s">
        <v>966</v>
      </c>
      <c r="FP4" s="1516" t="s">
        <v>967</v>
      </c>
      <c r="FQ4" s="1516" t="s">
        <v>968</v>
      </c>
      <c r="FR4" s="1516" t="s">
        <v>969</v>
      </c>
      <c r="FS4" s="1516" t="s">
        <v>970</v>
      </c>
      <c r="FT4" s="1491" t="s">
        <v>666</v>
      </c>
      <c r="FU4" s="1491" t="s">
        <v>971</v>
      </c>
      <c r="FV4" s="1516" t="s">
        <v>972</v>
      </c>
      <c r="FW4" s="1516" t="s">
        <v>1206</v>
      </c>
      <c r="FX4" s="1516" t="s">
        <v>973</v>
      </c>
      <c r="FY4" s="1516" t="s">
        <v>974</v>
      </c>
      <c r="FZ4" s="1516" t="s">
        <v>975</v>
      </c>
      <c r="GA4" s="1516" t="s">
        <v>976</v>
      </c>
      <c r="GB4" s="1516" t="s">
        <v>977</v>
      </c>
      <c r="GC4" s="1516" t="s">
        <v>978</v>
      </c>
      <c r="GD4" s="1516" t="s">
        <v>979</v>
      </c>
      <c r="GE4" s="1516" t="s">
        <v>980</v>
      </c>
      <c r="GF4" s="1491" t="s">
        <v>981</v>
      </c>
      <c r="GG4" s="1491" t="s">
        <v>982</v>
      </c>
      <c r="GH4" s="1491" t="s">
        <v>667</v>
      </c>
      <c r="GI4" s="1491" t="s">
        <v>668</v>
      </c>
      <c r="GJ4" s="1491" t="s">
        <v>669</v>
      </c>
      <c r="GK4" s="1491" t="s">
        <v>670</v>
      </c>
      <c r="GL4" s="1491" t="s">
        <v>671</v>
      </c>
      <c r="GM4" s="1491" t="s">
        <v>672</v>
      </c>
      <c r="GN4" s="1491" t="s">
        <v>673</v>
      </c>
      <c r="GO4" s="1491" t="s">
        <v>674</v>
      </c>
      <c r="GP4" s="1491" t="s">
        <v>675</v>
      </c>
      <c r="GQ4" s="1491" t="s">
        <v>676</v>
      </c>
      <c r="GR4" s="1491" t="s">
        <v>677</v>
      </c>
      <c r="GS4" s="1516" t="s">
        <v>983</v>
      </c>
      <c r="GT4" s="1516" t="s">
        <v>984</v>
      </c>
      <c r="GU4" s="1516" t="s">
        <v>985</v>
      </c>
      <c r="GV4" s="1491" t="s">
        <v>986</v>
      </c>
      <c r="GW4" s="1491" t="s">
        <v>987</v>
      </c>
      <c r="GX4" s="1491" t="s">
        <v>988</v>
      </c>
      <c r="GY4" s="1491" t="s">
        <v>989</v>
      </c>
      <c r="GZ4" s="1516" t="s">
        <v>990</v>
      </c>
      <c r="HA4" s="1516" t="s">
        <v>991</v>
      </c>
      <c r="HB4" s="1491" t="s">
        <v>992</v>
      </c>
      <c r="HC4" s="1491" t="s">
        <v>993</v>
      </c>
      <c r="HD4" s="1516" t="s">
        <v>994</v>
      </c>
      <c r="HE4" s="1516" t="s">
        <v>1225</v>
      </c>
      <c r="HF4" s="1516" t="s">
        <v>995</v>
      </c>
      <c r="HG4" s="1516" t="s">
        <v>996</v>
      </c>
      <c r="HH4" s="1516" t="s">
        <v>997</v>
      </c>
      <c r="HI4" s="1491" t="s">
        <v>998</v>
      </c>
      <c r="HJ4" s="1491" t="s">
        <v>999</v>
      </c>
      <c r="HK4" s="1493" t="s">
        <v>678</v>
      </c>
      <c r="HL4" s="1493" t="s">
        <v>679</v>
      </c>
      <c r="HM4" s="1493" t="s">
        <v>680</v>
      </c>
      <c r="HN4" s="1493" t="s">
        <v>681</v>
      </c>
      <c r="HO4" s="1493" t="s">
        <v>682</v>
      </c>
      <c r="HP4" s="1493" t="s">
        <v>683</v>
      </c>
      <c r="HQ4" s="1493" t="s">
        <v>684</v>
      </c>
      <c r="HR4" s="1493" t="s">
        <v>685</v>
      </c>
      <c r="HS4" s="1493" t="s">
        <v>686</v>
      </c>
      <c r="HT4" s="1493" t="s">
        <v>687</v>
      </c>
      <c r="HU4" s="1493" t="s">
        <v>688</v>
      </c>
      <c r="HV4" s="1493" t="s">
        <v>689</v>
      </c>
      <c r="HW4" s="1493" t="s">
        <v>690</v>
      </c>
      <c r="HX4" s="1493" t="s">
        <v>691</v>
      </c>
      <c r="HY4" s="1493" t="s">
        <v>692</v>
      </c>
      <c r="HZ4" s="1493" t="s">
        <v>693</v>
      </c>
      <c r="IA4" s="1493" t="s">
        <v>694</v>
      </c>
      <c r="IB4" s="1516" t="s">
        <v>1000</v>
      </c>
      <c r="IC4" s="1493" t="s">
        <v>1001</v>
      </c>
      <c r="ID4" s="1493" t="s">
        <v>695</v>
      </c>
      <c r="IE4" s="1493" t="s">
        <v>1002</v>
      </c>
      <c r="IF4" s="1493" t="s">
        <v>1003</v>
      </c>
      <c r="IG4" s="1493" t="s">
        <v>696</v>
      </c>
      <c r="IH4" s="1493" t="s">
        <v>1004</v>
      </c>
      <c r="II4" s="1493" t="s">
        <v>697</v>
      </c>
      <c r="IJ4" s="1493" t="s">
        <v>698</v>
      </c>
      <c r="IK4" s="1493" t="s">
        <v>699</v>
      </c>
      <c r="IL4" s="1493" t="s">
        <v>700</v>
      </c>
      <c r="IM4" s="1493" t="s">
        <v>701</v>
      </c>
      <c r="IN4" s="1493" t="s">
        <v>702</v>
      </c>
      <c r="IO4" s="1493" t="s">
        <v>703</v>
      </c>
      <c r="IP4" s="1493" t="s">
        <v>704</v>
      </c>
      <c r="IQ4" s="1493" t="s">
        <v>705</v>
      </c>
      <c r="IR4" s="1493" t="s">
        <v>706</v>
      </c>
      <c r="IS4" s="1493" t="s">
        <v>707</v>
      </c>
      <c r="IT4" s="1493" t="s">
        <v>708</v>
      </c>
      <c r="IU4" s="1493" t="s">
        <v>709</v>
      </c>
      <c r="IV4" s="1493" t="s">
        <v>710</v>
      </c>
      <c r="IW4" s="1493" t="s">
        <v>711</v>
      </c>
      <c r="IX4" s="1516" t="s">
        <v>1005</v>
      </c>
      <c r="IY4" s="1493" t="s">
        <v>712</v>
      </c>
      <c r="IZ4" s="1493" t="s">
        <v>1006</v>
      </c>
      <c r="JA4" s="1493" t="s">
        <v>1007</v>
      </c>
      <c r="JB4" s="1493" t="s">
        <v>713</v>
      </c>
      <c r="JC4" s="1493" t="s">
        <v>714</v>
      </c>
      <c r="JD4" s="1493" t="s">
        <v>715</v>
      </c>
      <c r="JE4" s="1493" t="s">
        <v>716</v>
      </c>
      <c r="JF4" s="1493" t="s">
        <v>717</v>
      </c>
      <c r="JG4" s="1493" t="s">
        <v>718</v>
      </c>
      <c r="JH4" s="1493" t="s">
        <v>719</v>
      </c>
      <c r="JI4" s="1493" t="s">
        <v>720</v>
      </c>
      <c r="JJ4" s="1493" t="s">
        <v>721</v>
      </c>
      <c r="JK4" s="1493" t="s">
        <v>722</v>
      </c>
      <c r="JL4" s="1493" t="s">
        <v>723</v>
      </c>
      <c r="JM4" s="1493" t="s">
        <v>724</v>
      </c>
      <c r="JN4" s="1493" t="s">
        <v>725</v>
      </c>
      <c r="JO4" s="1493" t="s">
        <v>726</v>
      </c>
      <c r="JP4" s="1493" t="s">
        <v>727</v>
      </c>
      <c r="JQ4" s="1493" t="s">
        <v>728</v>
      </c>
      <c r="JR4" s="1493" t="s">
        <v>729</v>
      </c>
      <c r="JS4" s="1493" t="s">
        <v>730</v>
      </c>
      <c r="JT4" s="1516" t="s">
        <v>1008</v>
      </c>
      <c r="JU4" s="1493" t="s">
        <v>731</v>
      </c>
      <c r="JV4" s="1493" t="s">
        <v>1009</v>
      </c>
      <c r="JW4" s="1493" t="s">
        <v>1010</v>
      </c>
      <c r="JX4" s="1493" t="s">
        <v>732</v>
      </c>
      <c r="JY4" s="1493" t="s">
        <v>733</v>
      </c>
      <c r="JZ4" s="1493" t="s">
        <v>734</v>
      </c>
      <c r="KA4" s="1493" t="s">
        <v>735</v>
      </c>
      <c r="KB4" s="1493" t="s">
        <v>736</v>
      </c>
      <c r="KC4" s="1493" t="s">
        <v>737</v>
      </c>
      <c r="KD4" s="1493" t="s">
        <v>738</v>
      </c>
      <c r="KE4" s="1494" t="s">
        <v>739</v>
      </c>
      <c r="KF4" s="1516" t="s">
        <v>1011</v>
      </c>
      <c r="KG4" s="1516" t="s">
        <v>1012</v>
      </c>
      <c r="KH4" s="1516" t="s">
        <v>1013</v>
      </c>
      <c r="KI4" s="1516" t="s">
        <v>1014</v>
      </c>
      <c r="KJ4" s="1516" t="s">
        <v>1015</v>
      </c>
      <c r="KK4" s="1494" t="s">
        <v>740</v>
      </c>
      <c r="KL4" s="1516" t="s">
        <v>1275</v>
      </c>
      <c r="KM4" s="1516" t="s">
        <v>1016</v>
      </c>
      <c r="KN4" s="1516" t="s">
        <v>1017</v>
      </c>
      <c r="KO4" s="1516" t="s">
        <v>1018</v>
      </c>
      <c r="KP4" s="1494" t="s">
        <v>1019</v>
      </c>
      <c r="KQ4" s="1516" t="s">
        <v>1020</v>
      </c>
      <c r="KR4" s="1516" t="s">
        <v>1021</v>
      </c>
      <c r="KS4" s="1516" t="s">
        <v>1022</v>
      </c>
      <c r="KT4" s="1516" t="s">
        <v>1023</v>
      </c>
      <c r="KU4" s="1516" t="s">
        <v>1024</v>
      </c>
      <c r="KV4" s="1516" t="s">
        <v>1025</v>
      </c>
      <c r="KW4" s="1516" t="s">
        <v>1026</v>
      </c>
      <c r="KX4" s="1516" t="s">
        <v>1027</v>
      </c>
      <c r="KY4" s="1516" t="s">
        <v>1028</v>
      </c>
      <c r="KZ4" s="1516" t="s">
        <v>1029</v>
      </c>
      <c r="LA4" s="1516" t="s">
        <v>1030</v>
      </c>
      <c r="LB4" s="1516" t="s">
        <v>1031</v>
      </c>
      <c r="LC4" s="1516" t="s">
        <v>1032</v>
      </c>
      <c r="LD4" s="1516" t="s">
        <v>1033</v>
      </c>
      <c r="LE4" s="1516" t="s">
        <v>1034</v>
      </c>
      <c r="LF4" s="1516" t="s">
        <v>1035</v>
      </c>
      <c r="LG4" s="1516" t="s">
        <v>1036</v>
      </c>
      <c r="LH4" s="1516" t="s">
        <v>1037</v>
      </c>
      <c r="LI4" s="1516" t="s">
        <v>1038</v>
      </c>
      <c r="LJ4" s="1516" t="s">
        <v>1039</v>
      </c>
      <c r="LK4" s="1516" t="s">
        <v>1040</v>
      </c>
      <c r="LL4" s="1516" t="s">
        <v>1041</v>
      </c>
      <c r="LM4" s="1516" t="s">
        <v>1042</v>
      </c>
      <c r="LN4" s="1516" t="s">
        <v>1043</v>
      </c>
      <c r="LO4" s="1516" t="s">
        <v>1044</v>
      </c>
      <c r="LP4" s="1516" t="s">
        <v>1045</v>
      </c>
      <c r="LQ4" s="1516" t="s">
        <v>1046</v>
      </c>
      <c r="LR4" s="1494" t="s">
        <v>1047</v>
      </c>
      <c r="LS4" s="1516" t="s">
        <v>1284</v>
      </c>
      <c r="LT4" s="1516" t="s">
        <v>1048</v>
      </c>
      <c r="LU4" s="1516" t="s">
        <v>1049</v>
      </c>
      <c r="LV4" s="1516" t="s">
        <v>1050</v>
      </c>
      <c r="LW4" s="1516" t="s">
        <v>1051</v>
      </c>
      <c r="LX4" s="1516" t="s">
        <v>1052</v>
      </c>
      <c r="LY4" s="1516" t="s">
        <v>1053</v>
      </c>
      <c r="LZ4" s="1516" t="s">
        <v>1054</v>
      </c>
      <c r="MA4" s="1516" t="s">
        <v>1055</v>
      </c>
      <c r="MB4" s="1516" t="s">
        <v>1056</v>
      </c>
      <c r="MC4" s="1516" t="s">
        <v>1057</v>
      </c>
      <c r="MD4" s="1516" t="s">
        <v>1058</v>
      </c>
      <c r="ME4" s="1516" t="s">
        <v>1059</v>
      </c>
      <c r="MF4" s="1516" t="s">
        <v>1060</v>
      </c>
      <c r="MG4" s="1494" t="s">
        <v>1061</v>
      </c>
      <c r="MH4" s="1494" t="s">
        <v>1062</v>
      </c>
      <c r="MI4" s="1494" t="s">
        <v>1063</v>
      </c>
      <c r="MJ4" s="1494" t="s">
        <v>1064</v>
      </c>
      <c r="MK4" s="1516" t="s">
        <v>1065</v>
      </c>
      <c r="ML4" s="1516" t="s">
        <v>1066</v>
      </c>
      <c r="MM4" s="1516" t="s">
        <v>1067</v>
      </c>
      <c r="MN4" s="1516" t="s">
        <v>1068</v>
      </c>
      <c r="MO4" s="1516" t="s">
        <v>1069</v>
      </c>
      <c r="MP4" s="1516" t="s">
        <v>1070</v>
      </c>
      <c r="MQ4" s="1516" t="s">
        <v>1071</v>
      </c>
      <c r="MR4" s="1516" t="s">
        <v>1072</v>
      </c>
      <c r="MS4" s="1516" t="s">
        <v>1073</v>
      </c>
      <c r="MT4" s="1516" t="s">
        <v>1074</v>
      </c>
      <c r="MU4" s="1337" t="s">
        <v>1120</v>
      </c>
      <c r="MV4" s="1337" t="s">
        <v>1119</v>
      </c>
      <c r="MW4" s="1337" t="s">
        <v>1116</v>
      </c>
      <c r="MX4" s="1337" t="s">
        <v>1118</v>
      </c>
      <c r="MY4" s="1337" t="s">
        <v>1117</v>
      </c>
      <c r="MZ4" s="1337" t="s">
        <v>1121</v>
      </c>
      <c r="NA4" s="1337" t="s">
        <v>1122</v>
      </c>
      <c r="NB4" s="1337" t="s">
        <v>1123</v>
      </c>
      <c r="NC4" s="1489" t="s">
        <v>1141</v>
      </c>
      <c r="ND4" s="1489" t="s">
        <v>631</v>
      </c>
      <c r="NE4" s="1489" t="s">
        <v>632</v>
      </c>
      <c r="NF4" s="1489" t="s">
        <v>635</v>
      </c>
      <c r="NG4" s="1489" t="s">
        <v>636</v>
      </c>
      <c r="NH4" s="1489" t="s">
        <v>1161</v>
      </c>
      <c r="NI4" s="1489" t="s">
        <v>1162</v>
      </c>
      <c r="NJ4" s="1491" t="s">
        <v>1190</v>
      </c>
      <c r="NK4" s="1492" t="s">
        <v>1208</v>
      </c>
      <c r="NL4" s="1491" t="s">
        <v>1209</v>
      </c>
      <c r="NM4" s="1491" t="s">
        <v>1226</v>
      </c>
      <c r="NN4" s="1494" t="s">
        <v>1270</v>
      </c>
      <c r="NO4" s="1494" t="s">
        <v>1271</v>
      </c>
      <c r="NP4" s="1494" t="s">
        <v>1272</v>
      </c>
      <c r="NQ4" s="1494" t="s">
        <v>1276</v>
      </c>
      <c r="NR4" s="1494" t="s">
        <v>1277</v>
      </c>
      <c r="NS4" s="1494" t="s">
        <v>1279</v>
      </c>
      <c r="NT4" s="1494" t="s">
        <v>1280</v>
      </c>
    </row>
    <row r="5" spans="1:384" s="1515" customFormat="1" ht="27.6" x14ac:dyDescent="0.25">
      <c r="A5" s="1336" t="s">
        <v>1076</v>
      </c>
      <c r="B5" s="1517"/>
      <c r="C5" s="1547">
        <f>'Allgemeine Angaben'!L6</f>
        <v>0</v>
      </c>
      <c r="D5" s="1496">
        <f>'Allgemeine Angaben'!L4</f>
        <v>0</v>
      </c>
      <c r="E5" s="1497" t="str">
        <f>'Allgemeine Angaben'!D6</f>
        <v>Kurzzeitpflege</v>
      </c>
      <c r="F5" s="1497">
        <f>'Allgemeine Angaben'!D11</f>
        <v>0</v>
      </c>
      <c r="G5" s="1497">
        <f>'Allgemeine Angaben'!D13</f>
        <v>0</v>
      </c>
      <c r="H5" s="1498">
        <f>'Allgemeine Angaben'!D15</f>
        <v>0</v>
      </c>
      <c r="I5" s="1497">
        <f>'Allgemeine Angaben'!J15</f>
        <v>0</v>
      </c>
      <c r="J5" s="1497">
        <f>'Allgemeine Angaben'!D17</f>
        <v>0</v>
      </c>
      <c r="K5" s="1497">
        <f>'Allgemeine Angaben'!J17</f>
        <v>0</v>
      </c>
      <c r="L5" s="1497">
        <f>'Allgemeine Angaben'!D19</f>
        <v>0</v>
      </c>
      <c r="M5" s="1497">
        <f>'Allgemeine Angaben'!J19</f>
        <v>0</v>
      </c>
      <c r="N5" s="1497">
        <f>'Allgemeine Angaben'!D21</f>
        <v>0</v>
      </c>
      <c r="O5" s="1497">
        <f>'Allgemeine Angaben'!J21</f>
        <v>0</v>
      </c>
      <c r="P5" s="1497">
        <f>'Allgemeine Angaben'!D25</f>
        <v>0</v>
      </c>
      <c r="Q5" s="1497">
        <f>'Allgemeine Angaben'!D27</f>
        <v>0</v>
      </c>
      <c r="R5" s="1498">
        <f>'Allgemeine Angaben'!D29</f>
        <v>0</v>
      </c>
      <c r="S5" s="1497">
        <f>'Allgemeine Angaben'!J29</f>
        <v>0</v>
      </c>
      <c r="T5" s="1497">
        <f>'Allgemeine Angaben'!D31</f>
        <v>0</v>
      </c>
      <c r="U5" s="1497">
        <f>'Allgemeine Angaben'!J31</f>
        <v>0</v>
      </c>
      <c r="V5" s="1497">
        <f>'Allgemeine Angaben'!D33</f>
        <v>0</v>
      </c>
      <c r="W5" s="1497">
        <f>'Allgemeine Angaben'!J33</f>
        <v>0</v>
      </c>
      <c r="X5" s="1497">
        <f>'Allgemeine Angaben'!D35</f>
        <v>0</v>
      </c>
      <c r="Y5" s="1497">
        <f>'Allgemeine Angaben'!H40</f>
        <v>0</v>
      </c>
      <c r="Z5" s="1496">
        <f>'Allgemeine Angaben'!H44</f>
        <v>0</v>
      </c>
      <c r="AA5" s="1548">
        <f>'Allgemeine Angaben'!L46</f>
        <v>0</v>
      </c>
      <c r="AB5" s="1513"/>
      <c r="AC5" s="1496">
        <f>'Allgemeine Angaben'!H50</f>
        <v>0</v>
      </c>
      <c r="AD5" s="1496">
        <f>'Allgemeine Angaben'!K50</f>
        <v>0</v>
      </c>
      <c r="AE5" s="1496">
        <f>'Allgemeine Angaben'!H52</f>
        <v>0</v>
      </c>
      <c r="AF5" s="1496">
        <f>'Allgemeine Angaben'!K52</f>
        <v>0</v>
      </c>
      <c r="AG5" s="1497">
        <f>'Allgemeine Angaben'!K57</f>
        <v>0</v>
      </c>
      <c r="AH5" s="1497">
        <f>'Allgemeine Angaben'!K58</f>
        <v>0</v>
      </c>
      <c r="AI5" s="1497">
        <f>'Allgemeine Angaben'!K59</f>
        <v>0</v>
      </c>
      <c r="AJ5" s="1497">
        <f>'Allgemeine Angaben'!K60</f>
        <v>0</v>
      </c>
      <c r="AK5" s="1497">
        <f>'Allgemeine Angaben'!K61</f>
        <v>0</v>
      </c>
      <c r="AL5" s="1497">
        <f>'Allgemeine Angaben'!K62</f>
        <v>0</v>
      </c>
      <c r="AM5" s="1497">
        <f>'Allgemeine Angaben'!K63</f>
        <v>0</v>
      </c>
      <c r="AN5" s="1497">
        <f>'Allgemeine Angaben'!K65</f>
        <v>0</v>
      </c>
      <c r="AO5" s="1499"/>
      <c r="AP5" s="1499"/>
      <c r="AQ5" s="1500">
        <f>'Belegung_wö. Arbeitszeit'!G6/100</f>
        <v>0</v>
      </c>
      <c r="AR5" s="1518"/>
      <c r="AS5" s="1518"/>
      <c r="AT5" s="1518"/>
      <c r="AU5" s="1518"/>
      <c r="AV5" s="1518"/>
      <c r="AW5" s="1518"/>
      <c r="AX5" s="1501">
        <f>'Belegung_wö. Arbeitszeit'!D24</f>
        <v>0</v>
      </c>
      <c r="AY5" s="1501">
        <f>'Belegung_wö. Arbeitszeit'!D25</f>
        <v>0</v>
      </c>
      <c r="AZ5" s="1501">
        <f>'Belegung_wö. Arbeitszeit'!D26</f>
        <v>0</v>
      </c>
      <c r="BA5" s="1501">
        <f>'Belegung_wö. Arbeitszeit'!D27</f>
        <v>0</v>
      </c>
      <c r="BB5" s="1501">
        <f>'Belegung_wö. Arbeitszeit'!D28</f>
        <v>0</v>
      </c>
      <c r="BC5" s="1501">
        <f>'Belegung_wö. Arbeitszeit'!D30</f>
        <v>0</v>
      </c>
      <c r="BD5" s="1501">
        <f>'Belegung_wö. Arbeitszeit'!E24</f>
        <v>0</v>
      </c>
      <c r="BE5" s="1501">
        <f>'Belegung_wö. Arbeitszeit'!E25</f>
        <v>0</v>
      </c>
      <c r="BF5" s="1501">
        <f>'Belegung_wö. Arbeitszeit'!E26</f>
        <v>0</v>
      </c>
      <c r="BG5" s="1501">
        <f>'Belegung_wö. Arbeitszeit'!E27</f>
        <v>0</v>
      </c>
      <c r="BH5" s="1501">
        <f>'Belegung_wö. Arbeitszeit'!E28</f>
        <v>0</v>
      </c>
      <c r="BI5" s="1501">
        <f>'Belegung_wö. Arbeitszeit'!E30</f>
        <v>0</v>
      </c>
      <c r="BJ5" s="1518"/>
      <c r="BK5" s="1518"/>
      <c r="BL5" s="1518"/>
      <c r="BM5" s="1518"/>
      <c r="BN5" s="1518"/>
      <c r="BO5" s="1518"/>
      <c r="BP5" s="1502">
        <f>'Belegung_wö. Arbeitszeit'!F37</f>
        <v>0</v>
      </c>
      <c r="BQ5" s="1496">
        <f>Personalkostenaufstellung!C16</f>
        <v>0</v>
      </c>
      <c r="BR5" s="1496">
        <f>Personalkostenaufstellung!C18</f>
        <v>0</v>
      </c>
      <c r="BS5" s="1503">
        <f>Personalkostenaufstellung!B33</f>
        <v>0</v>
      </c>
      <c r="BT5" s="1502">
        <f>Personalkostenaufstellung!E33</f>
        <v>0</v>
      </c>
      <c r="BU5" s="1504"/>
      <c r="BV5" s="1519"/>
      <c r="BW5" s="1504"/>
      <c r="BX5" s="1519"/>
      <c r="BY5" s="1503">
        <f>Personalkostenaufstellung!B75</f>
        <v>0</v>
      </c>
      <c r="BZ5" s="1502">
        <f>Personalkostenaufstellung!E75</f>
        <v>0</v>
      </c>
      <c r="CA5" s="1504"/>
      <c r="CB5" s="1503">
        <f>Personalkostenaufstellung!B109</f>
        <v>0</v>
      </c>
      <c r="CC5" s="1502">
        <f>Personalkostenaufstellung!E109</f>
        <v>0</v>
      </c>
      <c r="CD5" s="1504"/>
      <c r="CE5" s="1503">
        <f>Personalkostenaufstellung!B151</f>
        <v>0</v>
      </c>
      <c r="CF5" s="1502">
        <f>Personalkostenaufstellung!E151</f>
        <v>0</v>
      </c>
      <c r="CG5" s="1504"/>
      <c r="CH5" s="1503">
        <f>Personalkostenaufstellung!B154</f>
        <v>0</v>
      </c>
      <c r="CI5" s="1502">
        <f>Personalkostenaufstellung!E154</f>
        <v>0</v>
      </c>
      <c r="CJ5" s="1520"/>
      <c r="CK5" s="1520"/>
      <c r="CL5" s="1520"/>
      <c r="CM5" s="1503">
        <f>Personalkostenaufstellung!B190</f>
        <v>0</v>
      </c>
      <c r="CN5" s="1502">
        <f>Personalkostenaufstellung!E190</f>
        <v>0</v>
      </c>
      <c r="CO5" s="1503">
        <f>Personalkostenaufstellung!B214</f>
        <v>0</v>
      </c>
      <c r="CP5" s="1502">
        <f>Personalkostenaufstellung!E214</f>
        <v>0</v>
      </c>
      <c r="CQ5" s="1503">
        <f>Personalkostenaufstellung!B216</f>
        <v>0</v>
      </c>
      <c r="CR5" s="1502">
        <f>Personalkostenaufstellung!E216</f>
        <v>0</v>
      </c>
      <c r="CS5" s="1504"/>
      <c r="CT5" s="1519"/>
      <c r="CU5" s="1504"/>
      <c r="CV5" s="1519"/>
      <c r="CW5" s="1504"/>
      <c r="CX5" s="1504"/>
      <c r="CY5" s="1504"/>
      <c r="CZ5" s="1504"/>
      <c r="DA5" s="1519"/>
      <c r="DB5" s="1504"/>
      <c r="DC5" s="1513"/>
      <c r="DD5" s="1506">
        <f>Personalkostenaufstellung!B279</f>
        <v>0</v>
      </c>
      <c r="DE5" s="1521">
        <f>Personalkostenaufstellung!D279</f>
        <v>0</v>
      </c>
      <c r="DF5" s="1506">
        <f>Personalkostenaufstellung!B280</f>
        <v>0</v>
      </c>
      <c r="DG5" s="1521">
        <f>Personalkostenaufstellung!D280</f>
        <v>0</v>
      </c>
      <c r="DH5" s="1506">
        <f>Personalkostenaufstellung!B280</f>
        <v>0</v>
      </c>
      <c r="DI5" s="1522">
        <f>Personalkostenaufstellung!E281</f>
        <v>0</v>
      </c>
      <c r="DJ5" s="1497">
        <f>Personalkostenaufstellung!M12</f>
        <v>0</v>
      </c>
      <c r="DK5" s="1497">
        <f>Personalkostenaufstellung!M13</f>
        <v>0</v>
      </c>
      <c r="DL5" s="1497">
        <f>Personalkostenaufstellung!M14</f>
        <v>0</v>
      </c>
      <c r="DM5" s="1496">
        <f>Personalkostenaufstellung!M15</f>
        <v>0</v>
      </c>
      <c r="DN5" s="1507">
        <f>Personalkostenaufstellung!P17/100</f>
        <v>0</v>
      </c>
      <c r="DO5" s="1507">
        <f>Personalkostenaufstellung!P18/100</f>
        <v>0</v>
      </c>
      <c r="DP5" s="1507">
        <f>Personalkostenaufstellung!P20/100</f>
        <v>0</v>
      </c>
      <c r="DQ5" s="1497">
        <f>Personalkostenaufstellung!G290</f>
        <v>0</v>
      </c>
      <c r="DR5" s="1497">
        <f>Personalkostenaufstellung!H290</f>
        <v>0</v>
      </c>
      <c r="DS5" s="1497">
        <f>Personalkostenaufstellung!J290</f>
        <v>0</v>
      </c>
      <c r="DT5" s="1508">
        <f>Personalkostenaufstellung!G292</f>
        <v>0</v>
      </c>
      <c r="DU5" s="1508">
        <f>Personalkostenaufstellung!H292</f>
        <v>0</v>
      </c>
      <c r="DV5" s="1508">
        <f>Personalkostenaufstellung!J292</f>
        <v>0</v>
      </c>
      <c r="DW5" s="1508">
        <f>Personalkostenaufstellung!G293</f>
        <v>0</v>
      </c>
      <c r="DX5" s="1509">
        <f>Personalkostenaufstellung!G296</f>
        <v>0</v>
      </c>
      <c r="DY5" s="1510">
        <f>Personalkostenaufstellung!G298</f>
        <v>0</v>
      </c>
      <c r="DZ5" s="1510">
        <f>Personalkostenaufstellung!H298</f>
        <v>0</v>
      </c>
      <c r="EA5" s="1510">
        <f>Personalkostenaufstellung!J298</f>
        <v>0</v>
      </c>
      <c r="EB5" s="1503">
        <f>Personalaufwendungen!G12</f>
        <v>0</v>
      </c>
      <c r="EC5" s="1504"/>
      <c r="ED5" s="1504"/>
      <c r="EE5" s="1504"/>
      <c r="EF5" s="1503">
        <f>Personalaufwendungen!G15</f>
        <v>0</v>
      </c>
      <c r="EG5" s="1504"/>
      <c r="EH5" s="1503">
        <f>Personalaufwendungen!G17</f>
        <v>0</v>
      </c>
      <c r="EI5" s="1504"/>
      <c r="EJ5" s="1503">
        <f>Personalaufwendungen!G19</f>
        <v>0</v>
      </c>
      <c r="EK5" s="1504"/>
      <c r="EL5" s="1503">
        <f>Personalaufwendungen!G22</f>
        <v>0</v>
      </c>
      <c r="EM5" s="1523"/>
      <c r="EN5" s="1523"/>
      <c r="EO5" s="1523"/>
      <c r="EP5" s="1504"/>
      <c r="EQ5" s="1504"/>
      <c r="ER5" s="1503">
        <f>Personalaufwendungen!G27</f>
        <v>0</v>
      </c>
      <c r="ES5" s="1503">
        <f>Personalaufwendungen!G30</f>
        <v>0</v>
      </c>
      <c r="ET5" s="1504"/>
      <c r="EU5" s="1504"/>
      <c r="EV5" s="1525"/>
      <c r="EW5" s="1504"/>
      <c r="EX5" s="1504"/>
      <c r="EY5" s="1504"/>
      <c r="EZ5" s="1504"/>
      <c r="FA5" s="1504"/>
      <c r="FB5" s="1506">
        <f>Personalaufwendungen!G51</f>
        <v>0</v>
      </c>
      <c r="FC5" s="1506">
        <f>Personalaufwendungen!G53</f>
        <v>0</v>
      </c>
      <c r="FD5" s="1503">
        <f>Personalaufwendungen!H12</f>
        <v>0</v>
      </c>
      <c r="FE5" s="1504"/>
      <c r="FF5" s="1504"/>
      <c r="FG5" s="1504"/>
      <c r="FH5" s="1503">
        <f>Personalaufwendungen!H15</f>
        <v>0</v>
      </c>
      <c r="FI5" s="1504"/>
      <c r="FJ5" s="1503">
        <f>Personalaufwendungen!H17</f>
        <v>0</v>
      </c>
      <c r="FK5" s="1504"/>
      <c r="FL5" s="1503">
        <f>Personalaufwendungen!H19</f>
        <v>0</v>
      </c>
      <c r="FM5" s="1504"/>
      <c r="FN5" s="1503">
        <f>Personalaufwendungen!H22</f>
        <v>0</v>
      </c>
      <c r="FO5" s="1520"/>
      <c r="FP5" s="1520"/>
      <c r="FQ5" s="1520"/>
      <c r="FR5" s="1504"/>
      <c r="FS5" s="1504"/>
      <c r="FT5" s="1503">
        <f>Personalaufwendungen!H27</f>
        <v>0</v>
      </c>
      <c r="FU5" s="1503">
        <f>Personalaufwendungen!H30</f>
        <v>0</v>
      </c>
      <c r="FV5" s="1504"/>
      <c r="FW5" s="1504"/>
      <c r="FX5" s="1504"/>
      <c r="FY5" s="1504"/>
      <c r="FZ5" s="1504"/>
      <c r="GA5" s="1504"/>
      <c r="GB5" s="1504"/>
      <c r="GC5" s="1520"/>
      <c r="GD5" s="1504"/>
      <c r="GE5" s="1504"/>
      <c r="GF5" s="1506">
        <f>Personalaufwendungen!H51</f>
        <v>0</v>
      </c>
      <c r="GG5" s="1506">
        <f>Personalaufwendungen!H53</f>
        <v>0</v>
      </c>
      <c r="GH5" s="1502">
        <f>Personalaufwendungen!H39</f>
        <v>0</v>
      </c>
      <c r="GI5" s="1502">
        <f>Personalaufwendungen!H40</f>
        <v>0</v>
      </c>
      <c r="GJ5" s="1502">
        <f>Personalaufwendungen!H41</f>
        <v>0</v>
      </c>
      <c r="GK5" s="1502">
        <f>Personalaufwendungen!H42</f>
        <v>0</v>
      </c>
      <c r="GL5" s="1507" t="str">
        <f>pnk</f>
        <v/>
      </c>
      <c r="GM5" s="1502">
        <f>Personalaufwendungen!J44</f>
        <v>0</v>
      </c>
      <c r="GN5" s="1507" t="str">
        <f>Personalaufwendungen!I46</f>
        <v/>
      </c>
      <c r="GO5" s="1502">
        <f>Personalaufwendungen!J46</f>
        <v>0</v>
      </c>
      <c r="GP5" s="1507">
        <f>risiko</f>
        <v>0</v>
      </c>
      <c r="GQ5" s="1502">
        <f>Personalaufwendungen!J48</f>
        <v>0</v>
      </c>
      <c r="GR5" s="1512" t="str">
        <f>Personalaufwendungen!J12</f>
        <v/>
      </c>
      <c r="GS5" s="1519"/>
      <c r="GT5" s="1519"/>
      <c r="GU5" s="1519"/>
      <c r="GV5" s="1502" t="str">
        <f>Personalaufwendungen!J15</f>
        <v/>
      </c>
      <c r="GW5" s="1502" t="str">
        <f>Personalaufwendungen!J17</f>
        <v/>
      </c>
      <c r="GX5" s="1502" t="str">
        <f>Personalaufwendungen!J19</f>
        <v/>
      </c>
      <c r="GY5" s="1502" t="str">
        <f>Personalaufwendungen!J22</f>
        <v/>
      </c>
      <c r="GZ5" s="1519"/>
      <c r="HA5" s="1519"/>
      <c r="HB5" s="1502" t="str">
        <f>Personalaufwendungen!J27</f>
        <v/>
      </c>
      <c r="HC5" s="1502" t="str">
        <f>Personalaufwendungen!J30</f>
        <v/>
      </c>
      <c r="HD5" s="1519"/>
      <c r="HE5" s="1519"/>
      <c r="HF5" s="1519"/>
      <c r="HG5" s="1519"/>
      <c r="HH5" s="1519"/>
      <c r="HI5" s="1502">
        <f>Personalaufwendungen!I51</f>
        <v>0</v>
      </c>
      <c r="HJ5" s="1502">
        <f>Personalaufwendungen!I53</f>
        <v>0</v>
      </c>
      <c r="HK5" s="1513">
        <f>Sachaufwendungen!C16</f>
        <v>0</v>
      </c>
      <c r="HL5" s="1514">
        <f>Sachaufwendungen!H16</f>
        <v>0</v>
      </c>
      <c r="HM5" s="1514">
        <f>Sachaufwendungen!H17</f>
        <v>0</v>
      </c>
      <c r="HN5" s="1497">
        <f>Sachaufwendungen!H18</f>
        <v>0</v>
      </c>
      <c r="HO5" s="1502">
        <f>Sachaufwendungen!H20</f>
        <v>0</v>
      </c>
      <c r="HP5" s="1502">
        <f>Sachaufwendungen!H21</f>
        <v>0</v>
      </c>
      <c r="HQ5" s="1502">
        <f>Sachaufwendungen!H22</f>
        <v>0</v>
      </c>
      <c r="HR5" s="1502">
        <f>Sachaufwendungen!H23</f>
        <v>0</v>
      </c>
      <c r="HS5" s="1502">
        <f>Sachaufwendungen!H24</f>
        <v>0</v>
      </c>
      <c r="HT5" s="1502">
        <f>Sachaufwendungen!H25</f>
        <v>0</v>
      </c>
      <c r="HU5" s="1502">
        <f>Sachaufwendungen!H26</f>
        <v>0</v>
      </c>
      <c r="HV5" s="1502">
        <f>Sachaufwendungen!H27</f>
        <v>0</v>
      </c>
      <c r="HW5" s="1502">
        <f>Sachaufwendungen!H28</f>
        <v>0</v>
      </c>
      <c r="HX5" s="1502">
        <f>Sachaufwendungen!H29</f>
        <v>0</v>
      </c>
      <c r="HY5" s="1502">
        <f>Sachaufwendungen!H30</f>
        <v>0</v>
      </c>
      <c r="HZ5" s="1502">
        <f>Sachaufwendungen!H43</f>
        <v>0</v>
      </c>
      <c r="IA5" s="1502">
        <f>Sachaufwendungen!H44</f>
        <v>0</v>
      </c>
      <c r="IB5" s="1519"/>
      <c r="IC5" s="1502">
        <f>Sachaufwendungen!H45</f>
        <v>0</v>
      </c>
      <c r="ID5" s="1502">
        <f>Sachaufwendungen!H47</f>
        <v>0</v>
      </c>
      <c r="IE5" s="1502">
        <f>Sachaufwendungen!H46</f>
        <v>0</v>
      </c>
      <c r="IF5" s="1502">
        <f>Sachaufwendungen!C48</f>
        <v>0</v>
      </c>
      <c r="IG5" s="1502">
        <f>Sachaufwendungen!H48</f>
        <v>0</v>
      </c>
      <c r="IH5" s="1502">
        <f>Sachaufwendungen!C49</f>
        <v>0</v>
      </c>
      <c r="II5" s="1502">
        <f>Sachaufwendungen!H49</f>
        <v>0</v>
      </c>
      <c r="IJ5" s="1502">
        <f>Sachaufwendungen!H50</f>
        <v>0</v>
      </c>
      <c r="IK5" s="1502">
        <f>Sachaufwendungen!L20</f>
        <v>0</v>
      </c>
      <c r="IL5" s="1502">
        <f>Sachaufwendungen!L21</f>
        <v>0</v>
      </c>
      <c r="IM5" s="1502">
        <f>Sachaufwendungen!L22</f>
        <v>0</v>
      </c>
      <c r="IN5" s="1502">
        <f>Sachaufwendungen!L23</f>
        <v>0</v>
      </c>
      <c r="IO5" s="1502">
        <f>Sachaufwendungen!L24</f>
        <v>0</v>
      </c>
      <c r="IP5" s="1502">
        <f>Sachaufwendungen!L25</f>
        <v>0</v>
      </c>
      <c r="IQ5" s="1502">
        <f>Sachaufwendungen!L26</f>
        <v>0</v>
      </c>
      <c r="IR5" s="1502">
        <f>Sachaufwendungen!L27</f>
        <v>0</v>
      </c>
      <c r="IS5" s="1502">
        <f>Sachaufwendungen!L28</f>
        <v>0</v>
      </c>
      <c r="IT5" s="1502">
        <f>Sachaufwendungen!L29</f>
        <v>0</v>
      </c>
      <c r="IU5" s="1502">
        <f>Sachaufwendungen!L30</f>
        <v>0</v>
      </c>
      <c r="IV5" s="1502">
        <f>Sachaufwendungen!L43</f>
        <v>0</v>
      </c>
      <c r="IW5" s="1502">
        <f>Sachaufwendungen!L44</f>
        <v>0</v>
      </c>
      <c r="IX5" s="1519"/>
      <c r="IY5" s="1502">
        <f>Sachaufwendungen!L45</f>
        <v>0</v>
      </c>
      <c r="IZ5" s="1502">
        <f>Sachaufwendungen!L47</f>
        <v>0</v>
      </c>
      <c r="JA5" s="1502">
        <f>Sachaufwendungen!L46</f>
        <v>0</v>
      </c>
      <c r="JB5" s="1502">
        <f>Sachaufwendungen!C48</f>
        <v>0</v>
      </c>
      <c r="JC5" s="1502">
        <f>Sachaufwendungen!L48</f>
        <v>0</v>
      </c>
      <c r="JD5" s="1497">
        <f>Sachaufwendungen!C49</f>
        <v>0</v>
      </c>
      <c r="JE5" s="1502">
        <f>Sachaufwendungen!L49</f>
        <v>0</v>
      </c>
      <c r="JF5" s="1502">
        <f>Sachaufwendungen!L50</f>
        <v>0</v>
      </c>
      <c r="JG5" s="1497" t="str">
        <f>Sachaufwendungen!M20</f>
        <v/>
      </c>
      <c r="JH5" s="1497" t="str">
        <f>Sachaufwendungen!M21</f>
        <v/>
      </c>
      <c r="JI5" s="1497" t="str">
        <f>Sachaufwendungen!M22</f>
        <v/>
      </c>
      <c r="JJ5" s="1497" t="str">
        <f>Sachaufwendungen!M23</f>
        <v/>
      </c>
      <c r="JK5" s="1497" t="str">
        <f>Sachaufwendungen!M24</f>
        <v/>
      </c>
      <c r="JL5" s="1497" t="str">
        <f>Sachaufwendungen!M25</f>
        <v/>
      </c>
      <c r="JM5" s="1497" t="str">
        <f>Sachaufwendungen!M26</f>
        <v/>
      </c>
      <c r="JN5" s="1497" t="str">
        <f>Sachaufwendungen!M27</f>
        <v/>
      </c>
      <c r="JO5" s="1497" t="str">
        <f>Sachaufwendungen!M28</f>
        <v/>
      </c>
      <c r="JP5" s="1497" t="str">
        <f>Sachaufwendungen!M29</f>
        <v/>
      </c>
      <c r="JQ5" s="1497" t="str">
        <f>Sachaufwendungen!M30</f>
        <v/>
      </c>
      <c r="JR5" s="1497" t="str">
        <f>Sachaufwendungen!M43</f>
        <v/>
      </c>
      <c r="JS5" s="1497" t="str">
        <f>Sachaufwendungen!M44</f>
        <v/>
      </c>
      <c r="JT5" s="1513"/>
      <c r="JU5" s="1497" t="str">
        <f>Sachaufwendungen!M45</f>
        <v/>
      </c>
      <c r="JV5" s="1497" t="str">
        <f>Sachaufwendungen!M47</f>
        <v/>
      </c>
      <c r="JW5" s="1497" t="str">
        <f>Sachaufwendungen!M46</f>
        <v/>
      </c>
      <c r="JX5" s="1497">
        <f>Sachaufwendungen!C48</f>
        <v>0</v>
      </c>
      <c r="JY5" s="1497" t="str">
        <f>Sachaufwendungen!M48</f>
        <v/>
      </c>
      <c r="JZ5" s="1497">
        <f>Sachaufwendungen!C49</f>
        <v>0</v>
      </c>
      <c r="KA5" s="1497" t="str">
        <f>Sachaufwendungen!M49</f>
        <v/>
      </c>
      <c r="KB5" s="1497" t="str">
        <f>Sachaufwendungen!M50</f>
        <v/>
      </c>
      <c r="KC5" s="1505">
        <f>Sachaufwendungen!J53</f>
        <v>0</v>
      </c>
      <c r="KD5" s="1502" t="str">
        <f>Sachaufwendungen!L53</f>
        <v/>
      </c>
      <c r="KE5" s="1503">
        <f>Forderung!J8</f>
        <v>0</v>
      </c>
      <c r="KF5" s="1504"/>
      <c r="KG5" s="1504"/>
      <c r="KH5" s="1504"/>
      <c r="KI5" s="1504"/>
      <c r="KJ5" s="1504"/>
      <c r="KK5" s="1503">
        <f>Forderung!J12</f>
        <v>0</v>
      </c>
      <c r="KL5" s="1504"/>
      <c r="KM5" s="1504"/>
      <c r="KN5" s="1504"/>
      <c r="KO5" s="1504"/>
      <c r="KP5" s="1506" t="str">
        <f>Forderung!J18</f>
        <v/>
      </c>
      <c r="KQ5" s="1504"/>
      <c r="KR5" s="1504"/>
      <c r="KS5" s="1504"/>
      <c r="KT5" s="1504"/>
      <c r="KU5" s="1504"/>
      <c r="KV5" s="1504"/>
      <c r="KW5" s="1504"/>
      <c r="KX5" s="1504"/>
      <c r="KY5" s="1504"/>
      <c r="KZ5" s="1504"/>
      <c r="LA5" s="1504"/>
      <c r="LB5" s="1504"/>
      <c r="LC5" s="1504"/>
      <c r="LD5" s="1504"/>
      <c r="LE5" s="1504"/>
      <c r="LF5" s="1504"/>
      <c r="LG5" s="1504"/>
      <c r="LH5" s="1504"/>
      <c r="LI5" s="1504"/>
      <c r="LJ5" s="1504"/>
      <c r="LK5" s="1504"/>
      <c r="LL5" s="1504"/>
      <c r="LM5" s="1504"/>
      <c r="LN5" s="1504"/>
      <c r="LO5" s="1520"/>
      <c r="LP5" s="1520"/>
      <c r="LQ5" s="1520"/>
      <c r="LR5" s="1497" t="str">
        <f>Forderung!M12</f>
        <v/>
      </c>
      <c r="LS5" s="1513"/>
      <c r="LT5" s="1513"/>
      <c r="LU5" s="1513"/>
      <c r="LV5" s="1513"/>
      <c r="LW5" s="1513"/>
      <c r="LX5" s="1513"/>
      <c r="LY5" s="1513"/>
      <c r="LZ5" s="1513"/>
      <c r="MA5" s="1513"/>
      <c r="MB5" s="1513"/>
      <c r="MC5" s="1513"/>
      <c r="MD5" s="1513"/>
      <c r="ME5" s="1513"/>
      <c r="MF5" s="1513"/>
      <c r="MG5" s="1497" t="str">
        <f>Forderung!J22</f>
        <v/>
      </c>
      <c r="MH5" s="1497" t="str">
        <f>Forderung!J24</f>
        <v/>
      </c>
      <c r="MI5" s="1497" t="str">
        <f>Forderung!J26</f>
        <v/>
      </c>
      <c r="MJ5" s="1497" t="str">
        <f>Forderung!J28</f>
        <v/>
      </c>
      <c r="MK5" s="1513"/>
      <c r="ML5" s="1513"/>
      <c r="MM5" s="1513"/>
      <c r="MN5" s="1513"/>
      <c r="MO5" s="1513"/>
      <c r="MP5" s="1513"/>
      <c r="MQ5" s="1513"/>
      <c r="MR5" s="1513"/>
      <c r="MS5" s="1513"/>
      <c r="MT5" s="1513"/>
      <c r="MU5" s="1497">
        <f>'Belegung_wö. Arbeitszeit'!C14</f>
        <v>0</v>
      </c>
      <c r="MV5" s="1497">
        <f>'Belegung_wö. Arbeitszeit'!C15</f>
        <v>0</v>
      </c>
      <c r="MW5" s="1501">
        <f>'Belegung_wö. Arbeitszeit'!C24</f>
        <v>0</v>
      </c>
      <c r="MX5" s="1501">
        <f>'Belegung_wö. Arbeitszeit'!C25</f>
        <v>0</v>
      </c>
      <c r="MY5" s="1501">
        <f>'Belegung_wö. Arbeitszeit'!C26</f>
        <v>0</v>
      </c>
      <c r="MZ5" s="1501">
        <f>'Belegung_wö. Arbeitszeit'!C27</f>
        <v>0</v>
      </c>
      <c r="NA5" s="1501">
        <f>'Belegung_wö. Arbeitszeit'!C28</f>
        <v>0</v>
      </c>
      <c r="NB5" s="1501">
        <f>'Belegung_wö. Arbeitszeit'!C30</f>
        <v>0</v>
      </c>
      <c r="NC5" s="1497">
        <f>Personalkostenaufstellung!C20</f>
        <v>0</v>
      </c>
      <c r="ND5" s="1497">
        <f>Personalkostenaufstellung!B165</f>
        <v>0</v>
      </c>
      <c r="NE5" s="1497">
        <f>Personalkostenaufstellung!E165</f>
        <v>0</v>
      </c>
      <c r="NF5" s="1497">
        <f>Personalkostenaufstellung!B225</f>
        <v>0</v>
      </c>
      <c r="NG5" s="1497">
        <f>Personalkostenaufstellung!E225</f>
        <v>0</v>
      </c>
      <c r="NH5" s="1497">
        <f>Personalkostenaufstellung!B274</f>
        <v>0</v>
      </c>
      <c r="NI5" s="1497">
        <f>Personalkostenaufstellung!E274</f>
        <v>0</v>
      </c>
      <c r="NJ5" s="1497">
        <f>Personalaufwendungen!H24</f>
        <v>0</v>
      </c>
      <c r="NK5" s="1511">
        <f>Personalaufwendungen!G33</f>
        <v>0</v>
      </c>
      <c r="NL5" s="1503">
        <f>Personalaufwendungen!H33</f>
        <v>0</v>
      </c>
      <c r="NM5" s="1497" t="str">
        <f>Personalaufwendungen!J33</f>
        <v/>
      </c>
      <c r="NN5" s="1497" t="str">
        <f>Forderung!M8</f>
        <v/>
      </c>
      <c r="NO5" s="1503">
        <f>Forderung!J10</f>
        <v>0</v>
      </c>
      <c r="NP5" s="1497" t="str">
        <f>Forderung!M10</f>
        <v/>
      </c>
      <c r="NQ5" s="1503">
        <f>Forderung!J14</f>
        <v>0</v>
      </c>
      <c r="NR5" s="1497" t="str">
        <f>Forderung!M14</f>
        <v/>
      </c>
      <c r="NS5" s="1503">
        <f>Forderung!J16</f>
        <v>0</v>
      </c>
      <c r="NT5" s="1497" t="str">
        <f>Forderung!M16</f>
        <v/>
      </c>
    </row>
    <row r="6" spans="1:384" x14ac:dyDescent="0.25">
      <c r="C6" t="s">
        <v>1077</v>
      </c>
      <c r="D6" t="s">
        <v>1078</v>
      </c>
      <c r="E6" t="s">
        <v>1079</v>
      </c>
      <c r="F6" t="s">
        <v>1080</v>
      </c>
      <c r="G6" t="s">
        <v>1081</v>
      </c>
      <c r="H6" t="s">
        <v>1082</v>
      </c>
      <c r="I6" t="s">
        <v>1083</v>
      </c>
      <c r="J6" t="s">
        <v>1084</v>
      </c>
      <c r="K6" t="s">
        <v>1085</v>
      </c>
      <c r="L6" t="s">
        <v>1086</v>
      </c>
      <c r="M6" t="s">
        <v>1087</v>
      </c>
      <c r="N6" t="s">
        <v>1088</v>
      </c>
      <c r="O6" t="s">
        <v>1089</v>
      </c>
      <c r="P6" t="s">
        <v>1090</v>
      </c>
      <c r="Q6" t="s">
        <v>1091</v>
      </c>
      <c r="R6" t="s">
        <v>1092</v>
      </c>
      <c r="S6" t="s">
        <v>848</v>
      </c>
      <c r="T6" t="s">
        <v>1093</v>
      </c>
      <c r="U6" t="s">
        <v>1094</v>
      </c>
      <c r="V6" t="s">
        <v>1095</v>
      </c>
      <c r="W6" t="s">
        <v>1096</v>
      </c>
      <c r="X6" t="s">
        <v>1097</v>
      </c>
      <c r="Y6" t="s">
        <v>1098</v>
      </c>
      <c r="Z6" t="s">
        <v>1099</v>
      </c>
      <c r="AA6" t="s">
        <v>1100</v>
      </c>
      <c r="AC6" t="s">
        <v>1101</v>
      </c>
      <c r="AD6" t="s">
        <v>1102</v>
      </c>
      <c r="AE6" t="s">
        <v>1103</v>
      </c>
      <c r="AF6" t="s">
        <v>1104</v>
      </c>
      <c r="AG6" t="s">
        <v>1105</v>
      </c>
      <c r="AH6" t="s">
        <v>1106</v>
      </c>
      <c r="AI6" t="s">
        <v>1107</v>
      </c>
      <c r="AJ6" t="s">
        <v>1108</v>
      </c>
      <c r="AK6" t="s">
        <v>1109</v>
      </c>
      <c r="AL6" t="s">
        <v>1110</v>
      </c>
      <c r="AM6" t="s">
        <v>1111</v>
      </c>
      <c r="AN6" t="s">
        <v>1112</v>
      </c>
      <c r="AO6" s="329"/>
      <c r="AP6" s="329"/>
      <c r="AQ6" t="s">
        <v>1113</v>
      </c>
      <c r="AX6" t="s">
        <v>1130</v>
      </c>
      <c r="AY6" t="s">
        <v>1090</v>
      </c>
      <c r="AZ6" t="s">
        <v>1131</v>
      </c>
      <c r="BA6" t="s">
        <v>1091</v>
      </c>
      <c r="BB6" t="s">
        <v>1132</v>
      </c>
      <c r="BC6" t="s">
        <v>1133</v>
      </c>
      <c r="BD6" t="s">
        <v>1134</v>
      </c>
      <c r="BE6" t="s">
        <v>1135</v>
      </c>
      <c r="BF6" t="s">
        <v>1136</v>
      </c>
      <c r="BG6" t="s">
        <v>1137</v>
      </c>
      <c r="BH6" t="s">
        <v>1138</v>
      </c>
      <c r="BI6" t="s">
        <v>1139</v>
      </c>
      <c r="BP6" t="s">
        <v>1140</v>
      </c>
      <c r="BQ6" t="s">
        <v>1126</v>
      </c>
      <c r="BR6" t="s">
        <v>533</v>
      </c>
      <c r="BS6" t="s">
        <v>1142</v>
      </c>
      <c r="BT6" t="s">
        <v>1143</v>
      </c>
      <c r="BY6" t="s">
        <v>1144</v>
      </c>
      <c r="BZ6" t="s">
        <v>1145</v>
      </c>
      <c r="CB6" t="s">
        <v>1146</v>
      </c>
      <c r="CC6" t="s">
        <v>1147</v>
      </c>
      <c r="CE6" t="s">
        <v>1148</v>
      </c>
      <c r="CF6" t="s">
        <v>1149</v>
      </c>
      <c r="CH6" t="s">
        <v>1150</v>
      </c>
      <c r="CI6" t="s">
        <v>1151</v>
      </c>
      <c r="CM6" t="s">
        <v>1154</v>
      </c>
      <c r="CN6" t="s">
        <v>1155</v>
      </c>
      <c r="CO6" t="s">
        <v>1156</v>
      </c>
      <c r="CP6" t="s">
        <v>1157</v>
      </c>
      <c r="CQ6" t="s">
        <v>790</v>
      </c>
      <c r="CR6" t="s">
        <v>1158</v>
      </c>
      <c r="DD6" t="s">
        <v>1165</v>
      </c>
      <c r="DE6" s="208" t="s">
        <v>1166</v>
      </c>
      <c r="DG6" s="208" t="s">
        <v>1167</v>
      </c>
      <c r="DJ6" t="s">
        <v>1168</v>
      </c>
      <c r="DK6" t="s">
        <v>1169</v>
      </c>
      <c r="DL6" t="s">
        <v>1170</v>
      </c>
      <c r="DM6" t="s">
        <v>1171</v>
      </c>
      <c r="DN6" t="s">
        <v>1172</v>
      </c>
      <c r="DO6" t="s">
        <v>1173</v>
      </c>
      <c r="DP6" t="s">
        <v>1174</v>
      </c>
      <c r="DQ6" t="s">
        <v>1175</v>
      </c>
      <c r="DR6" t="s">
        <v>1176</v>
      </c>
      <c r="DS6" t="s">
        <v>1177</v>
      </c>
      <c r="DT6" t="s">
        <v>1178</v>
      </c>
      <c r="DU6" t="s">
        <v>1179</v>
      </c>
      <c r="DV6" t="s">
        <v>1180</v>
      </c>
      <c r="DW6" t="s">
        <v>1181</v>
      </c>
      <c r="DX6" t="s">
        <v>1182</v>
      </c>
      <c r="DY6" t="s">
        <v>1183</v>
      </c>
      <c r="DZ6" t="s">
        <v>1184</v>
      </c>
      <c r="EA6" t="s">
        <v>1185</v>
      </c>
      <c r="EB6" t="s">
        <v>1186</v>
      </c>
      <c r="EF6" t="s">
        <v>1187</v>
      </c>
      <c r="EH6" t="s">
        <v>1188</v>
      </c>
      <c r="EJ6" t="s">
        <v>1189</v>
      </c>
      <c r="EL6" t="s">
        <v>1191</v>
      </c>
      <c r="ER6" t="s">
        <v>1192</v>
      </c>
      <c r="ES6" t="s">
        <v>1195</v>
      </c>
      <c r="ET6" t="s">
        <v>1194</v>
      </c>
      <c r="FB6" t="s">
        <v>1197</v>
      </c>
      <c r="FC6" t="s">
        <v>1198</v>
      </c>
      <c r="FD6" t="s">
        <v>1199</v>
      </c>
      <c r="FH6" t="s">
        <v>1200</v>
      </c>
      <c r="FJ6" t="s">
        <v>1201</v>
      </c>
      <c r="FL6" t="s">
        <v>1202</v>
      </c>
      <c r="FN6" t="s">
        <v>1203</v>
      </c>
      <c r="FT6" t="s">
        <v>1204</v>
      </c>
      <c r="FU6" t="s">
        <v>1205</v>
      </c>
      <c r="GF6" t="s">
        <v>1210</v>
      </c>
      <c r="GG6" t="s">
        <v>1211</v>
      </c>
      <c r="GH6" t="s">
        <v>1212</v>
      </c>
      <c r="GI6" t="s">
        <v>1098</v>
      </c>
      <c r="GJ6" t="s">
        <v>1213</v>
      </c>
      <c r="GK6" t="s">
        <v>1214</v>
      </c>
      <c r="GL6" t="s">
        <v>1215</v>
      </c>
      <c r="GM6" t="s">
        <v>1216</v>
      </c>
      <c r="GN6" t="s">
        <v>1217</v>
      </c>
      <c r="GO6" t="s">
        <v>1218</v>
      </c>
      <c r="GP6" t="s">
        <v>1219</v>
      </c>
      <c r="GQ6" t="s">
        <v>1220</v>
      </c>
      <c r="GR6" t="s">
        <v>1221</v>
      </c>
      <c r="GV6" t="s">
        <v>1083</v>
      </c>
      <c r="GW6" t="s">
        <v>1085</v>
      </c>
      <c r="GX6" t="s">
        <v>1087</v>
      </c>
      <c r="GY6" t="s">
        <v>1222</v>
      </c>
      <c r="HB6" t="s">
        <v>1223</v>
      </c>
      <c r="HC6" t="s">
        <v>1224</v>
      </c>
      <c r="HI6" t="s">
        <v>842</v>
      </c>
      <c r="HJ6" t="s">
        <v>843</v>
      </c>
      <c r="HK6" t="s">
        <v>1227</v>
      </c>
      <c r="HL6" t="s">
        <v>1228</v>
      </c>
      <c r="HM6" t="s">
        <v>1201</v>
      </c>
      <c r="HN6" t="s">
        <v>1229</v>
      </c>
      <c r="HO6" t="s">
        <v>1230</v>
      </c>
      <c r="HP6" t="s">
        <v>1231</v>
      </c>
      <c r="HQ6" t="s">
        <v>1203</v>
      </c>
      <c r="HR6" t="s">
        <v>1232</v>
      </c>
      <c r="HS6" t="s">
        <v>1196</v>
      </c>
      <c r="HT6" t="s">
        <v>1233</v>
      </c>
      <c r="HU6" t="s">
        <v>1234</v>
      </c>
      <c r="HV6" t="s">
        <v>1204</v>
      </c>
      <c r="HW6" t="s">
        <v>1235</v>
      </c>
      <c r="HX6" t="s">
        <v>1236</v>
      </c>
      <c r="HY6" t="s">
        <v>1205</v>
      </c>
      <c r="HZ6" t="s">
        <v>1237</v>
      </c>
      <c r="IA6" t="s">
        <v>1099</v>
      </c>
      <c r="IC6" t="s">
        <v>1238</v>
      </c>
      <c r="ID6" t="s">
        <v>1239</v>
      </c>
      <c r="IE6" t="s">
        <v>1240</v>
      </c>
      <c r="IF6" t="s">
        <v>1243</v>
      </c>
      <c r="IG6" t="s">
        <v>1241</v>
      </c>
      <c r="IH6" t="s">
        <v>1244</v>
      </c>
      <c r="II6" t="s">
        <v>1242</v>
      </c>
      <c r="IJ6" t="s">
        <v>1101</v>
      </c>
      <c r="IK6" t="s">
        <v>1288</v>
      </c>
      <c r="IL6" t="s">
        <v>1289</v>
      </c>
      <c r="IM6" t="s">
        <v>1290</v>
      </c>
      <c r="IN6" t="s">
        <v>1291</v>
      </c>
      <c r="IO6" t="s">
        <v>1292</v>
      </c>
      <c r="IP6" t="s">
        <v>1293</v>
      </c>
      <c r="IQ6" t="s">
        <v>1294</v>
      </c>
      <c r="IR6" t="s">
        <v>1295</v>
      </c>
      <c r="IS6" t="s">
        <v>1296</v>
      </c>
      <c r="IT6" t="s">
        <v>1297</v>
      </c>
      <c r="IU6" t="s">
        <v>1298</v>
      </c>
      <c r="IV6" t="s">
        <v>1299</v>
      </c>
      <c r="IW6" t="s">
        <v>1300</v>
      </c>
      <c r="IY6" t="s">
        <v>1301</v>
      </c>
      <c r="IZ6" t="s">
        <v>1302</v>
      </c>
      <c r="JA6" t="s">
        <v>1100</v>
      </c>
      <c r="JB6" t="s">
        <v>1243</v>
      </c>
      <c r="JC6" t="s">
        <v>1303</v>
      </c>
      <c r="JD6" t="s">
        <v>1244</v>
      </c>
      <c r="JE6" t="s">
        <v>1304</v>
      </c>
      <c r="JF6" t="s">
        <v>1305</v>
      </c>
      <c r="JG6" t="s">
        <v>1248</v>
      </c>
      <c r="JH6" t="s">
        <v>1249</v>
      </c>
      <c r="JI6" t="s">
        <v>1250</v>
      </c>
      <c r="JJ6" t="s">
        <v>1251</v>
      </c>
      <c r="JK6" t="s">
        <v>1252</v>
      </c>
      <c r="JL6" t="s">
        <v>1253</v>
      </c>
      <c r="JM6" t="s">
        <v>1254</v>
      </c>
      <c r="JN6" t="s">
        <v>1255</v>
      </c>
      <c r="JO6" t="s">
        <v>1256</v>
      </c>
      <c r="JP6" t="s">
        <v>1257</v>
      </c>
      <c r="JQ6" t="s">
        <v>1258</v>
      </c>
      <c r="JR6" t="s">
        <v>1259</v>
      </c>
      <c r="JS6" t="s">
        <v>1260</v>
      </c>
      <c r="JU6" t="s">
        <v>1261</v>
      </c>
      <c r="JV6" t="s">
        <v>1262</v>
      </c>
      <c r="JW6" t="s">
        <v>1263</v>
      </c>
      <c r="JX6" t="s">
        <v>1243</v>
      </c>
      <c r="JY6" t="s">
        <v>1264</v>
      </c>
      <c r="JZ6" t="s">
        <v>1244</v>
      </c>
      <c r="KA6" t="s">
        <v>1265</v>
      </c>
      <c r="KB6" t="s">
        <v>1266</v>
      </c>
      <c r="KC6" t="s">
        <v>1267</v>
      </c>
      <c r="KD6" t="s">
        <v>1268</v>
      </c>
      <c r="KK6" t="s">
        <v>1221</v>
      </c>
      <c r="KP6" t="s">
        <v>1283</v>
      </c>
      <c r="LR6" t="s">
        <v>1168</v>
      </c>
      <c r="MG6" t="s">
        <v>1222</v>
      </c>
      <c r="MH6" t="s">
        <v>1245</v>
      </c>
      <c r="MI6" t="s">
        <v>1246</v>
      </c>
      <c r="MJ6" t="s">
        <v>1247</v>
      </c>
      <c r="MU6" t="s">
        <v>1114</v>
      </c>
      <c r="MV6" t="s">
        <v>1115</v>
      </c>
      <c r="MW6" t="s">
        <v>1124</v>
      </c>
      <c r="MX6" t="s">
        <v>1125</v>
      </c>
      <c r="MY6" t="s">
        <v>1126</v>
      </c>
      <c r="MZ6" t="s">
        <v>1127</v>
      </c>
      <c r="NA6" t="s">
        <v>1128</v>
      </c>
      <c r="NB6" t="s">
        <v>1129</v>
      </c>
      <c r="NC6" t="s">
        <v>863</v>
      </c>
      <c r="ND6" t="s">
        <v>1152</v>
      </c>
      <c r="NE6" t="s">
        <v>1153</v>
      </c>
      <c r="NF6" t="s">
        <v>1159</v>
      </c>
      <c r="NG6" t="s">
        <v>1160</v>
      </c>
      <c r="NH6" t="s">
        <v>1163</v>
      </c>
      <c r="NI6" t="s">
        <v>1164</v>
      </c>
      <c r="NJ6" t="s">
        <v>1196</v>
      </c>
      <c r="NK6" t="s">
        <v>865</v>
      </c>
      <c r="NL6" t="s">
        <v>1207</v>
      </c>
      <c r="NM6" t="s">
        <v>1096</v>
      </c>
      <c r="NN6" t="s">
        <v>1269</v>
      </c>
      <c r="NO6" t="s">
        <v>1273</v>
      </c>
      <c r="NP6" t="s">
        <v>1274</v>
      </c>
      <c r="NQ6" t="s">
        <v>1278</v>
      </c>
      <c r="NR6" t="s">
        <v>1170</v>
      </c>
      <c r="NS6" t="s">
        <v>1281</v>
      </c>
      <c r="NT6" t="s">
        <v>1282</v>
      </c>
    </row>
    <row r="7" spans="1:384" x14ac:dyDescent="0.25">
      <c r="DE7" s="208" t="s">
        <v>1287</v>
      </c>
    </row>
    <row r="8" spans="1:384" x14ac:dyDescent="0.25">
      <c r="A8" s="208"/>
    </row>
  </sheetData>
  <sheetProtection algorithmName="SHA-512" hashValue="HBb59/fYlWeVXAKds004VgKoNspD5fTK/lekdk/7gkNzL7MXFJSCz5yxqeoXtYKptw8uv8kUHVzdsogrpP6q1A==" saltValue="tJveJRnkFSAziRJm3Ds1Lg==" spinCount="100000" sheet="1" selectLockedCells="1"/>
  <pageMargins left="0.7" right="0.7" top="0.78740157499999996" bottom="0.78740157499999996" header="0.3" footer="0.3"/>
  <pageSetup paperSize="9" orientation="portrait"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showGridLines="0" tabSelected="1" zoomScaleNormal="100" zoomScaleSheetLayoutView="100" workbookViewId="0">
      <selection sqref="A1:C1"/>
    </sheetView>
  </sheetViews>
  <sheetFormatPr baseColWidth="10" defaultColWidth="11" defaultRowHeight="17.399999999999999" x14ac:dyDescent="0.25"/>
  <cols>
    <col min="1" max="1" width="48.59765625" style="1554" customWidth="1"/>
    <col min="2" max="2" width="57" style="1554" customWidth="1"/>
    <col min="3" max="3" width="40" style="1554" customWidth="1"/>
    <col min="4" max="4" width="11.3984375" style="1553" customWidth="1"/>
    <col min="5" max="16384" width="11" style="1554"/>
  </cols>
  <sheetData>
    <row r="1" spans="1:4" ht="33.75" customHeight="1" x14ac:dyDescent="0.25">
      <c r="A1" s="1592" t="s">
        <v>1309</v>
      </c>
      <c r="B1" s="1593"/>
      <c r="C1" s="1593"/>
    </row>
    <row r="2" spans="1:4" s="1555" customFormat="1" ht="33" customHeight="1" x14ac:dyDescent="0.25">
      <c r="A2" s="1594" t="s">
        <v>1310</v>
      </c>
      <c r="B2" s="1595"/>
      <c r="C2" s="1595"/>
      <c r="D2" s="1556"/>
    </row>
    <row r="3" spans="1:4" ht="14.25" customHeight="1" x14ac:dyDescent="0.25"/>
    <row r="4" spans="1:4" x14ac:dyDescent="0.25">
      <c r="A4" s="1596" t="s">
        <v>1311</v>
      </c>
      <c r="B4" s="1597"/>
      <c r="C4" s="1597"/>
    </row>
    <row r="5" spans="1:4" s="1558" customFormat="1" ht="13.8" x14ac:dyDescent="0.25">
      <c r="A5" s="1598" t="s">
        <v>1312</v>
      </c>
      <c r="B5" s="1598"/>
      <c r="C5" s="1598"/>
      <c r="D5" s="1557"/>
    </row>
    <row r="6" spans="1:4" s="1558" customFormat="1" ht="13.8" x14ac:dyDescent="0.25">
      <c r="A6" s="1598" t="s">
        <v>1313</v>
      </c>
      <c r="B6" s="1598"/>
      <c r="C6" s="1598"/>
      <c r="D6" s="1557"/>
    </row>
    <row r="7" spans="1:4" s="1558" customFormat="1" ht="13.8" x14ac:dyDescent="0.25">
      <c r="A7" s="1587" t="s">
        <v>1314</v>
      </c>
      <c r="B7" s="1587"/>
      <c r="C7" s="1587"/>
      <c r="D7" s="1557"/>
    </row>
    <row r="8" spans="1:4" s="1558" customFormat="1" ht="13.8" x14ac:dyDescent="0.25">
      <c r="A8" s="1588" t="s">
        <v>1315</v>
      </c>
      <c r="B8" s="1588"/>
      <c r="C8" s="1588"/>
      <c r="D8" s="1557"/>
    </row>
    <row r="9" spans="1:4" s="1558" customFormat="1" ht="13.8" x14ac:dyDescent="0.25">
      <c r="A9" s="1589" t="s">
        <v>1316</v>
      </c>
      <c r="B9" s="1589"/>
      <c r="C9" s="1589"/>
      <c r="D9" s="1557"/>
    </row>
    <row r="10" spans="1:4" s="1558" customFormat="1" ht="13.8" x14ac:dyDescent="0.25">
      <c r="A10" s="1590" t="s">
        <v>1317</v>
      </c>
      <c r="B10" s="1590"/>
      <c r="C10" s="1590"/>
      <c r="D10" s="1557"/>
    </row>
    <row r="11" spans="1:4" s="1558" customFormat="1" ht="13.8" x14ac:dyDescent="0.25">
      <c r="A11" s="1591" t="s">
        <v>1318</v>
      </c>
      <c r="B11" s="1591"/>
      <c r="C11" s="1591"/>
      <c r="D11" s="1557"/>
    </row>
    <row r="12" spans="1:4" s="1558" customFormat="1" ht="13.8" x14ac:dyDescent="0.25">
      <c r="A12" s="1586" t="s">
        <v>1319</v>
      </c>
      <c r="B12" s="1586"/>
      <c r="C12" s="1586"/>
      <c r="D12" s="1557"/>
    </row>
    <row r="13" spans="1:4" s="1558" customFormat="1" ht="13.8" x14ac:dyDescent="0.25">
      <c r="A13" s="1603" t="s">
        <v>1320</v>
      </c>
      <c r="B13" s="1603"/>
      <c r="C13" s="1603"/>
      <c r="D13" s="1557"/>
    </row>
    <row r="14" spans="1:4" s="1558" customFormat="1" ht="13.8" x14ac:dyDescent="0.25">
      <c r="A14" s="1598" t="s">
        <v>1321</v>
      </c>
      <c r="B14" s="1598"/>
      <c r="C14" s="1598"/>
      <c r="D14" s="1557"/>
    </row>
    <row r="15" spans="1:4" x14ac:dyDescent="0.25">
      <c r="A15" s="1599"/>
      <c r="B15" s="1600"/>
      <c r="C15" s="1600"/>
    </row>
    <row r="16" spans="1:4" s="1555" customFormat="1" ht="300" customHeight="1" x14ac:dyDescent="0.25">
      <c r="A16" s="1595" t="s">
        <v>1322</v>
      </c>
      <c r="B16" s="1595"/>
      <c r="C16" s="1595"/>
      <c r="D16" s="1560" t="s">
        <v>1323</v>
      </c>
    </row>
    <row r="17" spans="1:4" ht="9.75" customHeight="1" x14ac:dyDescent="0.25">
      <c r="A17" s="1599"/>
      <c r="B17" s="1600"/>
      <c r="C17" s="1600"/>
    </row>
    <row r="18" spans="1:4" ht="41.25" customHeight="1" x14ac:dyDescent="0.25">
      <c r="A18" s="1604" t="s">
        <v>1324</v>
      </c>
      <c r="B18" s="1605"/>
      <c r="C18" s="1605"/>
      <c r="D18" s="1561" t="s">
        <v>1323</v>
      </c>
    </row>
    <row r="19" spans="1:4" x14ac:dyDescent="0.25">
      <c r="A19" s="1599"/>
      <c r="B19" s="1600"/>
      <c r="C19" s="1600"/>
    </row>
    <row r="20" spans="1:4" ht="165.75" customHeight="1" x14ac:dyDescent="0.25">
      <c r="A20" s="1601" t="s">
        <v>1325</v>
      </c>
      <c r="B20" s="1601"/>
      <c r="C20" s="1601"/>
      <c r="D20" s="1562" t="s">
        <v>1323</v>
      </c>
    </row>
    <row r="21" spans="1:4" ht="14.25" customHeight="1" x14ac:dyDescent="0.25">
      <c r="A21" s="1599"/>
      <c r="B21" s="1600"/>
      <c r="C21" s="1600"/>
      <c r="D21" s="1563"/>
    </row>
    <row r="22" spans="1:4" ht="120" customHeight="1" x14ac:dyDescent="0.25">
      <c r="A22" s="1602" t="s">
        <v>1326</v>
      </c>
      <c r="B22" s="1602"/>
      <c r="C22" s="1602"/>
      <c r="D22" s="1606" t="s">
        <v>1323</v>
      </c>
    </row>
    <row r="23" spans="1:4" ht="249" customHeight="1" x14ac:dyDescent="0.25">
      <c r="A23" s="1607" t="s">
        <v>1327</v>
      </c>
      <c r="B23" s="1602"/>
      <c r="C23" s="1602"/>
      <c r="D23" s="1606"/>
    </row>
    <row r="24" spans="1:4" ht="13.8" x14ac:dyDescent="0.25">
      <c r="A24" s="1599"/>
      <c r="B24" s="1600"/>
      <c r="C24" s="1600"/>
      <c r="D24" s="1563"/>
    </row>
    <row r="25" spans="1:4" ht="337.5" customHeight="1" x14ac:dyDescent="0.25">
      <c r="A25" s="1612" t="s">
        <v>1328</v>
      </c>
      <c r="B25" s="1613"/>
      <c r="C25" s="1613"/>
      <c r="D25" s="1606" t="s">
        <v>1323</v>
      </c>
    </row>
    <row r="26" spans="1:4" ht="323.25" customHeight="1" x14ac:dyDescent="0.25">
      <c r="A26" s="1612" t="s">
        <v>1329</v>
      </c>
      <c r="B26" s="1613"/>
      <c r="C26" s="1613"/>
      <c r="D26" s="1606"/>
    </row>
    <row r="27" spans="1:4" ht="409.5" customHeight="1" x14ac:dyDescent="0.25">
      <c r="A27" s="1613" t="s">
        <v>1346</v>
      </c>
      <c r="B27" s="1613"/>
      <c r="C27" s="1613"/>
      <c r="D27" s="1614"/>
    </row>
    <row r="28" spans="1:4" ht="265.5" customHeight="1" x14ac:dyDescent="0.25">
      <c r="A28" s="1613" t="s">
        <v>1345</v>
      </c>
      <c r="B28" s="1613"/>
      <c r="C28" s="1613"/>
      <c r="D28" s="1614"/>
    </row>
    <row r="29" spans="1:4" ht="11.25" customHeight="1" x14ac:dyDescent="0.25">
      <c r="A29" s="1599"/>
      <c r="B29" s="1600"/>
      <c r="C29" s="1600"/>
      <c r="D29" s="1564"/>
    </row>
    <row r="30" spans="1:4" ht="323.25" customHeight="1" x14ac:dyDescent="0.25">
      <c r="A30" s="1617" t="s">
        <v>1330</v>
      </c>
      <c r="B30" s="1618"/>
      <c r="C30" s="1618"/>
      <c r="D30" s="1560" t="s">
        <v>1323</v>
      </c>
    </row>
    <row r="31" spans="1:4" ht="13.8" x14ac:dyDescent="0.25">
      <c r="A31" s="1599"/>
      <c r="B31" s="1600"/>
      <c r="C31" s="1600"/>
      <c r="D31" s="1565"/>
    </row>
    <row r="32" spans="1:4" ht="136.5" customHeight="1" x14ac:dyDescent="0.25">
      <c r="A32" s="1619" t="s">
        <v>1331</v>
      </c>
      <c r="B32" s="1620"/>
      <c r="C32" s="1620"/>
      <c r="D32" s="1560" t="s">
        <v>1323</v>
      </c>
    </row>
    <row r="33" spans="1:4" ht="13.8" x14ac:dyDescent="0.25">
      <c r="A33" s="1599"/>
      <c r="B33" s="1600"/>
      <c r="C33" s="1600"/>
      <c r="D33" s="1565"/>
    </row>
    <row r="34" spans="1:4" ht="76.5" customHeight="1" x14ac:dyDescent="0.25">
      <c r="A34" s="1621" t="s">
        <v>1332</v>
      </c>
      <c r="B34" s="1622"/>
      <c r="C34" s="1622"/>
      <c r="D34" s="1608" t="s">
        <v>1323</v>
      </c>
    </row>
    <row r="35" spans="1:4" ht="63" customHeight="1" x14ac:dyDescent="0.25">
      <c r="A35" s="1609" t="s">
        <v>1333</v>
      </c>
      <c r="B35" s="1610"/>
      <c r="C35" s="1610"/>
      <c r="D35" s="1608"/>
    </row>
    <row r="36" spans="1:4" ht="61.5" customHeight="1" x14ac:dyDescent="0.25">
      <c r="A36" s="1609" t="s">
        <v>1334</v>
      </c>
      <c r="B36" s="1611"/>
      <c r="C36" s="1611"/>
      <c r="D36" s="1608"/>
    </row>
    <row r="37" spans="1:4" ht="15.75" customHeight="1" x14ac:dyDescent="0.25">
      <c r="A37" s="1599"/>
      <c r="B37" s="1600"/>
      <c r="C37" s="1600"/>
      <c r="D37" s="1566"/>
    </row>
    <row r="38" spans="1:4" ht="55.5" customHeight="1" x14ac:dyDescent="0.25">
      <c r="A38" s="1615" t="s">
        <v>1335</v>
      </c>
      <c r="B38" s="1615"/>
      <c r="C38" s="1615"/>
      <c r="D38" s="1561" t="s">
        <v>1323</v>
      </c>
    </row>
    <row r="39" spans="1:4" ht="13.8" x14ac:dyDescent="0.25">
      <c r="A39" s="1599"/>
      <c r="B39" s="1600"/>
      <c r="C39" s="1600"/>
      <c r="D39" s="1567"/>
    </row>
    <row r="40" spans="1:4" ht="40.5" customHeight="1" x14ac:dyDescent="0.25">
      <c r="A40" s="1616" t="s">
        <v>1336</v>
      </c>
      <c r="B40" s="1616"/>
      <c r="C40" s="1616"/>
      <c r="D40" s="1561" t="s">
        <v>1323</v>
      </c>
    </row>
    <row r="41" spans="1:4" x14ac:dyDescent="0.25">
      <c r="C41" s="1559"/>
    </row>
    <row r="42" spans="1:4" x14ac:dyDescent="0.25">
      <c r="A42" s="1568"/>
      <c r="C42" s="1569"/>
    </row>
    <row r="43" spans="1:4" x14ac:dyDescent="0.25">
      <c r="A43" s="1568"/>
      <c r="C43" s="1569"/>
    </row>
    <row r="44" spans="1:4" x14ac:dyDescent="0.25">
      <c r="A44" s="808"/>
    </row>
    <row r="45" spans="1:4" x14ac:dyDescent="0.25">
      <c r="A45" s="808"/>
    </row>
    <row r="46" spans="1:4" x14ac:dyDescent="0.25">
      <c r="A46" s="808"/>
    </row>
    <row r="47" spans="1:4" x14ac:dyDescent="0.25">
      <c r="A47" s="1570"/>
    </row>
    <row r="48" spans="1:4" x14ac:dyDescent="0.25">
      <c r="A48" s="808"/>
    </row>
    <row r="49" spans="1:1" x14ac:dyDescent="0.25">
      <c r="A49" s="808"/>
    </row>
    <row r="50" spans="1:1" x14ac:dyDescent="0.25">
      <c r="A50" s="808"/>
    </row>
    <row r="51" spans="1:1" x14ac:dyDescent="0.25">
      <c r="A51" s="808"/>
    </row>
    <row r="52" spans="1:1" x14ac:dyDescent="0.25">
      <c r="A52" s="808"/>
    </row>
  </sheetData>
  <sheetProtection algorithmName="SHA-512" hashValue="DjdLO9nDdKySezvCaDwV2X6ldCs9tWKHue8wPvw06Dz43i4YQ1ilttR0go4ZkjcoAsdtfjuywH1YPO1hPcsNZw==" saltValue="PH9pGUWnnXv6evOrJ92zZg==" spinCount="100000" sheet="1" objects="1" scenarios="1"/>
  <customSheetViews>
    <customSheetView guid="{CDDBAA41-0D3E-44AF-A85A-332C81A5DAE4}" scale="130" showGridLines="0" fitToPage="1" topLeftCell="A13">
      <selection activeCell="H1" sqref="H1"/>
      <pageMargins left="0.78740157480314965" right="0.70866141732283472" top="1.1811023622047245" bottom="0.78740157480314965" header="0.31496062992125984" footer="0.31496062992125984"/>
      <pageSetup paperSize="9" scale="98" fitToHeight="6" orientation="portrait"/>
      <headerFooter>
        <oddHeader>&amp;C&amp;9Allgemeine Hinweise</oddHeader>
        <oddFooter>&amp;C&amp;8Verhandlungsunterlagen SGB XI&amp;R&amp;8Version Kostenträger Stand: 29.11.2018</oddFooter>
      </headerFooter>
    </customSheetView>
  </customSheetViews>
  <mergeCells count="42">
    <mergeCell ref="A37:C37"/>
    <mergeCell ref="A38:C38"/>
    <mergeCell ref="A39:C39"/>
    <mergeCell ref="A40:C40"/>
    <mergeCell ref="A30:C30"/>
    <mergeCell ref="A31:C31"/>
    <mergeCell ref="A32:C32"/>
    <mergeCell ref="A33:C33"/>
    <mergeCell ref="A34:C34"/>
    <mergeCell ref="D22:D23"/>
    <mergeCell ref="A23:C23"/>
    <mergeCell ref="D34:D36"/>
    <mergeCell ref="A35:C35"/>
    <mergeCell ref="A36:C36"/>
    <mergeCell ref="A25:C25"/>
    <mergeCell ref="D25:D28"/>
    <mergeCell ref="A26:C26"/>
    <mergeCell ref="A27:C27"/>
    <mergeCell ref="A28:C28"/>
    <mergeCell ref="A29:C29"/>
    <mergeCell ref="A24:C24"/>
    <mergeCell ref="A19:C19"/>
    <mergeCell ref="A20:C20"/>
    <mergeCell ref="A21:C21"/>
    <mergeCell ref="A22:C22"/>
    <mergeCell ref="A13:C13"/>
    <mergeCell ref="A14:C14"/>
    <mergeCell ref="A15:C15"/>
    <mergeCell ref="A16:C16"/>
    <mergeCell ref="A17:C17"/>
    <mergeCell ref="A18:C18"/>
    <mergeCell ref="A1:C1"/>
    <mergeCell ref="A2:C2"/>
    <mergeCell ref="A4:C4"/>
    <mergeCell ref="A5:C5"/>
    <mergeCell ref="A6:C6"/>
    <mergeCell ref="A12:C12"/>
    <mergeCell ref="A7:C7"/>
    <mergeCell ref="A8:C8"/>
    <mergeCell ref="A9:C9"/>
    <mergeCell ref="A10:C10"/>
    <mergeCell ref="A11:C11"/>
  </mergeCells>
  <hyperlinks>
    <hyperlink ref="A5" location="Tabelle1!A16" display="1. Allgemeine Hinweise" xr:uid="{2DF261BA-999D-420B-9298-5782CCD6C413}"/>
    <hyperlink ref="A6" location="Tabelle1!A18" display="2. Antragsunterlagen" xr:uid="{278D7A05-7957-4866-A5EC-E3AF448FFD9C}"/>
    <hyperlink ref="A7" location="Tabelle1!A20" display="2.1. Mappe Allgemeine Angaben" xr:uid="{821B4147-C8BD-4893-B1E5-0E129AC2117C}"/>
    <hyperlink ref="D16" location="'Allgemeine Hinweise'!A1" display="zurück" xr:uid="{2217878B-0B28-4F63-BACB-4723EB93C893}"/>
    <hyperlink ref="A8" location="Tabelle1!A26" display="2.2. Mappe Belegung / wöchentliche Arbeitszeit" xr:uid="{6062F9AD-DFEC-4179-BC93-7A6328732DA2}"/>
    <hyperlink ref="D20" location="'Allgemeine Hinweise'!A1" display="zurück" xr:uid="{BC0C74C6-D13F-432F-99EB-F86CA5867A6D}"/>
    <hyperlink ref="D22:D23" location="'Allgemeine Hinweise'!A1" display="zurück" xr:uid="{A3D70585-88BC-4FA1-B2C1-616B2B566249}"/>
    <hyperlink ref="D25:D28" location="'Allgemeine Hinweise'!A1" display="zurück" xr:uid="{60DAAD4B-7635-4E19-90F8-2BEAC43CC83C}"/>
    <hyperlink ref="A9" location="Tabelle1!A29" display="2.3. Mappe Personalkostenaufstellung" xr:uid="{C7734C93-025B-4086-BB8F-B255ABA1C50A}"/>
    <hyperlink ref="D30" location="'Allgemeine Hinweise'!A1" display="zurück" xr:uid="{3DBF0C91-179D-43ED-A39A-BD367C9A3586}"/>
    <hyperlink ref="A10" location="Tabelle1!A39" display="2.4. Mappe Personalaufwendungen" xr:uid="{2013756C-DEAE-4B30-83F1-5935D97091D2}"/>
    <hyperlink ref="D32" location="'Allgemeine Hinweise'!A1" display="zurück" xr:uid="{7A7565ED-E05C-4A89-B2F0-2BDE555064CA}"/>
    <hyperlink ref="A11" location="Tabelle1!A41" display="2.5. Mappe Sachaufwendungen" xr:uid="{B44619A1-CC86-40DB-BC00-56B111454F84}"/>
    <hyperlink ref="D34" location="Tabelle1!A4" display="zurück" xr:uid="{AAD261DC-CD7F-4450-9E22-EF90F4734221}"/>
    <hyperlink ref="A12" location="Tabelle1!A43" display="2.6. Mappe Forderungen" xr:uid="{9F175EFF-5206-40F1-AC1E-3534BE29BED2}"/>
    <hyperlink ref="D38" location="'Allgemeine Hinweise'!A1" display="zurück" xr:uid="{F9152748-84CB-455C-BB60-ABDCC636B8CA}"/>
    <hyperlink ref="D40" location="'Allgemeine Hinweise'!A1" display="zurück" xr:uid="{F24408C9-527D-449E-B59B-3B830251B146}"/>
    <hyperlink ref="A14" location="Tabelle1!A49" display="2.8. Mappe Bewohnervertretung" xr:uid="{2EA5CE70-DD0B-40D5-BFAF-37DD64937F06}"/>
    <hyperlink ref="A13" location="Tabelle1!A47" display="2.7. Mappe Gesamtkalkulation" xr:uid="{BC9412FE-6710-4E06-89E5-038BDC49448B}"/>
    <hyperlink ref="D18" location="'Allgemeine Hinweise'!A1" display="zurück" xr:uid="{0712489F-0369-4DCF-9C45-83D97A8DB8EB}"/>
    <hyperlink ref="A10:C10" location="'Allgemeine Hinweise'!A30" display="2.4. Mappe Personalaufwendungen" xr:uid="{6F6B9161-2CF1-4E4C-8A41-9FB294F624F2}"/>
    <hyperlink ref="A11:C11" location="'Allgemeine Hinweise'!A32" display="2.5. Mappe Sachaufwendungen" xr:uid="{E576DA42-36FC-49CE-A8C2-8B350289DCC2}"/>
    <hyperlink ref="A12:C12" location="'Allgemeine Hinweise'!A34" display="2.6. Mappe Forderungen" xr:uid="{DF22D1CB-523E-4785-9D71-92A68FF46301}"/>
    <hyperlink ref="A13:C13" location="'Allgemeine Hinweise'!A38" display="2.7. Mappe Gesamtkalkulation" xr:uid="{F94BD4A9-074D-47B1-A78A-6E74AD27E252}"/>
    <hyperlink ref="A14:C14" location="'Allgemeine Hinweise'!A40" display="2.8. Mappe Bewohnervertretung" xr:uid="{CA690F18-5EBF-48CC-B095-1ECF5BAEC397}"/>
    <hyperlink ref="A7:C7" location="'Allgemeine Hinweise'!A20" display="2.1. Mappe Allgemeine Angaben" xr:uid="{6D0791E7-D351-41FF-A83B-EF1BCE5DC33C}"/>
    <hyperlink ref="D34:D36" location="'Allgemeine Hinweise'!A1" display="zurück" xr:uid="{2AFFD143-0E5E-47BC-868F-2EC79A74A1FA}"/>
    <hyperlink ref="A5:C5" location="'Allgemeine Hinweise'!A16" display="1. Allgemeine Hinweise" xr:uid="{2CA61398-9AF4-48C2-9EFE-34AF1A83439A}"/>
    <hyperlink ref="A6:C6" location="'Allgemeine Hinweise'!A18" display="2. Antragsunterlagen" xr:uid="{9287024D-FDE4-4A80-B758-1A17BF12CAB5}"/>
    <hyperlink ref="A8:C8" location="'Allgemeine Hinweise'!A22" display="2.2. Mappe Belegung / wöchentliche Arbeitszeit" xr:uid="{662DBC4D-AD0D-4960-8C20-5467A6D4F265}"/>
    <hyperlink ref="A9:C9" location="'Allgemeine Hinweise'!A25" display="2.3. Mappe Personalkostenaufstellung" xr:uid="{92E13CA7-6F9C-4EB4-A285-D05374A7EBDB}"/>
  </hyperlinks>
  <pageMargins left="0.78740157480314965" right="0.70866141732283472" top="1.1811023622047245" bottom="0.78740157480314965" header="0.31496062992125984" footer="0.31496062992125984"/>
  <pageSetup paperSize="9" scale="54" fitToHeight="7" orientation="portrait"/>
  <headerFooter>
    <oddHeader>&amp;C&amp;9Allgemeine Hinweise</oddHeader>
    <oddFooter>&amp;L&amp;8Version: 12.10.2026&amp;C&amp;8Verhandlungsunterlagen KZP SGB XI&amp;R&amp;8PSK vom  27.08.26</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T79"/>
  <sheetViews>
    <sheetView showGridLines="0" zoomScaleNormal="100" workbookViewId="0">
      <selection activeCell="L4" sqref="L4:M4"/>
    </sheetView>
  </sheetViews>
  <sheetFormatPr baseColWidth="10" defaultRowHeight="13.8" x14ac:dyDescent="0.25"/>
  <cols>
    <col min="1" max="1" width="4.59765625" style="3" customWidth="1"/>
    <col min="2" max="2" width="2.3984375" style="3" customWidth="1"/>
    <col min="3" max="3" width="15.59765625" style="3" customWidth="1"/>
    <col min="4" max="4" width="10.59765625" style="3" customWidth="1"/>
    <col min="5" max="7" width="3.09765625" style="3" customWidth="1"/>
    <col min="8" max="8" width="11" style="3"/>
    <col min="9" max="9" width="4.3984375" style="3" customWidth="1"/>
    <col min="10" max="10" width="2.3984375" style="3" customWidth="1"/>
    <col min="11" max="11" width="11" style="3"/>
    <col min="12" max="12" width="7.59765625" style="3" customWidth="1"/>
    <col min="13" max="13" width="10.69921875" style="3" customWidth="1"/>
    <col min="14" max="14" width="2.59765625" style="3" customWidth="1"/>
    <col min="16" max="20" width="11" style="3"/>
  </cols>
  <sheetData>
    <row r="1" spans="1:20" x14ac:dyDescent="0.25">
      <c r="A1" s="1649" t="s">
        <v>0</v>
      </c>
      <c r="B1" s="1650"/>
      <c r="C1" s="1650"/>
      <c r="D1" s="1650"/>
      <c r="E1" s="1650"/>
      <c r="F1" s="1650"/>
      <c r="G1" s="1650"/>
      <c r="H1" s="1650"/>
      <c r="I1" s="1650"/>
      <c r="J1" s="1650"/>
      <c r="K1" s="1650"/>
      <c r="L1" s="1650"/>
      <c r="M1" s="1650"/>
      <c r="N1" s="1651"/>
      <c r="O1" s="282"/>
      <c r="P1"/>
      <c r="Q1" s="132"/>
      <c r="R1"/>
      <c r="S1"/>
      <c r="T1"/>
    </row>
    <row r="2" spans="1:20" ht="15" customHeight="1" x14ac:dyDescent="0.25">
      <c r="A2" s="1652" t="s">
        <v>1</v>
      </c>
      <c r="B2" s="1653"/>
      <c r="C2" s="1653"/>
      <c r="D2" s="1653"/>
      <c r="E2" s="1653"/>
      <c r="F2" s="1653"/>
      <c r="G2" s="1653"/>
      <c r="H2" s="1653"/>
      <c r="I2" s="1653"/>
      <c r="J2" s="1653"/>
      <c r="K2" s="1653"/>
      <c r="L2" s="1653"/>
      <c r="M2" s="1653"/>
      <c r="N2" s="1654"/>
      <c r="O2" s="283"/>
      <c r="P2"/>
      <c r="Q2"/>
      <c r="R2"/>
      <c r="S2"/>
      <c r="T2"/>
    </row>
    <row r="3" spans="1:20" x14ac:dyDescent="0.25">
      <c r="A3" s="1652" t="str">
        <f>IF(D11&gt;0,CONCATENATE(D11,", ",D15," ",J15),"")</f>
        <v/>
      </c>
      <c r="B3" s="1653"/>
      <c r="C3" s="1653"/>
      <c r="D3" s="1653"/>
      <c r="E3" s="1653"/>
      <c r="F3" s="1653"/>
      <c r="G3" s="1653"/>
      <c r="H3" s="1653"/>
      <c r="I3" s="1653"/>
      <c r="J3" s="1653"/>
      <c r="K3" s="1653"/>
      <c r="L3" s="1653"/>
      <c r="M3" s="1653"/>
      <c r="N3" s="1654"/>
      <c r="O3" s="48"/>
      <c r="P3"/>
      <c r="Q3"/>
      <c r="R3"/>
      <c r="S3"/>
      <c r="T3"/>
    </row>
    <row r="4" spans="1:20" x14ac:dyDescent="0.25">
      <c r="A4" s="325" t="str">
        <f>IF(L6&gt;0,CONCATENATE("IK"," ",L6),"")</f>
        <v/>
      </c>
      <c r="B4" s="326"/>
      <c r="C4" s="326"/>
      <c r="D4" s="326"/>
      <c r="E4" s="326"/>
      <c r="F4" s="326"/>
      <c r="G4" s="326"/>
      <c r="H4" s="326"/>
      <c r="I4" s="326"/>
      <c r="J4" s="326"/>
      <c r="K4" s="326" t="s">
        <v>270</v>
      </c>
      <c r="L4" s="1660"/>
      <c r="M4" s="1660"/>
      <c r="N4" s="327"/>
      <c r="O4" s="132"/>
      <c r="P4"/>
      <c r="Q4"/>
      <c r="R4"/>
      <c r="S4"/>
      <c r="T4"/>
    </row>
    <row r="5" spans="1:20" ht="12.75" customHeight="1" thickBot="1" x14ac:dyDescent="0.3">
      <c r="A5" s="1663">
        <v>46307</v>
      </c>
      <c r="B5" s="1664"/>
      <c r="C5" s="1664"/>
      <c r="I5" s="1661" t="str">
        <f>IFERROR(IF(L4=0,"Antragsdatum bitte angeben.",IF(DATEDIF(L4,H50,"m")&gt;4,"Antragstellung max. 4 Monate vor Laufzeitbeginn.","")),"")</f>
        <v>Antragsdatum bitte angeben.</v>
      </c>
      <c r="J5" s="1662"/>
      <c r="K5" s="1662"/>
      <c r="L5" s="1662"/>
      <c r="M5" s="1662"/>
      <c r="N5" s="4"/>
      <c r="P5"/>
      <c r="Q5"/>
      <c r="R5"/>
      <c r="S5"/>
      <c r="T5"/>
    </row>
    <row r="6" spans="1:20" ht="14.4" thickBot="1" x14ac:dyDescent="0.3">
      <c r="A6" s="2"/>
      <c r="B6" s="5" t="s">
        <v>2</v>
      </c>
      <c r="D6" s="1655" t="str">
        <f>KAT!A3</f>
        <v>Kurzzeitpflege</v>
      </c>
      <c r="E6" s="1656"/>
      <c r="F6" s="1656"/>
      <c r="G6" s="1657"/>
      <c r="I6" s="5"/>
      <c r="J6" s="5"/>
      <c r="K6" s="6" t="s">
        <v>3</v>
      </c>
      <c r="L6" s="1658"/>
      <c r="M6" s="1659"/>
      <c r="N6" s="4"/>
      <c r="O6" s="261"/>
      <c r="P6"/>
      <c r="Q6"/>
      <c r="R6"/>
      <c r="S6"/>
      <c r="T6"/>
    </row>
    <row r="7" spans="1:20" ht="12.75" customHeight="1" x14ac:dyDescent="0.25">
      <c r="A7" s="2"/>
      <c r="B7" s="7"/>
      <c r="C7" s="8"/>
      <c r="D7" s="1118"/>
      <c r="E7" s="1118"/>
      <c r="F7" s="1118"/>
      <c r="N7" s="4"/>
      <c r="O7" s="262"/>
      <c r="P7"/>
      <c r="Q7"/>
      <c r="R7"/>
      <c r="S7"/>
      <c r="T7"/>
    </row>
    <row r="8" spans="1:20" ht="12.75" customHeight="1" x14ac:dyDescent="0.25">
      <c r="A8" s="2"/>
      <c r="B8" s="7"/>
      <c r="C8" s="8"/>
      <c r="D8" s="9"/>
      <c r="H8" s="1117"/>
      <c r="I8" s="385"/>
      <c r="J8" s="48"/>
      <c r="N8" s="4"/>
      <c r="P8"/>
      <c r="Q8"/>
      <c r="R8"/>
      <c r="S8"/>
      <c r="T8"/>
    </row>
    <row r="9" spans="1:20" x14ac:dyDescent="0.25">
      <c r="A9" s="2"/>
      <c r="B9" s="98" t="s">
        <v>4</v>
      </c>
      <c r="C9" s="79"/>
      <c r="D9" s="79"/>
      <c r="E9" s="79"/>
      <c r="F9" s="79"/>
      <c r="G9" s="79"/>
      <c r="H9" s="79"/>
      <c r="I9" s="79"/>
      <c r="J9" s="79"/>
      <c r="K9" s="79"/>
      <c r="L9" s="79"/>
      <c r="M9" s="79"/>
      <c r="N9" s="4"/>
      <c r="O9" s="263"/>
      <c r="P9"/>
      <c r="Q9"/>
      <c r="R9"/>
      <c r="S9"/>
      <c r="T9"/>
    </row>
    <row r="10" spans="1:20" ht="12.75" customHeight="1" x14ac:dyDescent="0.25">
      <c r="A10" s="2"/>
      <c r="D10" s="299" t="str">
        <f>IF(AND(D6=0,D11&lt;&gt;0),"bitte wählen Sie noch die Art der Einrichtung aus","")</f>
        <v/>
      </c>
      <c r="N10" s="4"/>
      <c r="O10" s="10"/>
      <c r="P10"/>
      <c r="Q10"/>
      <c r="R10"/>
      <c r="S10"/>
      <c r="T10"/>
    </row>
    <row r="11" spans="1:20" x14ac:dyDescent="0.25">
      <c r="A11" s="2"/>
      <c r="B11" s="11" t="s">
        <v>128</v>
      </c>
      <c r="D11" s="1641"/>
      <c r="E11" s="1638"/>
      <c r="F11" s="1638"/>
      <c r="G11" s="1638"/>
      <c r="H11" s="1638"/>
      <c r="I11" s="1638"/>
      <c r="J11" s="1638"/>
      <c r="K11" s="1638"/>
      <c r="L11" s="1638"/>
      <c r="M11" s="1638"/>
      <c r="N11" s="12"/>
      <c r="O11" s="269"/>
      <c r="P11"/>
      <c r="Q11"/>
      <c r="R11"/>
      <c r="S11"/>
      <c r="T11"/>
    </row>
    <row r="12" spans="1:20" x14ac:dyDescent="0.25">
      <c r="A12" s="2"/>
      <c r="D12" s="13" t="s">
        <v>5</v>
      </c>
      <c r="E12" s="13"/>
      <c r="J12" s="13"/>
      <c r="K12" s="13"/>
      <c r="L12" s="13"/>
      <c r="M12" s="13"/>
      <c r="N12" s="14"/>
      <c r="P12"/>
      <c r="Q12"/>
      <c r="R12"/>
      <c r="S12"/>
      <c r="T12"/>
    </row>
    <row r="13" spans="1:20" x14ac:dyDescent="0.25">
      <c r="A13" s="2"/>
      <c r="D13" s="1641"/>
      <c r="E13" s="1638"/>
      <c r="F13" s="1638"/>
      <c r="G13" s="1638"/>
      <c r="H13" s="1638"/>
      <c r="I13" s="1638"/>
      <c r="J13" s="1638"/>
      <c r="K13" s="1638"/>
      <c r="L13" s="1638"/>
      <c r="M13" s="1638"/>
      <c r="N13" s="4"/>
      <c r="P13"/>
      <c r="Q13"/>
      <c r="R13"/>
      <c r="S13"/>
      <c r="T13"/>
    </row>
    <row r="14" spans="1:20" x14ac:dyDescent="0.25">
      <c r="A14" s="2"/>
      <c r="D14" s="13" t="s">
        <v>6</v>
      </c>
      <c r="E14" s="13"/>
      <c r="N14" s="4"/>
      <c r="O14" s="278"/>
      <c r="P14"/>
      <c r="Q14"/>
      <c r="R14"/>
      <c r="S14"/>
      <c r="T14"/>
    </row>
    <row r="15" spans="1:20" x14ac:dyDescent="0.25">
      <c r="A15" s="2"/>
      <c r="D15" s="1644"/>
      <c r="E15" s="1637"/>
      <c r="F15" s="1637"/>
      <c r="G15" s="1637"/>
      <c r="H15" s="1637"/>
      <c r="J15" s="1647"/>
      <c r="K15" s="1648"/>
      <c r="L15" s="1648"/>
      <c r="M15" s="1648"/>
      <c r="N15" s="4"/>
      <c r="O15" s="296"/>
      <c r="P15"/>
      <c r="Q15"/>
      <c r="R15"/>
      <c r="S15"/>
      <c r="T15"/>
    </row>
    <row r="16" spans="1:20" x14ac:dyDescent="0.25">
      <c r="A16" s="2"/>
      <c r="D16" s="13" t="s">
        <v>409</v>
      </c>
      <c r="E16" s="13"/>
      <c r="J16" s="1032" t="s">
        <v>408</v>
      </c>
      <c r="N16" s="4"/>
      <c r="P16"/>
      <c r="Q16"/>
      <c r="R16"/>
      <c r="S16"/>
      <c r="T16"/>
    </row>
    <row r="17" spans="1:20" x14ac:dyDescent="0.25">
      <c r="A17" s="2"/>
      <c r="D17" s="1644"/>
      <c r="E17" s="1637"/>
      <c r="F17" s="1637"/>
      <c r="G17" s="1637"/>
      <c r="H17" s="1638"/>
      <c r="J17" s="1645"/>
      <c r="K17" s="1640"/>
      <c r="L17" s="1640"/>
      <c r="M17" s="1640"/>
      <c r="N17" s="4"/>
      <c r="P17"/>
      <c r="Q17"/>
      <c r="R17"/>
      <c r="S17"/>
      <c r="T17"/>
    </row>
    <row r="18" spans="1:20" x14ac:dyDescent="0.25">
      <c r="A18" s="2"/>
      <c r="D18" s="13" t="s">
        <v>7</v>
      </c>
      <c r="E18" s="13"/>
      <c r="J18" s="13" t="s">
        <v>8</v>
      </c>
      <c r="K18" s="13"/>
      <c r="L18" s="13"/>
      <c r="N18" s="4"/>
      <c r="P18"/>
      <c r="Q18"/>
      <c r="R18"/>
      <c r="S18"/>
      <c r="T18"/>
    </row>
    <row r="19" spans="1:20" x14ac:dyDescent="0.25">
      <c r="A19" s="2"/>
      <c r="D19" s="1636"/>
      <c r="E19" s="1637"/>
      <c r="F19" s="1637"/>
      <c r="G19" s="1637"/>
      <c r="H19" s="1638"/>
      <c r="J19" s="1639"/>
      <c r="K19" s="1640"/>
      <c r="L19" s="1640"/>
      <c r="M19" s="1640"/>
      <c r="N19" s="4"/>
      <c r="P19"/>
      <c r="Q19"/>
      <c r="R19" s="218"/>
      <c r="S19"/>
      <c r="T19"/>
    </row>
    <row r="20" spans="1:20" x14ac:dyDescent="0.25">
      <c r="A20" s="2"/>
      <c r="D20" s="13" t="s">
        <v>9</v>
      </c>
      <c r="E20" s="13"/>
      <c r="J20" s="15" t="s">
        <v>130</v>
      </c>
      <c r="N20" s="4"/>
      <c r="P20"/>
      <c r="Q20"/>
      <c r="R20"/>
      <c r="S20"/>
      <c r="T20"/>
    </row>
    <row r="21" spans="1:20" ht="14.25" customHeight="1" x14ac:dyDescent="0.25">
      <c r="A21" s="2"/>
      <c r="D21" s="1644"/>
      <c r="E21" s="1637"/>
      <c r="F21" s="1637"/>
      <c r="G21" s="1637"/>
      <c r="H21" s="1638"/>
      <c r="J21" s="1644"/>
      <c r="K21" s="1644"/>
      <c r="L21" s="1644"/>
      <c r="M21" s="1644"/>
      <c r="N21" s="4"/>
      <c r="P21"/>
      <c r="Q21"/>
      <c r="R21"/>
      <c r="S21"/>
      <c r="T21"/>
    </row>
    <row r="22" spans="1:20" x14ac:dyDescent="0.25">
      <c r="A22" s="2"/>
      <c r="D22" s="13" t="s">
        <v>129</v>
      </c>
      <c r="E22" s="13"/>
      <c r="J22" s="13" t="s">
        <v>10</v>
      </c>
      <c r="K22" s="13"/>
      <c r="L22" s="13"/>
      <c r="N22" s="4"/>
      <c r="P22"/>
      <c r="Q22"/>
      <c r="R22"/>
      <c r="S22"/>
      <c r="T22"/>
    </row>
    <row r="23" spans="1:20" ht="12.75" customHeight="1" x14ac:dyDescent="0.25">
      <c r="A23" s="2"/>
      <c r="D23" s="13"/>
      <c r="E23" s="13"/>
      <c r="J23" s="15"/>
      <c r="N23" s="4"/>
      <c r="P23"/>
      <c r="Q23"/>
      <c r="R23"/>
      <c r="S23"/>
      <c r="T23"/>
    </row>
    <row r="24" spans="1:20" ht="12.75" customHeight="1" x14ac:dyDescent="0.25">
      <c r="A24" s="2"/>
      <c r="D24" s="13"/>
      <c r="E24" s="13"/>
      <c r="N24" s="4"/>
      <c r="P24"/>
      <c r="Q24"/>
      <c r="R24"/>
      <c r="S24"/>
      <c r="T24"/>
    </row>
    <row r="25" spans="1:20" x14ac:dyDescent="0.25">
      <c r="A25" s="2"/>
      <c r="B25" s="11" t="s">
        <v>11</v>
      </c>
      <c r="D25" s="1667"/>
      <c r="E25" s="1667"/>
      <c r="F25" s="1667"/>
      <c r="G25" s="1667"/>
      <c r="H25" s="1667"/>
      <c r="I25" s="1667"/>
      <c r="J25" s="1667"/>
      <c r="K25" s="1667"/>
      <c r="L25" s="1667"/>
      <c r="M25" s="1667"/>
      <c r="N25" s="4"/>
      <c r="P25"/>
      <c r="Q25"/>
      <c r="R25"/>
      <c r="S25"/>
      <c r="T25"/>
    </row>
    <row r="26" spans="1:20" x14ac:dyDescent="0.25">
      <c r="A26" s="2"/>
      <c r="D26" s="13" t="s">
        <v>12</v>
      </c>
      <c r="E26" s="13"/>
      <c r="N26" s="4"/>
      <c r="P26"/>
      <c r="Q26"/>
      <c r="R26"/>
      <c r="S26"/>
      <c r="T26"/>
    </row>
    <row r="27" spans="1:20" x14ac:dyDescent="0.25">
      <c r="A27" s="2"/>
      <c r="D27" s="1641"/>
      <c r="E27" s="1638"/>
      <c r="F27" s="1638"/>
      <c r="G27" s="1638"/>
      <c r="H27" s="1638"/>
      <c r="I27" s="1638"/>
      <c r="J27" s="1638"/>
      <c r="K27" s="1638"/>
      <c r="L27" s="1638"/>
      <c r="M27" s="1638"/>
      <c r="N27" s="4"/>
      <c r="P27"/>
      <c r="Q27"/>
      <c r="R27"/>
      <c r="S27"/>
      <c r="T27"/>
    </row>
    <row r="28" spans="1:20" ht="14.25" customHeight="1" x14ac:dyDescent="0.25">
      <c r="A28" s="2"/>
      <c r="D28" s="13" t="s">
        <v>6</v>
      </c>
      <c r="E28" s="13"/>
      <c r="N28" s="4"/>
      <c r="P28"/>
      <c r="Q28"/>
      <c r="R28"/>
      <c r="S28"/>
      <c r="T28"/>
    </row>
    <row r="29" spans="1:20" x14ac:dyDescent="0.25">
      <c r="A29" s="2"/>
      <c r="D29" s="1645"/>
      <c r="E29" s="1638"/>
      <c r="F29" s="1638"/>
      <c r="G29" s="1638"/>
      <c r="H29" s="1638"/>
      <c r="I29" s="1380"/>
      <c r="J29" s="1665"/>
      <c r="K29" s="1666"/>
      <c r="L29" s="1666"/>
      <c r="M29" s="1666"/>
      <c r="N29" s="4"/>
      <c r="P29"/>
      <c r="Q29"/>
      <c r="R29"/>
      <c r="S29"/>
      <c r="T29"/>
    </row>
    <row r="30" spans="1:20" x14ac:dyDescent="0.25">
      <c r="A30" s="2"/>
      <c r="D30" s="13" t="s">
        <v>409</v>
      </c>
      <c r="E30" s="13"/>
      <c r="J30" s="1032" t="s">
        <v>408</v>
      </c>
      <c r="N30" s="4"/>
      <c r="P30"/>
      <c r="Q30"/>
      <c r="R30"/>
      <c r="S30"/>
      <c r="T30"/>
    </row>
    <row r="31" spans="1:20" x14ac:dyDescent="0.25">
      <c r="A31" s="2"/>
      <c r="D31" s="1644"/>
      <c r="E31" s="1637"/>
      <c r="F31" s="1637"/>
      <c r="G31" s="1637"/>
      <c r="H31" s="1638"/>
      <c r="J31" s="1645"/>
      <c r="K31" s="1640"/>
      <c r="L31" s="1640"/>
      <c r="M31" s="1640"/>
      <c r="N31" s="4"/>
      <c r="P31"/>
      <c r="Q31"/>
      <c r="R31"/>
      <c r="S31"/>
      <c r="T31"/>
    </row>
    <row r="32" spans="1:20" x14ac:dyDescent="0.25">
      <c r="A32" s="2"/>
      <c r="D32" s="13" t="s">
        <v>7</v>
      </c>
      <c r="E32" s="13"/>
      <c r="J32" s="13" t="s">
        <v>8</v>
      </c>
      <c r="K32" s="13"/>
      <c r="L32" s="13"/>
      <c r="M32" s="13"/>
      <c r="N32" s="14"/>
      <c r="P32"/>
      <c r="Q32"/>
      <c r="R32"/>
      <c r="S32"/>
      <c r="T32"/>
    </row>
    <row r="33" spans="1:18" x14ac:dyDescent="0.25">
      <c r="A33" s="2"/>
      <c r="D33" s="1636"/>
      <c r="E33" s="1637"/>
      <c r="F33" s="1637"/>
      <c r="G33" s="1637"/>
      <c r="H33" s="1638"/>
      <c r="J33" s="1639"/>
      <c r="K33" s="1640"/>
      <c r="L33" s="1640"/>
      <c r="M33" s="1640"/>
      <c r="N33" s="4"/>
    </row>
    <row r="34" spans="1:18" x14ac:dyDescent="0.25">
      <c r="A34" s="2"/>
      <c r="D34" s="13" t="s">
        <v>9</v>
      </c>
      <c r="E34" s="13"/>
      <c r="J34" s="15" t="s">
        <v>130</v>
      </c>
      <c r="N34" s="4"/>
    </row>
    <row r="35" spans="1:18" x14ac:dyDescent="0.25">
      <c r="A35" s="2"/>
      <c r="D35" s="1641"/>
      <c r="E35" s="1638"/>
      <c r="F35" s="1638"/>
      <c r="G35" s="1638"/>
      <c r="H35" s="1638"/>
      <c r="I35" s="1638"/>
      <c r="J35" s="1638"/>
      <c r="K35" s="1638"/>
      <c r="L35" s="1638"/>
      <c r="M35" s="1638"/>
      <c r="N35" s="4"/>
      <c r="O35" s="278"/>
    </row>
    <row r="36" spans="1:18" x14ac:dyDescent="0.25">
      <c r="A36" s="2"/>
      <c r="D36" s="13" t="s">
        <v>260</v>
      </c>
      <c r="E36" s="13"/>
      <c r="J36" s="15"/>
      <c r="N36" s="4"/>
    </row>
    <row r="37" spans="1:18" ht="12.75" customHeight="1" x14ac:dyDescent="0.25">
      <c r="A37" s="2"/>
      <c r="D37" s="13"/>
      <c r="E37" s="13"/>
      <c r="N37" s="4"/>
    </row>
    <row r="38" spans="1:18" x14ac:dyDescent="0.25">
      <c r="A38" s="2"/>
      <c r="B38" s="98" t="s">
        <v>13</v>
      </c>
      <c r="C38" s="79"/>
      <c r="D38" s="137"/>
      <c r="E38" s="137"/>
      <c r="F38" s="79"/>
      <c r="G38" s="79"/>
      <c r="H38" s="79"/>
      <c r="I38" s="79"/>
      <c r="J38" s="79"/>
      <c r="K38" s="79"/>
      <c r="L38" s="79"/>
      <c r="M38" s="79"/>
      <c r="N38" s="4"/>
    </row>
    <row r="39" spans="1:18" ht="6" customHeight="1" x14ac:dyDescent="0.25">
      <c r="A39" s="2"/>
      <c r="D39" s="13"/>
      <c r="E39" s="13"/>
      <c r="N39" s="4"/>
    </row>
    <row r="40" spans="1:18" x14ac:dyDescent="0.25">
      <c r="A40" s="2"/>
      <c r="C40" s="301"/>
      <c r="E40" s="11"/>
      <c r="G40" s="17" t="s">
        <v>14</v>
      </c>
      <c r="H40" s="1642"/>
      <c r="I40" s="1638"/>
      <c r="J40" s="1638"/>
      <c r="K40" s="1638"/>
      <c r="L40" s="1638"/>
      <c r="M40" s="1638"/>
      <c r="N40" s="4"/>
    </row>
    <row r="41" spans="1:18" ht="6" customHeight="1" x14ac:dyDescent="0.25">
      <c r="A41" s="2"/>
      <c r="D41" s="13"/>
      <c r="E41" s="13"/>
      <c r="N41" s="4"/>
    </row>
    <row r="42" spans="1:18" s="3" customFormat="1" ht="12.75" customHeight="1" x14ac:dyDescent="0.25">
      <c r="A42" s="2"/>
      <c r="B42" s="11" t="s">
        <v>15</v>
      </c>
      <c r="D42" s="13"/>
      <c r="E42" s="13"/>
      <c r="I42" s="1381"/>
      <c r="N42" s="4"/>
      <c r="O42" s="10"/>
    </row>
    <row r="43" spans="1:18" s="3" customFormat="1" ht="12.75" customHeight="1" thickBot="1" x14ac:dyDescent="0.3">
      <c r="A43" s="2"/>
      <c r="B43" s="11"/>
      <c r="D43" s="13"/>
      <c r="E43" s="13"/>
      <c r="I43" s="1065"/>
      <c r="N43" s="4"/>
      <c r="O43" s="10"/>
    </row>
    <row r="44" spans="1:18" s="3" customFormat="1" ht="12.75" customHeight="1" thickBot="1" x14ac:dyDescent="0.3">
      <c r="A44" s="2"/>
      <c r="B44" s="16" t="s">
        <v>336</v>
      </c>
      <c r="D44" s="13"/>
      <c r="E44" s="13"/>
      <c r="H44" s="384"/>
      <c r="I44" s="1065"/>
      <c r="K44" s="1468"/>
      <c r="L44" s="385"/>
      <c r="N44" s="4"/>
      <c r="O44" s="390"/>
      <c r="P44" s="21"/>
    </row>
    <row r="45" spans="1:18" ht="12.75" customHeight="1" thickBot="1" x14ac:dyDescent="0.3">
      <c r="A45" s="2"/>
      <c r="D45" s="13"/>
      <c r="E45" s="13"/>
      <c r="K45" s="337" t="str">
        <f>IF(AND(H44="",H50&lt;&gt;""),"Bitte Erfassung des Zulassungsdatums!","")</f>
        <v/>
      </c>
      <c r="N45" s="4"/>
      <c r="O45" s="208"/>
    </row>
    <row r="46" spans="1:18" ht="14.4" thickBot="1" x14ac:dyDescent="0.3">
      <c r="A46" s="2"/>
      <c r="B46" s="16" t="s">
        <v>16</v>
      </c>
      <c r="L46" s="1552"/>
      <c r="N46" s="4"/>
      <c r="P46" s="391"/>
    </row>
    <row r="47" spans="1:18" ht="12.75" customHeight="1" thickBot="1" x14ac:dyDescent="0.3">
      <c r="A47" s="2"/>
      <c r="B47" s="16"/>
      <c r="L47" s="317"/>
      <c r="N47" s="4"/>
      <c r="O47" s="261"/>
      <c r="P47" s="263"/>
      <c r="Q47" s="264"/>
    </row>
    <row r="48" spans="1:18" ht="12.75" customHeight="1" thickBot="1" x14ac:dyDescent="0.3">
      <c r="A48" s="74"/>
      <c r="B48" s="16" t="s">
        <v>17</v>
      </c>
      <c r="C48" s="71"/>
      <c r="D48" s="71"/>
      <c r="E48" s="1382"/>
      <c r="F48" s="1383"/>
      <c r="G48" s="1383"/>
      <c r="H48" s="384"/>
      <c r="L48" s="17"/>
      <c r="N48" s="4"/>
      <c r="O48" s="261"/>
      <c r="P48" s="263"/>
      <c r="Q48" s="265"/>
      <c r="R48" s="21"/>
    </row>
    <row r="49" spans="1:20" ht="12.75" customHeight="1" thickBot="1" x14ac:dyDescent="0.3">
      <c r="A49" s="2"/>
      <c r="B49" s="16"/>
      <c r="N49" s="4"/>
      <c r="O49" s="261"/>
      <c r="P49" s="1345"/>
      <c r="Q49" s="1345"/>
    </row>
    <row r="50" spans="1:20" s="1" customFormat="1" thickBot="1" x14ac:dyDescent="0.3">
      <c r="A50" s="28"/>
      <c r="B50" s="16" t="s">
        <v>18</v>
      </c>
      <c r="C50" s="11"/>
      <c r="D50" s="11"/>
      <c r="E50" s="1384"/>
      <c r="F50" s="1643" t="s">
        <v>19</v>
      </c>
      <c r="G50" s="1643"/>
      <c r="H50" s="134"/>
      <c r="I50" s="1385"/>
      <c r="J50" s="1386" t="s">
        <v>20</v>
      </c>
      <c r="K50" s="135"/>
      <c r="L50" s="11"/>
      <c r="M50" s="11"/>
      <c r="N50" s="33"/>
      <c r="P50" s="11"/>
      <c r="Q50" s="11"/>
      <c r="R50" s="11"/>
      <c r="S50" s="11"/>
      <c r="T50" s="11"/>
    </row>
    <row r="51" spans="1:20" s="1" customFormat="1" ht="13.2" x14ac:dyDescent="0.25">
      <c r="A51" s="28"/>
      <c r="B51" s="16"/>
      <c r="C51" s="11"/>
      <c r="D51" s="11"/>
      <c r="E51" s="1384"/>
      <c r="F51" s="61"/>
      <c r="G51" s="61"/>
      <c r="H51" s="402"/>
      <c r="I51" s="1387"/>
      <c r="J51" s="1388"/>
      <c r="K51" s="48" t="str">
        <f>IF(H50&lt;H44,"Antrag liegt vor Zulassungsdatum.","")</f>
        <v/>
      </c>
      <c r="L51" s="11"/>
      <c r="M51" s="11"/>
      <c r="N51" s="33"/>
      <c r="P51" s="11"/>
      <c r="Q51" s="11"/>
      <c r="R51" s="11"/>
      <c r="S51" s="11"/>
      <c r="T51" s="11"/>
    </row>
    <row r="52" spans="1:20" s="1" customFormat="1" ht="13.2" x14ac:dyDescent="0.25">
      <c r="A52" s="28"/>
      <c r="B52" s="16" t="s">
        <v>337</v>
      </c>
      <c r="C52" s="11"/>
      <c r="D52" s="11"/>
      <c r="E52" s="1384"/>
      <c r="F52" s="1646" t="s">
        <v>338</v>
      </c>
      <c r="G52" s="1646"/>
      <c r="H52" s="151"/>
      <c r="I52" s="1385"/>
      <c r="J52" s="1389" t="s">
        <v>20</v>
      </c>
      <c r="K52" s="401"/>
      <c r="L52" s="11"/>
      <c r="M52" s="11"/>
      <c r="N52" s="33"/>
      <c r="P52" s="11"/>
      <c r="Q52" s="11"/>
      <c r="R52" s="11"/>
      <c r="S52" s="11"/>
      <c r="T52" s="11"/>
    </row>
    <row r="53" spans="1:20" ht="12.75" customHeight="1" x14ac:dyDescent="0.25">
      <c r="A53" s="2"/>
      <c r="B53" s="16"/>
      <c r="H53" s="1575" t="str">
        <f>IF(H50&lt;=K52,"Vereinbarungsbeginn kann nicht vor Laufzeitende der aktuellen Vereinbarung liegen!","")</f>
        <v>Vereinbarungsbeginn kann nicht vor Laufzeitende der aktuellen Vereinbarung liegen!</v>
      </c>
      <c r="N53" s="4"/>
    </row>
    <row r="54" spans="1:20" ht="12.75" customHeight="1" x14ac:dyDescent="0.25">
      <c r="A54" s="2"/>
      <c r="B54" s="98" t="s">
        <v>142</v>
      </c>
      <c r="C54" s="79"/>
      <c r="D54" s="79"/>
      <c r="E54" s="79"/>
      <c r="F54" s="79"/>
      <c r="G54" s="79"/>
      <c r="H54" s="79"/>
      <c r="I54" s="79"/>
      <c r="J54" s="79"/>
      <c r="K54" s="79"/>
      <c r="L54" s="79"/>
      <c r="M54" s="79"/>
      <c r="N54" s="4"/>
    </row>
    <row r="55" spans="1:20" ht="6.75" customHeight="1" x14ac:dyDescent="0.25">
      <c r="A55" s="2"/>
      <c r="B55" s="16"/>
      <c r="N55" s="4"/>
    </row>
    <row r="56" spans="1:20" ht="15" customHeight="1" x14ac:dyDescent="0.25">
      <c r="A56" s="2"/>
      <c r="C56" s="1390" t="s">
        <v>1347</v>
      </c>
      <c r="D56" s="155"/>
      <c r="E56" s="1391"/>
      <c r="F56" s="1391"/>
      <c r="G56" s="155"/>
      <c r="H56" s="24"/>
      <c r="I56" s="1392"/>
      <c r="J56" s="24"/>
      <c r="K56" s="1152"/>
      <c r="L56" s="155"/>
      <c r="M56" s="1152"/>
      <c r="N56" s="4"/>
      <c r="O56" s="43"/>
    </row>
    <row r="57" spans="1:20" s="1" customFormat="1" ht="14.25" customHeight="1" x14ac:dyDescent="0.25">
      <c r="A57" s="28"/>
      <c r="B57" s="11"/>
      <c r="C57" s="1393" t="s">
        <v>21</v>
      </c>
      <c r="D57" s="1394"/>
      <c r="E57" s="1394"/>
      <c r="F57" s="1394"/>
      <c r="G57" s="1394"/>
      <c r="H57" s="150" t="s">
        <v>143</v>
      </c>
      <c r="I57" s="1394"/>
      <c r="J57" s="1394"/>
      <c r="K57" s="148"/>
      <c r="L57" s="11"/>
      <c r="M57" s="33"/>
      <c r="N57" s="33"/>
      <c r="P57" s="11"/>
      <c r="Q57" s="11"/>
      <c r="R57" s="11"/>
      <c r="S57" s="11"/>
      <c r="T57" s="11"/>
    </row>
    <row r="58" spans="1:20" s="1" customFormat="1" ht="14.25" customHeight="1" x14ac:dyDescent="0.25">
      <c r="A58" s="28"/>
      <c r="B58" s="11"/>
      <c r="C58" s="1393" t="s">
        <v>22</v>
      </c>
      <c r="D58" s="1394"/>
      <c r="E58" s="1394"/>
      <c r="F58" s="1394"/>
      <c r="G58" s="1394"/>
      <c r="H58" s="150" t="s">
        <v>143</v>
      </c>
      <c r="I58" s="1394"/>
      <c r="J58" s="1394"/>
      <c r="K58" s="149"/>
      <c r="L58" s="1395"/>
      <c r="M58" s="1396"/>
      <c r="N58" s="33"/>
      <c r="P58" s="11"/>
      <c r="Q58" s="11"/>
      <c r="R58" s="11"/>
      <c r="S58" s="11"/>
      <c r="T58" s="11"/>
    </row>
    <row r="59" spans="1:20" s="1" customFormat="1" ht="14.25" customHeight="1" x14ac:dyDescent="0.25">
      <c r="A59" s="28"/>
      <c r="B59" s="11"/>
      <c r="C59" s="1393" t="s">
        <v>23</v>
      </c>
      <c r="D59" s="1394"/>
      <c r="E59" s="1394"/>
      <c r="F59" s="1394"/>
      <c r="G59" s="1394"/>
      <c r="H59" s="150" t="s">
        <v>143</v>
      </c>
      <c r="I59" s="1394"/>
      <c r="J59" s="1394"/>
      <c r="K59" s="149"/>
      <c r="L59" s="1395"/>
      <c r="M59" s="1396"/>
      <c r="N59" s="33"/>
      <c r="P59" s="11"/>
      <c r="Q59" s="11"/>
      <c r="R59" s="11"/>
      <c r="S59" s="11"/>
      <c r="T59" s="11"/>
    </row>
    <row r="60" spans="1:20" s="1" customFormat="1" ht="14.25" customHeight="1" x14ac:dyDescent="0.25">
      <c r="A60" s="28"/>
      <c r="B60" s="11"/>
      <c r="C60" s="1393" t="s">
        <v>24</v>
      </c>
      <c r="D60" s="1394"/>
      <c r="E60" s="1394"/>
      <c r="F60" s="1394"/>
      <c r="G60" s="1394"/>
      <c r="H60" s="150" t="s">
        <v>143</v>
      </c>
      <c r="I60" s="1394"/>
      <c r="J60" s="1394"/>
      <c r="K60" s="148"/>
      <c r="L60" s="1395"/>
      <c r="M60" s="1396"/>
      <c r="N60" s="33"/>
      <c r="P60" s="11"/>
      <c r="Q60" s="11"/>
      <c r="R60" s="11"/>
      <c r="S60" s="11"/>
      <c r="T60" s="11"/>
    </row>
    <row r="61" spans="1:20" s="1" customFormat="1" ht="14.25" customHeight="1" x14ac:dyDescent="0.25">
      <c r="A61" s="28"/>
      <c r="B61" s="11"/>
      <c r="C61" s="1393" t="s">
        <v>25</v>
      </c>
      <c r="D61" s="1394"/>
      <c r="E61" s="1394"/>
      <c r="F61" s="1394"/>
      <c r="G61" s="1394"/>
      <c r="H61" s="150" t="s">
        <v>143</v>
      </c>
      <c r="I61" s="1394"/>
      <c r="J61" s="1394"/>
      <c r="K61" s="148"/>
      <c r="L61" s="1395"/>
      <c r="M61" s="1396"/>
      <c r="N61" s="33"/>
      <c r="P61" s="11"/>
      <c r="Q61" s="11"/>
      <c r="R61" s="11"/>
      <c r="S61" s="11"/>
      <c r="T61" s="11"/>
    </row>
    <row r="62" spans="1:20" s="1" customFormat="1" ht="14.25" customHeight="1" x14ac:dyDescent="0.25">
      <c r="A62" s="28"/>
      <c r="B62" s="11"/>
      <c r="C62" s="1393" t="s">
        <v>26</v>
      </c>
      <c r="D62" s="1394"/>
      <c r="E62" s="1394"/>
      <c r="F62" s="1394"/>
      <c r="G62" s="1394"/>
      <c r="H62" s="150" t="s">
        <v>143</v>
      </c>
      <c r="I62" s="1394"/>
      <c r="J62" s="1394"/>
      <c r="K62" s="148"/>
      <c r="L62" s="1395"/>
      <c r="M62" s="1396"/>
      <c r="N62" s="33"/>
      <c r="P62" s="11"/>
      <c r="Q62" s="11"/>
      <c r="R62" s="11"/>
      <c r="S62" s="11"/>
      <c r="T62" s="11"/>
    </row>
    <row r="63" spans="1:20" s="1" customFormat="1" ht="14.25" customHeight="1" x14ac:dyDescent="0.25">
      <c r="A63" s="28"/>
      <c r="B63" s="11"/>
      <c r="C63" s="26" t="s">
        <v>27</v>
      </c>
      <c r="D63" s="27"/>
      <c r="E63" s="27"/>
      <c r="F63" s="27"/>
      <c r="G63" s="27"/>
      <c r="H63" s="31" t="s">
        <v>143</v>
      </c>
      <c r="I63" s="1397"/>
      <c r="J63" s="1397"/>
      <c r="K63" s="148"/>
      <c r="L63" s="1395"/>
      <c r="M63" s="1396"/>
      <c r="N63" s="33"/>
      <c r="P63" s="1475"/>
      <c r="Q63" s="11"/>
      <c r="R63" s="11"/>
      <c r="S63" s="11"/>
      <c r="T63" s="11"/>
    </row>
    <row r="64" spans="1:20" s="1" customFormat="1" ht="13.2" x14ac:dyDescent="0.25">
      <c r="A64" s="28"/>
      <c r="B64" s="11"/>
      <c r="C64" s="28"/>
      <c r="D64" s="11"/>
      <c r="E64" s="11"/>
      <c r="F64" s="11"/>
      <c r="G64" s="11"/>
      <c r="H64" s="11"/>
      <c r="I64" s="11"/>
      <c r="J64" s="11"/>
      <c r="K64" s="1124" t="str">
        <f>IF(H50&gt;H44,IF(OR(SUM(K57:K63)&lt;100,SUM(K57:K63)&gt;100),"Anteil der Kostenträger entspricht nicht 100%.",""),"")</f>
        <v/>
      </c>
      <c r="L64" s="11"/>
      <c r="M64" s="33"/>
      <c r="N64" s="33"/>
      <c r="P64" s="11"/>
      <c r="Q64" s="11"/>
      <c r="R64" s="11"/>
      <c r="S64" s="11"/>
      <c r="T64" s="11"/>
    </row>
    <row r="65" spans="1:20" s="1" customFormat="1" ht="12.75" customHeight="1" x14ac:dyDescent="0.25">
      <c r="A65" s="28"/>
      <c r="B65" s="11"/>
      <c r="C65" s="26"/>
      <c r="D65" s="27"/>
      <c r="E65" s="29"/>
      <c r="F65" s="29"/>
      <c r="G65" s="27"/>
      <c r="H65" s="30" t="s">
        <v>141</v>
      </c>
      <c r="I65" s="27"/>
      <c r="J65" s="31"/>
      <c r="K65" s="1139"/>
      <c r="L65" s="1398"/>
      <c r="M65" s="1399"/>
      <c r="N65" s="33"/>
      <c r="O65" s="296"/>
      <c r="P65" s="1476"/>
      <c r="Q65" s="11"/>
      <c r="R65" s="11"/>
      <c r="S65" s="11"/>
      <c r="T65" s="11"/>
    </row>
    <row r="66" spans="1:20" s="1" customFormat="1" ht="12.75" customHeight="1" x14ac:dyDescent="0.25">
      <c r="A66" s="28"/>
      <c r="B66" s="11"/>
      <c r="C66" s="11"/>
      <c r="D66" s="11"/>
      <c r="E66" s="32"/>
      <c r="F66" s="32"/>
      <c r="G66" s="32"/>
      <c r="H66" s="32"/>
      <c r="I66" s="32"/>
      <c r="J66" s="32"/>
      <c r="K66" s="400" t="str">
        <f>IF(H50&gt;H44,IF(AND(H50&gt;0,K65&lt;5.001),"Mappe 'Allgemeine Angaben' und Mappe 'Forderung' an den KSV senden!",""),"")</f>
        <v/>
      </c>
      <c r="L66" s="32"/>
      <c r="M66" s="11"/>
      <c r="N66" s="33"/>
      <c r="P66" s="890"/>
      <c r="Q66" s="11"/>
      <c r="R66" s="11"/>
      <c r="S66" s="11"/>
      <c r="T66" s="11"/>
    </row>
    <row r="67" spans="1:20" s="1" customFormat="1" ht="12.75" customHeight="1" x14ac:dyDescent="0.25">
      <c r="A67" s="28"/>
      <c r="B67" s="11"/>
      <c r="C67" s="11"/>
      <c r="D67" s="11"/>
      <c r="E67" s="32"/>
      <c r="F67" s="32"/>
      <c r="G67" s="32"/>
      <c r="H67" s="32"/>
      <c r="I67" s="32"/>
      <c r="J67" s="32"/>
      <c r="K67" s="300"/>
      <c r="L67" s="32"/>
      <c r="M67" s="11"/>
      <c r="N67" s="33"/>
      <c r="P67" s="11"/>
      <c r="Q67" s="11"/>
      <c r="R67" s="11"/>
      <c r="S67" s="11"/>
      <c r="T67" s="11"/>
    </row>
    <row r="68" spans="1:20" s="1" customFormat="1" ht="12.75" customHeight="1" x14ac:dyDescent="0.25">
      <c r="A68" s="28"/>
      <c r="B68" s="138" t="s">
        <v>324</v>
      </c>
      <c r="C68" s="103"/>
      <c r="D68" s="103"/>
      <c r="E68" s="106"/>
      <c r="F68" s="106"/>
      <c r="G68" s="106"/>
      <c r="H68" s="106"/>
      <c r="I68" s="106"/>
      <c r="J68" s="106"/>
      <c r="K68" s="106"/>
      <c r="L68" s="106"/>
      <c r="M68" s="103"/>
      <c r="N68" s="33"/>
      <c r="P68" s="11"/>
      <c r="Q68" s="11"/>
      <c r="R68" s="11"/>
      <c r="S68" s="11"/>
      <c r="T68" s="11"/>
    </row>
    <row r="69" spans="1:20" s="1" customFormat="1" ht="9.9" customHeight="1" x14ac:dyDescent="0.25">
      <c r="A69" s="28"/>
      <c r="B69" s="11"/>
      <c r="C69" s="11"/>
      <c r="D69" s="11"/>
      <c r="E69" s="32"/>
      <c r="F69" s="32"/>
      <c r="G69" s="32"/>
      <c r="H69" s="32"/>
      <c r="I69" s="32"/>
      <c r="J69" s="32"/>
      <c r="K69" s="32"/>
      <c r="L69" s="32"/>
      <c r="M69" s="11"/>
      <c r="N69" s="33"/>
      <c r="P69" s="11"/>
      <c r="Q69" s="11"/>
      <c r="R69" s="11"/>
      <c r="S69" s="11"/>
      <c r="T69" s="11"/>
    </row>
    <row r="70" spans="1:20" s="1" customFormat="1" ht="12.75" customHeight="1" x14ac:dyDescent="0.25">
      <c r="A70" s="28"/>
      <c r="B70" s="377" t="s">
        <v>325</v>
      </c>
      <c r="C70" s="11"/>
      <c r="D70" s="11"/>
      <c r="E70" s="11"/>
      <c r="F70" s="11"/>
      <c r="G70" s="11"/>
      <c r="H70" s="11"/>
      <c r="I70" s="11"/>
      <c r="J70" s="11"/>
      <c r="K70" s="11"/>
      <c r="L70" s="35"/>
      <c r="M70" s="107"/>
      <c r="N70" s="33"/>
      <c r="P70" s="11"/>
      <c r="Q70" s="11"/>
      <c r="R70" s="11"/>
      <c r="S70" s="11"/>
      <c r="T70" s="11"/>
    </row>
    <row r="71" spans="1:20" s="1" customFormat="1" ht="3" customHeight="1" x14ac:dyDescent="0.25">
      <c r="A71" s="28"/>
      <c r="B71" s="11"/>
      <c r="C71" s="11"/>
      <c r="D71" s="11"/>
      <c r="E71" s="11"/>
      <c r="F71" s="11"/>
      <c r="G71" s="11"/>
      <c r="H71" s="11"/>
      <c r="I71" s="11"/>
      <c r="J71" s="11"/>
      <c r="K71" s="11"/>
      <c r="L71" s="11"/>
      <c r="M71" s="115"/>
      <c r="N71" s="33"/>
      <c r="P71" s="11"/>
      <c r="Q71" s="11"/>
      <c r="R71" s="11"/>
      <c r="S71" s="11"/>
      <c r="T71" s="11"/>
    </row>
    <row r="72" spans="1:20" s="1" customFormat="1" ht="12.75" customHeight="1" x14ac:dyDescent="0.25">
      <c r="A72" s="28"/>
      <c r="B72" s="1034"/>
      <c r="C72" s="11"/>
      <c r="D72" s="11"/>
      <c r="E72" s="11"/>
      <c r="F72" s="11"/>
      <c r="G72" s="11"/>
      <c r="H72" s="11"/>
      <c r="I72" s="11"/>
      <c r="J72" s="11"/>
      <c r="K72" s="11"/>
      <c r="L72" s="107"/>
      <c r="M72" s="11"/>
      <c r="N72" s="33"/>
      <c r="O72" s="11"/>
      <c r="P72" s="11"/>
      <c r="Q72" s="11"/>
      <c r="R72" s="11"/>
      <c r="S72" s="11"/>
    </row>
    <row r="73" spans="1:20" s="1" customFormat="1" ht="3" customHeight="1" x14ac:dyDescent="0.25">
      <c r="A73" s="28"/>
      <c r="B73" s="11"/>
      <c r="C73" s="11"/>
      <c r="D73" s="11"/>
      <c r="E73" s="11"/>
      <c r="F73" s="11"/>
      <c r="G73" s="11"/>
      <c r="H73" s="11"/>
      <c r="I73" s="11"/>
      <c r="J73" s="11"/>
      <c r="K73" s="11"/>
      <c r="L73" s="11"/>
      <c r="M73" s="115"/>
      <c r="N73" s="33"/>
      <c r="P73" s="11"/>
      <c r="Q73" s="11"/>
      <c r="R73" s="11"/>
      <c r="S73" s="11"/>
      <c r="T73" s="11"/>
    </row>
    <row r="74" spans="1:20" s="1" customFormat="1" ht="12.75" customHeight="1" x14ac:dyDescent="0.25">
      <c r="A74" s="28"/>
      <c r="B74" s="396"/>
      <c r="C74" s="11"/>
      <c r="D74" s="11"/>
      <c r="E74" s="11"/>
      <c r="F74" s="11"/>
      <c r="G74" s="11"/>
      <c r="H74" s="11"/>
      <c r="I74" s="11"/>
      <c r="J74" s="11"/>
      <c r="K74" s="11"/>
      <c r="L74" s="107"/>
      <c r="M74" s="107"/>
      <c r="N74" s="33"/>
      <c r="P74" s="11"/>
      <c r="Q74" s="11"/>
      <c r="R74" s="11"/>
      <c r="S74" s="11"/>
      <c r="T74" s="11"/>
    </row>
    <row r="75" spans="1:20" s="1" customFormat="1" ht="3" customHeight="1" x14ac:dyDescent="0.25">
      <c r="A75" s="28"/>
      <c r="B75" s="11"/>
      <c r="C75" s="11"/>
      <c r="D75" s="11"/>
      <c r="E75" s="11"/>
      <c r="F75" s="11"/>
      <c r="G75" s="11"/>
      <c r="H75" s="11"/>
      <c r="I75" s="11"/>
      <c r="J75" s="11"/>
      <c r="K75" s="11"/>
      <c r="L75" s="11"/>
      <c r="M75" s="115"/>
      <c r="N75" s="33"/>
      <c r="P75" s="11"/>
      <c r="Q75" s="11"/>
      <c r="R75" s="11"/>
      <c r="S75" s="11"/>
      <c r="T75" s="11"/>
    </row>
    <row r="76" spans="1:20" ht="12.75" customHeight="1" x14ac:dyDescent="0.25">
      <c r="A76" s="41"/>
      <c r="B76" s="42"/>
      <c r="C76" s="42"/>
      <c r="D76" s="42"/>
      <c r="E76" s="42"/>
      <c r="F76" s="42"/>
      <c r="G76" s="42"/>
      <c r="H76" s="42"/>
      <c r="I76" s="42"/>
      <c r="J76" s="42"/>
      <c r="K76" s="42"/>
      <c r="L76" s="42"/>
      <c r="M76" s="42"/>
      <c r="N76" s="376"/>
      <c r="O76" s="43"/>
    </row>
    <row r="77" spans="1:20" ht="14.4" thickBot="1" x14ac:dyDescent="0.3"/>
    <row r="78" spans="1:20" ht="14.4" thickBot="1" x14ac:dyDescent="0.3">
      <c r="D78" s="1633" t="s">
        <v>145</v>
      </c>
      <c r="E78" s="1634"/>
      <c r="F78" s="1634"/>
      <c r="G78" s="1634"/>
      <c r="H78" s="1634"/>
      <c r="I78" s="1634"/>
      <c r="J78" s="1635"/>
      <c r="O78" s="43"/>
    </row>
    <row r="79" spans="1:20" x14ac:dyDescent="0.25">
      <c r="D79" s="1576"/>
    </row>
  </sheetData>
  <sheetProtection algorithmName="SHA-512" hashValue="zdLGAYk5g+/fYseoc5pPRePtosog1L+KCKHXoiXK+DMyMOUt5FiqOvGbqs3tNU5BbSmbd+9jiDRFD7t5XNjICw==" saltValue="eYL8f0SR51KX8/EXiIrtCw==" spinCount="100000" sheet="1" selectLockedCells="1"/>
  <customSheetViews>
    <customSheetView guid="{CDDBAA41-0D3E-44AF-A85A-332C81A5DAE4}" showGridLines="0" fitToPage="1">
      <selection activeCell="Q18" sqref="Q18"/>
      <pageMargins left="0.70866141732283472" right="0.70866141732283472" top="0.78740157480314965" bottom="0.78740157480314965" header="0.31496062992125984" footer="0.31496062992125984"/>
      <pageSetup paperSize="9" scale="83" orientation="portrait"/>
      <headerFooter>
        <oddHeader>&amp;C&amp;9Seite 1</oddHeader>
        <oddFooter>&amp;C&amp;8Verhandlungsunterlagen SGB XI&amp;R&amp;8Version Kostenträger Stand: 29.11.2018</oddFooter>
      </headerFooter>
    </customSheetView>
  </customSheetViews>
  <mergeCells count="31">
    <mergeCell ref="D29:H29"/>
    <mergeCell ref="J29:M29"/>
    <mergeCell ref="D25:M25"/>
    <mergeCell ref="J21:M21"/>
    <mergeCell ref="J17:M17"/>
    <mergeCell ref="D19:H19"/>
    <mergeCell ref="J15:M15"/>
    <mergeCell ref="A1:N1"/>
    <mergeCell ref="A2:N2"/>
    <mergeCell ref="A3:N3"/>
    <mergeCell ref="D6:G6"/>
    <mergeCell ref="L6:M6"/>
    <mergeCell ref="L4:M4"/>
    <mergeCell ref="I5:M5"/>
    <mergeCell ref="A5:C5"/>
    <mergeCell ref="D78:J78"/>
    <mergeCell ref="D33:H33"/>
    <mergeCell ref="J33:M33"/>
    <mergeCell ref="D11:M11"/>
    <mergeCell ref="D13:M13"/>
    <mergeCell ref="D35:M35"/>
    <mergeCell ref="H40:M40"/>
    <mergeCell ref="F50:G50"/>
    <mergeCell ref="D31:H31"/>
    <mergeCell ref="J31:M31"/>
    <mergeCell ref="J19:M19"/>
    <mergeCell ref="D21:H21"/>
    <mergeCell ref="D27:M27"/>
    <mergeCell ref="D17:H17"/>
    <mergeCell ref="F52:G52"/>
    <mergeCell ref="D15:H15"/>
  </mergeCells>
  <conditionalFormatting sqref="L40">
    <cfRule type="expression" dxfId="118" priority="13">
      <formula>Wennoder($L$47&lt;0,$L$47=0,"")</formula>
    </cfRule>
  </conditionalFormatting>
  <dataValidations count="4">
    <dataValidation type="date" errorStyle="warning" operator="greaterThan" allowBlank="1" showInputMessage="1" showErrorMessage="1" errorTitle="Laufzeitbeginn im Jahr 2017" error="Laufzeitbeginn ab 01.01.2017 möglich" sqref="H51:H52" xr:uid="{00000000-0002-0000-0200-000000000000}">
      <formula1>42735</formula1>
    </dataValidation>
    <dataValidation allowBlank="1" showErrorMessage="1" sqref="K65" xr:uid="{00000000-0002-0000-0200-000001000000}"/>
    <dataValidation errorStyle="information" allowBlank="1" showErrorMessage="1" errorTitle="angebundene KZP" promptTitle="angebundene KZP" prompt="siehe allgemeine Hinweise" sqref="L47" xr:uid="{00000000-0002-0000-0200-000002000000}"/>
    <dataValidation errorStyle="warning" operator="greaterThan" allowBlank="1" showInputMessage="1" showErrorMessage="1" sqref="H50" xr:uid="{00000000-0002-0000-0200-000003000000}"/>
  </dataValidations>
  <hyperlinks>
    <hyperlink ref="D78" location="'Anlage 1'!A1" display="Anlage 1" xr:uid="{00000000-0004-0000-0200-000000000000}"/>
    <hyperlink ref="D78:J78" location="'Belegung_wö. Arbeitszeit'!A1" display="gehe weiter zu Belegung" xr:uid="{00000000-0004-0000-0200-000001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&amp;K00000012.10.2026&amp;C&amp;8Verhandlungsunterlagen KZP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830580</xdr:colOff>
                    <xdr:row>40</xdr:row>
                    <xdr:rowOff>38100</xdr:rowOff>
                  </from>
                  <to>
                    <xdr:col>8</xdr:col>
                    <xdr:colOff>251460</xdr:colOff>
                    <xdr:row>42</xdr:row>
                    <xdr:rowOff>68580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178875FD-4D86-4F1C-87B8-F93B583AF5A1}">
            <xm:f>KAT!$A$32="nein"</xm:f>
            <x14:dxf>
              <fill>
                <patternFill>
                  <bgColor theme="0"/>
                </patternFill>
              </fill>
            </x14:dxf>
          </x14:cfRule>
          <xm:sqref>K66 I5 K45 H53 K64</xm:sqref>
        </x14:conditionalFormatting>
        <x14:conditionalFormatting xmlns:xm="http://schemas.microsoft.com/office/excel/2006/main">
          <x14:cfRule type="expression" priority="3" id="{5E830503-0144-48D8-82CA-147D4F4D6B78}">
            <xm:f>KAT!$A$32="nein"</xm:f>
            <x14:dxf>
              <fill>
                <patternFill patternType="none">
                  <bgColor auto="1"/>
                </patternFill>
              </fill>
            </x14:dxf>
          </x14:cfRule>
          <xm:sqref>K66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Auswahlmöglichkeit" error="Bitte aus Liste wählen!" xr:uid="{00000000-0002-0000-0200-000004000000}">
          <x14:formula1>
            <xm:f>KAT!$F$2:$F$4</xm:f>
          </x14:formula1>
          <xm:sqref>C40</xm:sqref>
        </x14:dataValidation>
        <x14:dataValidation type="list" allowBlank="1" showInputMessage="1" showErrorMessage="1" xr:uid="{00000000-0002-0000-0200-000005000000}">
          <x14:formula1>
            <xm:f>KAT!$F$2:$F$3</xm:f>
          </x14:formula1>
          <xm:sqref>L70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theme="4"/>
    <pageSetUpPr fitToPage="1"/>
  </sheetPr>
  <dimension ref="A1:O67"/>
  <sheetViews>
    <sheetView showGridLines="0" zoomScaleNormal="100" workbookViewId="0">
      <selection activeCell="G6" sqref="G6"/>
    </sheetView>
  </sheetViews>
  <sheetFormatPr baseColWidth="10" defaultColWidth="11" defaultRowHeight="13.8" x14ac:dyDescent="0.25"/>
  <cols>
    <col min="1" max="1" width="5.59765625" style="3" customWidth="1"/>
    <col min="2" max="2" width="11.3984375" style="3" customWidth="1"/>
    <col min="3" max="5" width="17.59765625" style="3" customWidth="1"/>
    <col min="6" max="6" width="14.59765625" style="3" customWidth="1"/>
    <col min="7" max="7" width="9.09765625" style="3" customWidth="1"/>
    <col min="8" max="8" width="5.59765625" style="3" customWidth="1"/>
    <col min="9" max="9" width="13.59765625" style="3" customWidth="1"/>
    <col min="10" max="16384" width="11" style="3"/>
  </cols>
  <sheetData>
    <row r="1" spans="1:13" x14ac:dyDescent="0.25">
      <c r="A1" s="1649" t="str">
        <f>'Allgemeine Angaben'!A1:N1</f>
        <v>Aufforderung zum Abschluss einer Pflegesatzvereinbarung gemäß §§ 84, 85 SGB XI</v>
      </c>
      <c r="B1" s="1650"/>
      <c r="C1" s="1650"/>
      <c r="D1" s="1650"/>
      <c r="E1" s="1650"/>
      <c r="F1" s="1650"/>
      <c r="G1" s="1650"/>
      <c r="H1" s="1651"/>
      <c r="I1" s="268"/>
    </row>
    <row r="2" spans="1:13" x14ac:dyDescent="0.25">
      <c r="A2" s="1652" t="s">
        <v>28</v>
      </c>
      <c r="B2" s="1653"/>
      <c r="C2" s="1653"/>
      <c r="D2" s="1653"/>
      <c r="E2" s="1653"/>
      <c r="F2" s="1653"/>
      <c r="G2" s="1653"/>
      <c r="H2" s="1654"/>
      <c r="I2" s="270"/>
      <c r="J2" s="44"/>
    </row>
    <row r="3" spans="1:13" x14ac:dyDescent="0.25">
      <c r="A3" s="1668" t="str">
        <f>'Allgemeine Angaben'!A3:N3</f>
        <v/>
      </c>
      <c r="B3" s="1669"/>
      <c r="C3" s="1669"/>
      <c r="D3" s="1669"/>
      <c r="E3" s="1669"/>
      <c r="F3" s="1669"/>
      <c r="G3" s="1669"/>
      <c r="H3" s="1670"/>
      <c r="I3" s="282"/>
      <c r="J3" s="45"/>
    </row>
    <row r="4" spans="1:13" x14ac:dyDescent="0.25">
      <c r="A4" s="1671" t="str">
        <f>'Allgemeine Angaben'!A4:N4</f>
        <v/>
      </c>
      <c r="B4" s="1672"/>
      <c r="C4" s="1672"/>
      <c r="D4" s="1672"/>
      <c r="E4" s="1672"/>
      <c r="F4" s="1672"/>
      <c r="G4" s="1672"/>
      <c r="H4" s="1673"/>
      <c r="I4" s="68"/>
    </row>
    <row r="5" spans="1:13" s="11" customFormat="1" ht="13.2" x14ac:dyDescent="0.25">
      <c r="A5" s="46"/>
      <c r="B5" s="7"/>
      <c r="C5" s="7"/>
      <c r="D5" s="7"/>
      <c r="E5" s="7"/>
      <c r="F5" s="7"/>
      <c r="G5" s="7"/>
      <c r="H5" s="47"/>
      <c r="I5" s="69"/>
    </row>
    <row r="6" spans="1:13" s="37" customFormat="1" ht="25.5" customHeight="1" x14ac:dyDescent="0.25">
      <c r="A6" s="49"/>
      <c r="B6" s="34" t="s">
        <v>2</v>
      </c>
      <c r="D6" s="50" t="str">
        <f>KAT!A3</f>
        <v>Kurzzeitpflege</v>
      </c>
      <c r="E6" s="51"/>
      <c r="F6" s="52" t="s">
        <v>513</v>
      </c>
      <c r="G6" s="136"/>
      <c r="H6" s="53"/>
      <c r="I6" s="207"/>
      <c r="J6" s="386"/>
    </row>
    <row r="7" spans="1:13" s="11" customFormat="1" ht="18" customHeight="1" x14ac:dyDescent="0.25">
      <c r="A7" s="54"/>
      <c r="D7" s="48"/>
      <c r="F7" s="1136" t="str">
        <f>IF('Allgemeine Angaben'!H44="","",IF(KAT!E7&lt;12,"Auslastung bitte mit "&amp;TEXT(KAT!E5/100,"0 %")&amp;" angeben",IF(AND(KAT!E7&gt;=12,KAT!E7&lt;24),"Auslastung bitte mit "&amp;TEXT(KAT!E4/100,"0 %")&amp;" angeben","Auslastung kann mit 5 % unter der tatsächlichen Auslastung der letzten 24 Monate, mindestens jedoch mit "&amp;TEXT(KAT!E3/100,"0 %")&amp;" angegeben werden")))</f>
        <v/>
      </c>
      <c r="G7" s="936"/>
      <c r="H7" s="1120"/>
      <c r="I7" s="69"/>
      <c r="J7" s="387"/>
    </row>
    <row r="8" spans="1:13" s="11" customFormat="1" ht="15" customHeight="1" x14ac:dyDescent="0.25">
      <c r="A8" s="54"/>
      <c r="B8" s="56" t="s">
        <v>29</v>
      </c>
      <c r="C8" s="55"/>
      <c r="D8" s="1400">
        <f>KAT!D2</f>
        <v>365</v>
      </c>
      <c r="E8" s="1057"/>
      <c r="G8" s="1121"/>
      <c r="H8" s="1120"/>
      <c r="I8" s="48"/>
      <c r="J8" s="389"/>
    </row>
    <row r="9" spans="1:13" s="11" customFormat="1" ht="13.2" x14ac:dyDescent="0.25">
      <c r="A9" s="54"/>
      <c r="C9" s="48"/>
      <c r="D9" s="48"/>
      <c r="G9" s="1401"/>
      <c r="H9" s="1120"/>
    </row>
    <row r="10" spans="1:13" s="11" customFormat="1" ht="13.2" x14ac:dyDescent="0.25">
      <c r="A10" s="54"/>
      <c r="D10" s="48"/>
      <c r="H10" s="33"/>
    </row>
    <row r="11" spans="1:13" s="11" customFormat="1" ht="15" customHeight="1" x14ac:dyDescent="0.25">
      <c r="A11" s="54"/>
      <c r="B11" s="105" t="s">
        <v>28</v>
      </c>
      <c r="C11" s="103"/>
      <c r="D11" s="103"/>
      <c r="E11" s="103"/>
      <c r="F11" s="103"/>
      <c r="G11" s="105"/>
      <c r="H11" s="33"/>
      <c r="I11" s="259"/>
      <c r="J11" s="260"/>
      <c r="K11" s="260"/>
      <c r="L11" s="260"/>
      <c r="M11" s="260"/>
    </row>
    <row r="12" spans="1:13" s="11" customFormat="1" ht="9.9" customHeight="1" x14ac:dyDescent="0.25">
      <c r="A12" s="54"/>
      <c r="B12" s="5"/>
      <c r="G12" s="5"/>
      <c r="H12" s="33"/>
      <c r="I12" s="260"/>
      <c r="J12" s="260"/>
      <c r="K12" s="260"/>
      <c r="L12" s="260"/>
      <c r="M12" s="260"/>
    </row>
    <row r="13" spans="1:13" s="11" customFormat="1" ht="30" customHeight="1" x14ac:dyDescent="0.25">
      <c r="A13" s="54"/>
      <c r="B13" s="5"/>
      <c r="C13" s="394" t="s">
        <v>510</v>
      </c>
      <c r="D13" s="142" t="s">
        <v>140</v>
      </c>
      <c r="E13" s="142" t="s">
        <v>30</v>
      </c>
      <c r="G13" s="5"/>
      <c r="H13" s="33"/>
      <c r="J13" s="395"/>
    </row>
    <row r="14" spans="1:13" s="11" customFormat="1" ht="15" customHeight="1" x14ac:dyDescent="0.25">
      <c r="A14" s="54"/>
      <c r="B14" s="17" t="s">
        <v>132</v>
      </c>
      <c r="C14" s="305"/>
      <c r="D14" s="306"/>
      <c r="E14" s="152" t="str">
        <f>IF('Allgemeine Angaben'!H50&gt;0,'Allgemeine Angaben'!H50,"")</f>
        <v/>
      </c>
      <c r="H14" s="33"/>
    </row>
    <row r="15" spans="1:13" s="11" customFormat="1" ht="15" customHeight="1" x14ac:dyDescent="0.25">
      <c r="A15" s="54"/>
      <c r="B15" s="17" t="s">
        <v>133</v>
      </c>
      <c r="C15" s="151"/>
      <c r="D15" s="1122" t="str">
        <f>IF('Allgemeine Angaben'!H50='Allgemeine Angaben'!H44,"",IF('Allgemeine Angaben'!L4=""," Antragsdatum fehlt.",IF(DATEDIF(D14,'Allgemeine Angaben'!L4,"m")&gt;3,"Stichtag darf nicht mehr als 3 Monate vor Datum der Antragstellung liegen, bitte korrigieren.","")))</f>
        <v/>
      </c>
      <c r="H15" s="33"/>
      <c r="I15" s="70"/>
      <c r="J15" s="142"/>
    </row>
    <row r="16" spans="1:13" s="11" customFormat="1" ht="12.75" customHeight="1" x14ac:dyDescent="0.25">
      <c r="A16" s="54"/>
      <c r="B16" s="383" t="str">
        <f>IF('Allgemeine Angaben'!D7="kzp","Anzahl Monate:","")</f>
        <v/>
      </c>
      <c r="C16" s="388" t="str">
        <f>IF(AND(C14&gt;0,C15&gt;0),DATEDIF(C14,C15,"m")+1,"")</f>
        <v/>
      </c>
      <c r="D16" s="9"/>
      <c r="H16" s="33"/>
      <c r="I16" s="70"/>
      <c r="J16" s="1475"/>
    </row>
    <row r="17" spans="1:15" s="37" customFormat="1" ht="15" customHeight="1" thickBot="1" x14ac:dyDescent="0.3">
      <c r="A17" s="153"/>
      <c r="C17" s="1151" t="str">
        <f>IFERROR(IF(AND(KAT!E7&gt;0,OR(C14="",C15="")),"Bitte Belegungszeitraum vollständig angeben",""),"")</f>
        <v/>
      </c>
      <c r="E17" s="1033" t="s">
        <v>501</v>
      </c>
      <c r="H17" s="53"/>
      <c r="I17" s="40"/>
      <c r="J17" s="40"/>
      <c r="K17" s="40"/>
      <c r="L17" s="40"/>
      <c r="M17" s="40"/>
      <c r="N17" s="40"/>
      <c r="O17" s="1140"/>
    </row>
    <row r="18" spans="1:15" s="37" customFormat="1" ht="15" customHeight="1" thickBot="1" x14ac:dyDescent="0.3">
      <c r="A18" s="153"/>
      <c r="C18" s="1467" t="str">
        <f>IFERROR(IF(AND(OR(KAT!E7=30,KAT!E7&gt;30),'Belegung_wö. Arbeitszeit'!C16&lt;&gt;24),"Belegung für letzten 24 Kalendermonate angeben.",""),"")</f>
        <v/>
      </c>
      <c r="E18" s="154">
        <f>IF(ISERROR('Allgemeine Angaben'!L46*G6*D8/100),"",'Allgemeine Angaben'!L46*G6*D8/100)</f>
        <v>0</v>
      </c>
      <c r="H18" s="53"/>
      <c r="I18" s="40"/>
    </row>
    <row r="19" spans="1:15" s="37" customFormat="1" ht="15" customHeight="1" x14ac:dyDescent="0.25">
      <c r="A19" s="153"/>
      <c r="B19" s="219"/>
      <c r="C19" s="299" t="str">
        <f>IF(AND('Allgemeine Angaben'!H50&gt;'Belegung_wö. Arbeitszeit'!H44,DATEDIF(C14,'Allgemeine Angaben'!H50,"m")&gt;30),"Belegungsbeginn darf nicht mehr als 30 Monate vor Laufzeitbeginn liegen","")</f>
        <v/>
      </c>
      <c r="D19" s="11"/>
      <c r="E19" s="11"/>
      <c r="F19" s="11"/>
      <c r="G19" s="11"/>
      <c r="H19" s="53"/>
      <c r="I19" s="207"/>
    </row>
    <row r="20" spans="1:15" s="37" customFormat="1" ht="25.5" customHeight="1" x14ac:dyDescent="0.25">
      <c r="A20" s="153"/>
      <c r="B20" s="141" t="s">
        <v>31</v>
      </c>
      <c r="C20" s="392" t="s">
        <v>335</v>
      </c>
      <c r="D20" s="141" t="s">
        <v>32</v>
      </c>
      <c r="E20" s="141" t="s">
        <v>32</v>
      </c>
      <c r="F20" s="276"/>
      <c r="G20" s="5"/>
      <c r="H20" s="53"/>
      <c r="I20" s="40"/>
    </row>
    <row r="21" spans="1:15" s="37" customFormat="1" ht="30" customHeight="1" x14ac:dyDescent="0.25">
      <c r="A21" s="153"/>
      <c r="B21" s="162"/>
      <c r="C21" s="393" t="str">
        <f>("in den letzten "&amp;IF(ISNUMBER(C16),TEXT(C16,"## "),"24 ")&amp; "Kalendermonaten")</f>
        <v>in den letzten 24 Kalendermonaten</v>
      </c>
      <c r="D21" s="162" t="s">
        <v>131</v>
      </c>
      <c r="E21" s="162" t="s">
        <v>160</v>
      </c>
      <c r="F21" s="284"/>
      <c r="G21" s="109"/>
      <c r="H21" s="53"/>
      <c r="I21" s="279"/>
    </row>
    <row r="22" spans="1:15" s="37" customFormat="1" ht="15" customHeight="1" x14ac:dyDescent="0.25">
      <c r="A22" s="153"/>
      <c r="B22" s="139"/>
      <c r="C22" s="140"/>
      <c r="D22" s="163" t="str">
        <f>IF(D14&gt;0,D14,"")</f>
        <v/>
      </c>
      <c r="E22" s="163" t="str">
        <f>IF(E14&gt;0,E14,"")</f>
        <v/>
      </c>
      <c r="F22" s="275"/>
      <c r="G22" s="109"/>
      <c r="H22" s="53"/>
      <c r="I22" s="279"/>
    </row>
    <row r="23" spans="1:15" s="37" customFormat="1" ht="15" customHeight="1" x14ac:dyDescent="0.25">
      <c r="A23" s="153"/>
      <c r="B23" s="57"/>
      <c r="C23" s="57"/>
      <c r="D23" s="57"/>
      <c r="E23" s="57"/>
      <c r="F23" s="28"/>
      <c r="G23" s="11"/>
      <c r="H23" s="53"/>
      <c r="I23" s="40"/>
    </row>
    <row r="24" spans="1:15" s="37" customFormat="1" ht="15" customHeight="1" thickBot="1" x14ac:dyDescent="0.3">
      <c r="A24" s="153"/>
      <c r="B24" s="58">
        <v>1</v>
      </c>
      <c r="C24" s="310"/>
      <c r="D24" s="307"/>
      <c r="E24" s="307"/>
      <c r="F24" s="318"/>
      <c r="G24" s="11"/>
      <c r="H24" s="53"/>
      <c r="I24" s="40"/>
      <c r="J24" s="40"/>
    </row>
    <row r="25" spans="1:15" s="37" customFormat="1" ht="15" customHeight="1" thickBot="1" x14ac:dyDescent="0.3">
      <c r="A25" s="153"/>
      <c r="B25" s="59">
        <v>2</v>
      </c>
      <c r="C25" s="311"/>
      <c r="D25" s="308"/>
      <c r="E25" s="308"/>
      <c r="F25" s="319"/>
      <c r="G25" s="48"/>
      <c r="H25" s="53"/>
      <c r="I25" s="40"/>
      <c r="J25" s="40"/>
    </row>
    <row r="26" spans="1:15" s="37" customFormat="1" ht="15" customHeight="1" thickBot="1" x14ac:dyDescent="0.3">
      <c r="A26" s="153"/>
      <c r="B26" s="59">
        <v>3</v>
      </c>
      <c r="C26" s="311"/>
      <c r="D26" s="308"/>
      <c r="E26" s="308"/>
      <c r="F26" s="319"/>
      <c r="G26" s="48"/>
      <c r="H26" s="53"/>
      <c r="I26" s="283"/>
    </row>
    <row r="27" spans="1:15" s="37" customFormat="1" ht="15" customHeight="1" thickBot="1" x14ac:dyDescent="0.3">
      <c r="A27" s="153"/>
      <c r="B27" s="59">
        <v>4</v>
      </c>
      <c r="C27" s="311"/>
      <c r="D27" s="308"/>
      <c r="E27" s="308"/>
      <c r="F27" s="319"/>
      <c r="G27" s="48"/>
      <c r="H27" s="53"/>
      <c r="I27" s="285"/>
    </row>
    <row r="28" spans="1:15" s="37" customFormat="1" ht="15" customHeight="1" x14ac:dyDescent="0.25">
      <c r="A28" s="153"/>
      <c r="B28" s="60">
        <v>5</v>
      </c>
      <c r="C28" s="312"/>
      <c r="D28" s="309"/>
      <c r="E28" s="309"/>
      <c r="F28" s="320"/>
      <c r="G28" s="11"/>
      <c r="H28" s="53"/>
      <c r="I28" s="40"/>
    </row>
    <row r="29" spans="1:15" s="37" customFormat="1" ht="15" customHeight="1" x14ac:dyDescent="0.25">
      <c r="A29" s="153"/>
      <c r="B29" s="62"/>
      <c r="C29" s="57"/>
      <c r="D29" s="57"/>
      <c r="E29" s="57"/>
      <c r="F29" s="28"/>
      <c r="G29" s="11"/>
      <c r="H29" s="53"/>
      <c r="I29" s="40"/>
    </row>
    <row r="30" spans="1:15" s="37" customFormat="1" ht="15" customHeight="1" x14ac:dyDescent="0.25">
      <c r="A30" s="153"/>
      <c r="B30" s="63" t="s">
        <v>33</v>
      </c>
      <c r="C30" s="145">
        <f>SUM(C24:C28)</f>
        <v>0</v>
      </c>
      <c r="D30" s="64">
        <f>SUM(D24:D28)</f>
        <v>0</v>
      </c>
      <c r="E30" s="64">
        <f>SUM(E24:E28)</f>
        <v>0</v>
      </c>
      <c r="F30" s="48"/>
      <c r="G30" s="48"/>
      <c r="H30" s="53"/>
      <c r="I30" s="226"/>
    </row>
    <row r="31" spans="1:15" s="37" customFormat="1" ht="0.75" customHeight="1" x14ac:dyDescent="0.25">
      <c r="A31" s="153"/>
      <c r="B31" s="65"/>
      <c r="C31" s="66"/>
      <c r="D31" s="66"/>
      <c r="E31" s="66"/>
      <c r="H31" s="53"/>
      <c r="I31" s="226"/>
    </row>
    <row r="32" spans="1:15" s="37" customFormat="1" ht="15" customHeight="1" x14ac:dyDescent="0.25">
      <c r="A32" s="153"/>
      <c r="D32" s="936" t="str">
        <f>IF(D30&gt;'Allgemeine Angaben'!L46,"Stichtagsbelegung übersteigt Platzzahl    ","")</f>
        <v/>
      </c>
      <c r="E32" s="1464" t="str">
        <f>IF(E30&gt;0,IF(E30&lt;&gt;'Allgemeine Angaben'!L46,"    Prognose entspricht nicht Platzzahl.",""),"")</f>
        <v/>
      </c>
      <c r="G32" s="1141"/>
      <c r="H32" s="53"/>
      <c r="I32" s="226"/>
    </row>
    <row r="33" spans="1:10" s="37" customFormat="1" ht="15" customHeight="1" x14ac:dyDescent="0.25">
      <c r="A33" s="153"/>
      <c r="B33" s="219"/>
      <c r="C33" s="17"/>
      <c r="D33" s="11"/>
      <c r="E33" s="11"/>
      <c r="H33" s="53"/>
      <c r="I33" s="40"/>
    </row>
    <row r="34" spans="1:10" s="37" customFormat="1" ht="15" customHeight="1" x14ac:dyDescent="0.25">
      <c r="A34" s="153"/>
      <c r="B34" s="219"/>
      <c r="C34" s="17"/>
      <c r="D34" s="11"/>
      <c r="E34" s="11"/>
      <c r="H34" s="53"/>
      <c r="I34" s="207"/>
      <c r="J34" s="988"/>
    </row>
    <row r="35" spans="1:10" s="37" customFormat="1" ht="15" customHeight="1" x14ac:dyDescent="0.25">
      <c r="A35" s="153"/>
      <c r="B35" s="105" t="s">
        <v>485</v>
      </c>
      <c r="C35" s="992"/>
      <c r="D35" s="992"/>
      <c r="E35" s="992"/>
      <c r="F35" s="992"/>
      <c r="H35" s="53"/>
      <c r="I35" s="207"/>
    </row>
    <row r="36" spans="1:10" s="37" customFormat="1" ht="15" customHeight="1" x14ac:dyDescent="0.25">
      <c r="A36" s="153"/>
      <c r="B36" s="993"/>
      <c r="C36" s="993"/>
      <c r="D36" s="993"/>
      <c r="E36" s="993"/>
      <c r="F36" s="993"/>
      <c r="H36" s="53"/>
      <c r="I36" s="283"/>
      <c r="J36" s="285"/>
    </row>
    <row r="37" spans="1:10" s="37" customFormat="1" ht="15" customHeight="1" x14ac:dyDescent="0.25">
      <c r="A37" s="153"/>
      <c r="B37" s="994" t="s">
        <v>486</v>
      </c>
      <c r="C37" s="995"/>
      <c r="D37" s="995"/>
      <c r="E37" s="995"/>
      <c r="F37" s="1404"/>
      <c r="H37" s="53"/>
      <c r="I37" s="40"/>
    </row>
    <row r="38" spans="1:10" s="37" customFormat="1" ht="31.5" customHeight="1" x14ac:dyDescent="0.25">
      <c r="A38" s="153"/>
      <c r="B38" s="1677" t="str">
        <f>IF(F37&lt;&gt;40,"Beachten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38" s="1677"/>
      <c r="D38" s="1677"/>
      <c r="E38" s="1677"/>
      <c r="F38" s="1677"/>
      <c r="H38" s="53"/>
      <c r="I38" s="226"/>
    </row>
    <row r="39" spans="1:10" s="37" customFormat="1" ht="15" customHeight="1" x14ac:dyDescent="0.25">
      <c r="A39" s="153"/>
      <c r="B39" s="61"/>
      <c r="C39" s="1402"/>
      <c r="D39" s="1402"/>
      <c r="E39" s="1402"/>
      <c r="H39" s="53"/>
      <c r="I39" s="40"/>
    </row>
    <row r="40" spans="1:10" s="37" customFormat="1" ht="15" customHeight="1" x14ac:dyDescent="0.25">
      <c r="A40" s="153"/>
      <c r="B40" s="61"/>
      <c r="C40" s="1402"/>
      <c r="D40" s="1402"/>
      <c r="E40" s="1402"/>
      <c r="H40" s="53"/>
      <c r="I40" s="40"/>
    </row>
    <row r="41" spans="1:10" s="37" customFormat="1" ht="15" customHeight="1" x14ac:dyDescent="0.25">
      <c r="A41" s="153"/>
      <c r="B41" s="61"/>
      <c r="C41" s="1402"/>
      <c r="D41" s="1402"/>
      <c r="E41" s="1402"/>
      <c r="H41" s="53"/>
      <c r="I41" s="40"/>
    </row>
    <row r="42" spans="1:10" s="37" customFormat="1" ht="15" customHeight="1" x14ac:dyDescent="0.25">
      <c r="A42" s="153"/>
      <c r="B42" s="61"/>
      <c r="C42" s="990"/>
      <c r="D42" s="990"/>
      <c r="E42" s="990"/>
      <c r="H42" s="53"/>
      <c r="I42" s="40"/>
    </row>
    <row r="43" spans="1:10" s="37" customFormat="1" ht="15" customHeight="1" x14ac:dyDescent="0.25">
      <c r="A43" s="153"/>
      <c r="B43" s="11"/>
      <c r="C43" s="11"/>
      <c r="D43" s="11"/>
      <c r="E43" s="11"/>
      <c r="H43" s="53"/>
      <c r="I43" s="40"/>
    </row>
    <row r="44" spans="1:10" s="37" customFormat="1" ht="15" customHeight="1" x14ac:dyDescent="0.25">
      <c r="A44" s="153"/>
      <c r="B44" s="869"/>
      <c r="C44" s="1403"/>
      <c r="D44" s="1403"/>
      <c r="E44" s="1403"/>
      <c r="H44" s="53"/>
      <c r="I44" s="40"/>
    </row>
    <row r="45" spans="1:10" s="37" customFormat="1" ht="15" customHeight="1" x14ac:dyDescent="0.25">
      <c r="A45" s="153"/>
      <c r="B45" s="219"/>
      <c r="C45" s="989"/>
      <c r="D45" s="989"/>
      <c r="E45" s="989"/>
      <c r="H45" s="53"/>
      <c r="I45" s="40"/>
    </row>
    <row r="46" spans="1:10" s="37" customFormat="1" ht="15" customHeight="1" x14ac:dyDescent="0.25">
      <c r="A46" s="153"/>
      <c r="B46" s="61"/>
      <c r="C46" s="1402"/>
      <c r="D46" s="1402"/>
      <c r="E46" s="1402"/>
      <c r="H46" s="53"/>
      <c r="I46" s="40"/>
    </row>
    <row r="47" spans="1:10" s="37" customFormat="1" ht="15" customHeight="1" x14ac:dyDescent="0.25">
      <c r="A47" s="153"/>
      <c r="B47" s="61"/>
      <c r="C47" s="1402"/>
      <c r="D47" s="1402"/>
      <c r="E47" s="1402"/>
      <c r="H47" s="53"/>
      <c r="I47" s="40"/>
    </row>
    <row r="48" spans="1:10" s="37" customFormat="1" ht="15" customHeight="1" x14ac:dyDescent="0.25">
      <c r="A48" s="153"/>
      <c r="B48" s="61"/>
      <c r="C48" s="1402"/>
      <c r="D48" s="1402"/>
      <c r="E48" s="1402"/>
      <c r="H48" s="53"/>
      <c r="I48" s="40"/>
    </row>
    <row r="49" spans="1:9" s="37" customFormat="1" ht="15" customHeight="1" x14ac:dyDescent="0.25">
      <c r="A49" s="153"/>
      <c r="B49" s="61"/>
      <c r="C49" s="1402"/>
      <c r="D49" s="1402"/>
      <c r="E49" s="1402"/>
      <c r="H49" s="53"/>
      <c r="I49" s="40"/>
    </row>
    <row r="50" spans="1:9" s="37" customFormat="1" ht="15" customHeight="1" x14ac:dyDescent="0.25">
      <c r="A50" s="153"/>
      <c r="B50" s="61"/>
      <c r="C50" s="1402"/>
      <c r="D50" s="1402"/>
      <c r="E50" s="1402"/>
      <c r="H50" s="53"/>
      <c r="I50" s="40"/>
    </row>
    <row r="51" spans="1:9" s="37" customFormat="1" ht="15" customHeight="1" x14ac:dyDescent="0.25">
      <c r="A51" s="153"/>
      <c r="B51" s="61"/>
      <c r="C51" s="990"/>
      <c r="D51" s="990"/>
      <c r="E51" s="990"/>
      <c r="H51" s="53"/>
      <c r="I51" s="40"/>
    </row>
    <row r="52" spans="1:9" s="37" customFormat="1" ht="15" customHeight="1" x14ac:dyDescent="0.25">
      <c r="A52" s="153"/>
      <c r="E52" s="991"/>
      <c r="H52" s="53"/>
      <c r="I52" s="40"/>
    </row>
    <row r="53" spans="1:9" s="5" customFormat="1" ht="13.2" x14ac:dyDescent="0.25">
      <c r="A53" s="54"/>
      <c r="H53" s="834"/>
      <c r="I53" s="48"/>
    </row>
    <row r="54" spans="1:9" ht="15" customHeight="1" x14ac:dyDescent="0.25">
      <c r="A54" s="1137"/>
      <c r="G54" s="5"/>
      <c r="H54" s="4"/>
    </row>
    <row r="55" spans="1:9" s="11" customFormat="1" ht="15" customHeight="1" x14ac:dyDescent="0.25">
      <c r="A55" s="54"/>
      <c r="B55" s="837"/>
      <c r="C55" s="61"/>
      <c r="D55" s="838"/>
      <c r="E55" s="1676"/>
      <c r="F55" s="1676"/>
      <c r="G55" s="5"/>
      <c r="H55" s="33"/>
      <c r="I55" s="835"/>
    </row>
    <row r="56" spans="1:9" s="11" customFormat="1" ht="15" customHeight="1" x14ac:dyDescent="0.25">
      <c r="A56" s="54"/>
      <c r="B56" s="837"/>
      <c r="C56" s="61"/>
      <c r="D56" s="838"/>
      <c r="E56" s="839"/>
      <c r="F56" s="37"/>
      <c r="G56" s="5"/>
      <c r="H56" s="33"/>
      <c r="I56" s="48"/>
    </row>
    <row r="57" spans="1:9" s="11" customFormat="1" ht="3" customHeight="1" x14ac:dyDescent="0.25">
      <c r="A57" s="54"/>
      <c r="D57" s="840"/>
      <c r="G57" s="5"/>
      <c r="H57" s="33"/>
    </row>
    <row r="58" spans="1:9" s="11" customFormat="1" ht="13.2" x14ac:dyDescent="0.25">
      <c r="A58" s="54"/>
      <c r="B58" s="115"/>
      <c r="C58" s="841"/>
      <c r="D58" s="842"/>
      <c r="E58" s="61"/>
      <c r="F58" s="61"/>
      <c r="G58" s="5"/>
      <c r="H58" s="33"/>
      <c r="I58" s="71"/>
    </row>
    <row r="59" spans="1:9" s="11" customFormat="1" ht="13.2" x14ac:dyDescent="0.25">
      <c r="A59" s="54"/>
      <c r="B59" s="115"/>
      <c r="C59" s="841"/>
      <c r="D59" s="842"/>
      <c r="E59" s="61"/>
      <c r="F59" s="61"/>
      <c r="G59" s="5"/>
      <c r="H59" s="33"/>
      <c r="I59" s="48"/>
    </row>
    <row r="60" spans="1:9" s="11" customFormat="1" ht="13.2" x14ac:dyDescent="0.25">
      <c r="A60" s="54"/>
      <c r="B60" s="115"/>
      <c r="C60" s="841"/>
      <c r="D60" s="842"/>
      <c r="E60" s="61"/>
      <c r="F60" s="61"/>
      <c r="G60" s="5"/>
      <c r="H60" s="33"/>
    </row>
    <row r="61" spans="1:9" s="11" customFormat="1" x14ac:dyDescent="0.25">
      <c r="A61" s="54"/>
      <c r="B61" s="1674"/>
      <c r="C61" s="1675"/>
      <c r="D61" s="842"/>
      <c r="E61" s="61"/>
      <c r="F61" s="61"/>
      <c r="G61" s="5"/>
      <c r="H61" s="33"/>
    </row>
    <row r="62" spans="1:9" s="11" customFormat="1" x14ac:dyDescent="0.25">
      <c r="A62" s="54"/>
      <c r="B62" s="1674"/>
      <c r="C62" s="1675"/>
      <c r="D62" s="842"/>
      <c r="E62" s="61"/>
      <c r="F62" s="61"/>
      <c r="G62" s="5"/>
      <c r="H62" s="33"/>
    </row>
    <row r="63" spans="1:9" s="11" customFormat="1" ht="3" customHeight="1" x14ac:dyDescent="0.25">
      <c r="A63" s="54"/>
      <c r="B63" s="115"/>
      <c r="C63" s="841"/>
      <c r="D63" s="842"/>
      <c r="G63" s="5"/>
      <c r="H63" s="33"/>
    </row>
    <row r="64" spans="1:9" x14ac:dyDescent="0.25">
      <c r="A64" s="41"/>
      <c r="B64" s="42"/>
      <c r="C64" s="42"/>
      <c r="D64" s="42"/>
      <c r="E64" s="42"/>
      <c r="F64" s="42"/>
      <c r="G64" s="67"/>
      <c r="H64" s="376"/>
    </row>
    <row r="65" spans="2:7" ht="14.4" thickBot="1" x14ac:dyDescent="0.3"/>
    <row r="66" spans="2:7" ht="15" customHeight="1" thickBot="1" x14ac:dyDescent="0.3">
      <c r="B66" s="1633" t="s">
        <v>300</v>
      </c>
      <c r="C66" s="1634"/>
      <c r="D66" s="1634"/>
      <c r="E66" s="1634"/>
      <c r="F66" s="1634"/>
      <c r="G66" s="1635"/>
    </row>
    <row r="67" spans="2:7" x14ac:dyDescent="0.25">
      <c r="G67" s="1576"/>
    </row>
  </sheetData>
  <sheetProtection algorithmName="SHA-512" hashValue="bG0ho9kZDvRh/NeRu3lBBD/2U51itB51Tg3mA5tw1kl9dKoBtCyhL6HCOSY8COtYngIq0FMHnIQIJYkhO3cwEA==" saltValue="xcvCL9+A50p9Uc48xglr7g==" spinCount="100000" sheet="1" selectLockedCells="1"/>
  <customSheetViews>
    <customSheetView guid="{CDDBAA41-0D3E-44AF-A85A-332C81A5DAE4}" showGridLines="0" fitToPage="1">
      <pane ySplit="4" topLeftCell="A5" activePane="bottomLeft" state="frozen"/>
      <selection pane="bottomLeft" activeCell="J26" sqref="J26"/>
      <pageMargins left="0.70866141732283472" right="0.70866141732283472" top="0.78740157480314965" bottom="0.78740157480314965" header="0.31496062992125984" footer="0.31496062992125984"/>
      <pageSetup paperSize="9" scale="79" orientation="portrait"/>
      <headerFooter>
        <oddHeader>&amp;C&amp;9Seite 2</oddHeader>
        <oddFooter>&amp;C&amp;8Verhandlungsunterlagen SGB XI&amp;R&amp;8Version Kostenträger Stand: 29.11.2018</oddFooter>
      </headerFooter>
    </customSheetView>
  </customSheetViews>
  <mergeCells count="9">
    <mergeCell ref="A1:H1"/>
    <mergeCell ref="A2:H2"/>
    <mergeCell ref="A3:H3"/>
    <mergeCell ref="A4:H4"/>
    <mergeCell ref="B66:G66"/>
    <mergeCell ref="B61:C61"/>
    <mergeCell ref="B62:C62"/>
    <mergeCell ref="E55:F55"/>
    <mergeCell ref="B38:F38"/>
  </mergeCells>
  <conditionalFormatting sqref="C30">
    <cfRule type="expression" dxfId="115" priority="39">
      <formula>$C$30=0</formula>
    </cfRule>
  </conditionalFormatting>
  <conditionalFormatting sqref="D30">
    <cfRule type="expression" dxfId="114" priority="38">
      <formula>$D$30=0</formula>
    </cfRule>
  </conditionalFormatting>
  <conditionalFormatting sqref="E18 E32 E52">
    <cfRule type="expression" dxfId="112" priority="40">
      <formula>$E$18=0</formula>
    </cfRule>
  </conditionalFormatting>
  <conditionalFormatting sqref="E30">
    <cfRule type="expression" dxfId="111" priority="37">
      <formula>$E$30=0</formula>
    </cfRule>
  </conditionalFormatting>
  <dataValidations xWindow="724" yWindow="384" count="2">
    <dataValidation type="whole" allowBlank="1" showInputMessage="1" showErrorMessage="1" errorTitle="Eintragungsmöglichkeit" error="ganze Zahlen_x000a_ab 70 bis 100_x000a_je nach Zulassungsdatum" promptTitle="je nach Zulassungsdatum" prompt="70% - für das 1. Jahr der Zulassung_x000a_73% - für das 2. Jahr der Zulassung_x000a_mind. 78% bis 100% - nach Ablauf des 2. Jahres der Zulassung_x000a__x000a__x000a_" sqref="G6" xr:uid="{00000000-0002-0000-0400-000000000000}">
      <formula1>70</formula1>
      <formula2>100</formula2>
    </dataValidation>
    <dataValidation type="date" errorStyle="warning" allowBlank="1" showInputMessage="1" showErrorMessage="1" errorTitle="Datum prüfen" error="Das Vorjahresende muss vor der Prognose liegen!_x000a_" sqref="C15" xr:uid="{00000000-0002-0000-0400-000001000000}">
      <formula1>C14</formula1>
      <formula2>E14</formula2>
    </dataValidation>
  </dataValidations>
  <hyperlinks>
    <hyperlink ref="B66" location="'Anlage 1'!A1" display="Anlage 1" xr:uid="{00000000-0004-0000-0400-000000000000}"/>
    <hyperlink ref="B66:G66" location="Personalkostenaufstellung!A1" display="gehe weiter zu Personalkostenaufstellung" xr:uid="{00000000-0004-0000-0400-000001000000}"/>
  </hyperlinks>
  <pageMargins left="0.70866141732283472" right="0.70866141732283472" top="0.78740157480314965" bottom="0.78740157480314965" header="0.31496062992125984" footer="0.31496062992125984"/>
  <pageSetup paperSize="9" scale="78" orientation="portrait"/>
  <headerFooter>
    <oddHeader>&amp;C&amp;9&amp;A</oddHeader>
    <oddFooter>&amp;L&amp;8Version: &amp;K00000012.10.2026&amp;C&amp;8Verhandlungsunterlagen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23" id="{F96FA367-64B2-48C2-8C1C-29B0DACE7160}">
            <xm:f>'Allgemeine Angaben'!$D$7="tst"</xm:f>
            <x14:dxf>
              <font>
                <color theme="0" tint="-0.14996795556505021"/>
              </font>
              <fill>
                <patternFill>
                  <bgColor theme="0" tint="-0.24994659260841701"/>
                </patternFill>
              </fill>
              <border>
                <left/>
                <right/>
                <bottom/>
                <vertical/>
                <horizontal/>
              </border>
            </x14:dxf>
          </x14:cfRule>
          <xm:sqref>C16</xm:sqref>
        </x14:conditionalFormatting>
        <x14:conditionalFormatting xmlns:xm="http://schemas.microsoft.com/office/excel/2006/main">
          <x14:cfRule type="expression" priority="1" id="{89E7C821-F482-4871-8ED6-D9924EBAB280}">
            <xm:f>KAT!$A$32="ja"</xm:f>
            <x14:dxf>
              <fill>
                <patternFill>
                  <bgColor rgb="FFCCECFF"/>
                </patternFill>
              </fill>
            </x14:dxf>
          </x14:cfRule>
          <xm:sqref>C18:C19</xm:sqref>
        </x14:conditionalFormatting>
        <x14:conditionalFormatting xmlns:xm="http://schemas.microsoft.com/office/excel/2006/main">
          <x14:cfRule type="expression" priority="2" id="{0A80F6AA-CD09-4E64-B89C-1E006F3F6665}">
            <xm:f>KAT!$A$32="ja"</xm:f>
            <x14:dxf>
              <fill>
                <patternFill>
                  <bgColor rgb="FFCCECFF"/>
                </patternFill>
              </fill>
            </x14:dxf>
          </x14:cfRule>
          <xm:sqref>D32</xm:sqref>
        </x14:conditionalFormatting>
        <x14:conditionalFormatting xmlns:xm="http://schemas.microsoft.com/office/excel/2006/main">
          <x14:cfRule type="expression" priority="9" id="{AA841851-E30F-43E5-BF0C-F7831BEE3796}">
            <xm:f>KAT!$A$32="nein"</xm:f>
            <x14:dxf>
              <fill>
                <patternFill>
                  <bgColor theme="0"/>
                </patternFill>
              </fill>
            </x14:dxf>
          </x14:cfRule>
          <xm:sqref>E32</xm:sqref>
        </x14:conditionalFormatting>
        <x14:conditionalFormatting xmlns:xm="http://schemas.microsoft.com/office/excel/2006/main">
          <x14:cfRule type="expression" priority="14" id="{406FF2E9-842A-4524-9A1B-68F162D5F3A4}">
            <xm:f>KAT!$A$32="nein"</xm:f>
            <x14:dxf>
              <fill>
                <patternFill>
                  <bgColor theme="0"/>
                </patternFill>
              </fill>
            </x14:dxf>
          </x14:cfRule>
          <xm:sqref>F7 D15 C17 B38</xm:sqref>
        </x14:conditionalFormatting>
        <x14:conditionalFormatting xmlns:xm="http://schemas.microsoft.com/office/excel/2006/main">
          <x14:cfRule type="expression" priority="4" id="{E0EC07D6-0958-4199-B71C-93F3527AFE5C}">
            <xm:f>OR(AND(KAT!E7&lt;12,G6=KAT!E5),AND(KAT!E7&gt;=12,KAT!E7&lt;24,G6=KAT!E4),AND(KAT!E7&gt;=24,G6&gt;=KAT!E3))</xm:f>
            <x14:dxf>
              <font>
                <color theme="0"/>
              </font>
            </x14:dxf>
          </x14:cfRule>
          <xm:sqref>F7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pageSetUpPr fitToPage="1"/>
  </sheetPr>
  <dimension ref="A1:AU310"/>
  <sheetViews>
    <sheetView showGridLines="0" zoomScaleNormal="100" workbookViewId="0">
      <selection activeCell="A2" sqref="A2"/>
    </sheetView>
  </sheetViews>
  <sheetFormatPr baseColWidth="10" defaultRowHeight="13.8" x14ac:dyDescent="0.25"/>
  <cols>
    <col min="1" max="1" width="29.5" style="656" customWidth="1"/>
    <col min="2" max="2" width="19.5" style="656" customWidth="1"/>
    <col min="3" max="3" width="17.59765625" style="656" customWidth="1"/>
    <col min="4" max="4" width="15.59765625" style="656" customWidth="1"/>
    <col min="5" max="5" width="17.69921875" style="656" customWidth="1"/>
    <col min="6" max="6" width="30.19921875" style="656" customWidth="1"/>
    <col min="7" max="7" width="16.3984375" style="656" customWidth="1"/>
    <col min="8" max="8" width="15.8984375" style="656" customWidth="1"/>
    <col min="9" max="10" width="12.59765625" style="656" customWidth="1"/>
    <col min="11" max="12" width="16.59765625" style="656" customWidth="1"/>
    <col min="13" max="13" width="22.09765625" style="656" customWidth="1"/>
    <col min="14" max="14" width="16.59765625" style="656" customWidth="1"/>
    <col min="15" max="15" width="14.69921875" style="656" customWidth="1"/>
    <col min="16" max="16" width="22.3984375" style="656" customWidth="1"/>
    <col min="17" max="17" width="16.5" style="656" customWidth="1"/>
    <col min="18" max="21" width="14.59765625" style="656" customWidth="1"/>
    <col min="22" max="22" width="15.8984375" style="656" customWidth="1"/>
    <col min="23" max="23" width="14.59765625" style="656" customWidth="1"/>
    <col min="24" max="25" width="20.59765625" style="656" customWidth="1"/>
    <col min="26" max="26" width="10.8984375" style="656" hidden="1" customWidth="1"/>
    <col min="27" max="35" width="20.59765625" style="656" hidden="1" customWidth="1"/>
    <col min="36" max="36" width="14.09765625" style="656" hidden="1" customWidth="1"/>
    <col min="37" max="41" width="20.59765625" style="656" hidden="1" customWidth="1"/>
    <col min="42" max="43" width="20.59765625" style="715" hidden="1" customWidth="1"/>
    <col min="44" max="44" width="14.69921875" hidden="1" customWidth="1"/>
    <col min="45" max="47" width="11" hidden="1" customWidth="1"/>
    <col min="48" max="68" width="11" customWidth="1"/>
  </cols>
  <sheetData>
    <row r="1" spans="1:43" ht="15.6" x14ac:dyDescent="0.25">
      <c r="A1" s="409" t="s">
        <v>351</v>
      </c>
      <c r="B1" s="410"/>
      <c r="C1" s="410"/>
      <c r="D1" s="410"/>
      <c r="E1" s="411"/>
      <c r="F1" s="412" t="s">
        <v>351</v>
      </c>
      <c r="G1" s="413"/>
      <c r="H1" s="414"/>
      <c r="I1" s="414"/>
      <c r="J1" s="414"/>
      <c r="K1" s="414"/>
      <c r="L1" s="414"/>
      <c r="M1" s="414"/>
      <c r="N1" s="414"/>
      <c r="O1" s="414"/>
      <c r="P1" s="414"/>
      <c r="Q1" s="414"/>
      <c r="R1" s="414"/>
      <c r="S1" s="414"/>
      <c r="T1" s="414"/>
      <c r="U1" s="414"/>
      <c r="V1" s="414"/>
      <c r="W1" s="414"/>
      <c r="X1" s="415" t="s">
        <v>270</v>
      </c>
      <c r="Y1" s="416">
        <f>'Allgemeine Angaben'!L4</f>
        <v>0</v>
      </c>
      <c r="Z1" s="417"/>
      <c r="AA1" s="133"/>
      <c r="AB1" s="133"/>
      <c r="AC1" s="133"/>
      <c r="AD1" s="133"/>
      <c r="AE1" s="133"/>
      <c r="AF1" s="417"/>
      <c r="AG1" s="1004"/>
      <c r="AH1" s="788"/>
      <c r="AI1" s="788"/>
      <c r="AL1" s="417"/>
      <c r="AM1" s="1011"/>
      <c r="AN1" s="1012"/>
      <c r="AO1" s="417"/>
      <c r="AP1" s="1010"/>
      <c r="AQ1" s="1010"/>
    </row>
    <row r="2" spans="1:43" ht="15.6" thickBot="1" x14ac:dyDescent="0.3">
      <c r="A2" s="1585"/>
      <c r="B2" s="418"/>
      <c r="C2" s="418"/>
      <c r="D2" s="418"/>
      <c r="E2" s="419"/>
      <c r="F2" s="420"/>
      <c r="G2" s="421"/>
      <c r="H2" s="421"/>
      <c r="I2" s="421"/>
      <c r="J2" s="421"/>
      <c r="K2" s="421"/>
      <c r="L2" s="421"/>
      <c r="M2" s="421"/>
      <c r="N2" s="421"/>
      <c r="O2" s="421"/>
      <c r="P2" s="421"/>
      <c r="Q2" s="421"/>
      <c r="R2" s="421"/>
      <c r="S2" s="421"/>
      <c r="T2" s="421"/>
      <c r="U2" s="421"/>
      <c r="V2" s="421"/>
      <c r="W2" s="421"/>
      <c r="X2" s="421"/>
      <c r="Y2" s="419"/>
      <c r="Z2" s="417"/>
      <c r="AA2"/>
      <c r="AB2"/>
      <c r="AC2"/>
      <c r="AD2"/>
      <c r="AE2"/>
      <c r="AF2" s="417"/>
      <c r="AH2" s="788"/>
      <c r="AI2" s="788"/>
      <c r="AL2" s="417"/>
      <c r="AM2" s="1012"/>
      <c r="AN2" s="1012"/>
      <c r="AO2" s="417"/>
      <c r="AP2" s="422"/>
      <c r="AQ2" s="422"/>
    </row>
    <row r="3" spans="1:43" ht="15" x14ac:dyDescent="0.25">
      <c r="A3" s="423"/>
      <c r="B3" s="424"/>
      <c r="C3" s="424"/>
      <c r="D3" s="424"/>
      <c r="E3" s="425"/>
      <c r="F3" s="426"/>
      <c r="G3" s="427"/>
      <c r="H3" s="427"/>
      <c r="I3" s="427"/>
      <c r="J3" s="427"/>
      <c r="K3" s="427"/>
      <c r="L3" s="427"/>
      <c r="M3" s="427"/>
      <c r="N3" s="427"/>
      <c r="O3" s="427"/>
      <c r="P3" s="427"/>
      <c r="Q3" s="427"/>
      <c r="R3" s="427"/>
      <c r="S3" s="427"/>
      <c r="T3" s="427"/>
      <c r="U3" s="427"/>
      <c r="V3" s="427"/>
      <c r="W3" s="427"/>
      <c r="X3" s="428"/>
      <c r="Y3" s="429"/>
      <c r="Z3" s="417"/>
      <c r="AA3"/>
      <c r="AB3"/>
      <c r="AC3"/>
      <c r="AD3"/>
      <c r="AE3"/>
      <c r="AF3" s="417"/>
      <c r="AG3" s="1005"/>
      <c r="AH3" s="824"/>
      <c r="AI3" s="824"/>
      <c r="AJ3" s="715"/>
      <c r="AK3" s="1006"/>
      <c r="AL3" s="417"/>
      <c r="AM3" s="1012"/>
      <c r="AN3" s="1012"/>
      <c r="AO3" s="417"/>
      <c r="AP3" s="422"/>
      <c r="AQ3" s="422"/>
    </row>
    <row r="4" spans="1:43" x14ac:dyDescent="0.25">
      <c r="A4" s="431" t="str">
        <f>F4</f>
        <v>Name der Einrichtung:</v>
      </c>
      <c r="B4" s="1737" t="str">
        <f>IF('Allgemeine Angaben'!D11="","",'Allgemeine Angaben'!D11)</f>
        <v/>
      </c>
      <c r="C4" s="1737"/>
      <c r="D4" s="1737"/>
      <c r="E4" s="433"/>
      <c r="F4" s="241" t="s">
        <v>243</v>
      </c>
      <c r="G4" s="328" t="str">
        <f>B4</f>
        <v/>
      </c>
      <c r="H4" s="324"/>
      <c r="I4" s="324"/>
      <c r="J4" s="428"/>
      <c r="K4" s="434"/>
      <c r="L4" s="434"/>
      <c r="M4" s="434"/>
      <c r="N4" s="434"/>
      <c r="O4" s="434"/>
      <c r="P4" s="434"/>
      <c r="Q4" s="434"/>
      <c r="R4" s="435"/>
      <c r="S4" s="435"/>
      <c r="T4" s="435"/>
      <c r="U4" s="436"/>
      <c r="V4" s="436"/>
      <c r="W4" s="243"/>
      <c r="X4" s="240"/>
      <c r="Y4" s="429"/>
      <c r="Z4" s="417"/>
      <c r="AA4"/>
      <c r="AB4"/>
      <c r="AC4" s="1003"/>
      <c r="AD4" s="1003"/>
      <c r="AE4"/>
      <c r="AF4" s="417"/>
      <c r="AG4" s="1005"/>
      <c r="AH4" s="824"/>
      <c r="AI4" s="824"/>
      <c r="AJ4" s="715"/>
      <c r="AK4" s="1006"/>
      <c r="AL4" s="417"/>
      <c r="AM4" s="1012"/>
      <c r="AN4" s="1012"/>
      <c r="AO4" s="417"/>
      <c r="AP4" s="422"/>
      <c r="AQ4" s="422"/>
    </row>
    <row r="5" spans="1:43" x14ac:dyDescent="0.25">
      <c r="A5" s="431" t="str">
        <f>F5</f>
        <v>Ort der Einrichtung:</v>
      </c>
      <c r="B5" s="1737" t="str">
        <f>IF(AND('Allgemeine Angaben'!D15="",'Allgemeine Angaben'!J15=""),"",'Allgemeine Angaben'!D15&amp;" "&amp;'Allgemeine Angaben'!J15)</f>
        <v/>
      </c>
      <c r="C5" s="1737"/>
      <c r="D5" s="1737"/>
      <c r="E5" s="433"/>
      <c r="F5" s="241" t="s">
        <v>269</v>
      </c>
      <c r="G5" s="328" t="str">
        <f>B5</f>
        <v/>
      </c>
      <c r="H5" s="324"/>
      <c r="I5" s="324"/>
      <c r="J5" s="437"/>
      <c r="K5" s="438"/>
      <c r="L5" s="438"/>
      <c r="M5" s="438"/>
      <c r="N5" s="438"/>
      <c r="O5" s="438"/>
      <c r="P5" s="434"/>
      <c r="Q5" s="434"/>
      <c r="R5" s="435"/>
      <c r="S5" s="435"/>
      <c r="T5" s="435"/>
      <c r="U5" s="436"/>
      <c r="V5" s="436"/>
      <c r="W5" s="243"/>
      <c r="X5" s="240"/>
      <c r="Y5" s="429"/>
      <c r="Z5" s="417"/>
      <c r="AA5"/>
      <c r="AB5"/>
      <c r="AC5" s="1003"/>
      <c r="AD5"/>
      <c r="AE5"/>
      <c r="AF5" s="417"/>
      <c r="AG5" s="1005"/>
      <c r="AH5" s="824"/>
      <c r="AI5" s="824"/>
      <c r="AJ5" s="715"/>
      <c r="AK5" s="1006"/>
      <c r="AL5" s="417"/>
      <c r="AM5" s="417"/>
      <c r="AN5" s="417"/>
      <c r="AO5" s="417"/>
      <c r="AP5" s="422"/>
      <c r="AQ5" s="422"/>
    </row>
    <row r="6" spans="1:43" x14ac:dyDescent="0.25">
      <c r="A6" s="431" t="s">
        <v>353</v>
      </c>
      <c r="B6" s="432" t="str">
        <f>IF('Allgemeine Angaben'!L6="","",'Allgemeine Angaben'!L6)</f>
        <v/>
      </c>
      <c r="C6" s="439"/>
      <c r="D6" s="439"/>
      <c r="E6" s="433"/>
      <c r="F6" s="241" t="s">
        <v>353</v>
      </c>
      <c r="G6" s="328" t="str">
        <f>B6</f>
        <v/>
      </c>
      <c r="H6" s="440"/>
      <c r="I6" s="247"/>
      <c r="J6" s="247"/>
      <c r="K6" s="438"/>
      <c r="L6" s="438"/>
      <c r="M6" s="438"/>
      <c r="N6" s="438"/>
      <c r="O6" s="438"/>
      <c r="P6" s="434"/>
      <c r="Q6" s="434"/>
      <c r="R6" s="434"/>
      <c r="S6" s="434"/>
      <c r="T6" s="441"/>
      <c r="U6" s="436"/>
      <c r="V6" s="436"/>
      <c r="W6" s="243"/>
      <c r="X6" s="240"/>
      <c r="Y6" s="429"/>
      <c r="Z6" s="417"/>
      <c r="AA6"/>
      <c r="AB6"/>
      <c r="AC6" s="1003"/>
      <c r="AD6"/>
      <c r="AE6"/>
      <c r="AF6" s="417"/>
      <c r="AG6" s="1005"/>
      <c r="AI6" s="1007"/>
      <c r="AJ6" s="715"/>
      <c r="AK6" s="1008"/>
      <c r="AL6" s="417"/>
      <c r="AM6" s="417"/>
      <c r="AN6" s="417"/>
      <c r="AO6" s="417"/>
      <c r="AP6" s="422"/>
      <c r="AQ6" s="422"/>
    </row>
    <row r="7" spans="1:43" ht="14.4" thickBot="1" x14ac:dyDescent="0.3">
      <c r="A7" s="442"/>
      <c r="B7" s="432"/>
      <c r="C7" s="439"/>
      <c r="D7" s="443"/>
      <c r="E7" s="433"/>
      <c r="F7" s="287"/>
      <c r="G7" s="444"/>
      <c r="H7" s="440"/>
      <c r="I7" s="247"/>
      <c r="J7" s="437"/>
      <c r="K7" s="438"/>
      <c r="L7" s="438"/>
      <c r="M7" s="438"/>
      <c r="N7" s="438"/>
      <c r="O7" s="438"/>
      <c r="P7" s="434"/>
      <c r="Q7" s="434"/>
      <c r="R7" s="434"/>
      <c r="S7" s="434"/>
      <c r="T7" s="441"/>
      <c r="U7" s="436"/>
      <c r="V7" s="436"/>
      <c r="W7" s="243"/>
      <c r="X7" s="240"/>
      <c r="Y7" s="429"/>
      <c r="Z7" s="417"/>
      <c r="AA7"/>
      <c r="AB7"/>
      <c r="AC7" s="1003"/>
      <c r="AD7"/>
      <c r="AE7"/>
      <c r="AF7" s="417"/>
      <c r="AG7" s="417"/>
      <c r="AH7" s="417"/>
      <c r="AI7" s="417"/>
      <c r="AJ7" s="417"/>
      <c r="AK7" s="417"/>
      <c r="AL7" s="417"/>
      <c r="AM7" s="417"/>
      <c r="AN7" s="417"/>
      <c r="AO7" s="417"/>
      <c r="AP7" s="422"/>
      <c r="AQ7" s="422"/>
    </row>
    <row r="8" spans="1:43" x14ac:dyDescent="0.25">
      <c r="A8" s="445"/>
      <c r="B8" s="446"/>
      <c r="C8" s="446"/>
      <c r="D8" s="443"/>
      <c r="E8" s="433"/>
      <c r="F8" s="447"/>
      <c r="G8" s="448"/>
      <c r="H8" s="440"/>
      <c r="I8" s="247"/>
      <c r="J8" s="437"/>
      <c r="K8" s="438"/>
      <c r="L8" s="438"/>
      <c r="M8" s="434"/>
      <c r="N8" s="434"/>
      <c r="O8" s="438"/>
      <c r="P8" s="434"/>
      <c r="Q8" s="434"/>
      <c r="R8" s="435"/>
      <c r="S8" s="435"/>
      <c r="T8" s="435"/>
      <c r="U8" s="436"/>
      <c r="V8" s="436"/>
      <c r="W8" s="243"/>
      <c r="X8" s="240"/>
      <c r="Y8" s="429"/>
      <c r="Z8" s="417"/>
      <c r="AA8"/>
      <c r="AB8"/>
      <c r="AC8"/>
      <c r="AD8" s="1003"/>
      <c r="AE8"/>
      <c r="AF8" s="417"/>
      <c r="AG8" s="449" t="s">
        <v>354</v>
      </c>
      <c r="AH8" s="450" t="s">
        <v>355</v>
      </c>
      <c r="AI8" s="450" t="s">
        <v>356</v>
      </c>
      <c r="AJ8" s="450" t="s">
        <v>357</v>
      </c>
      <c r="AK8" s="450" t="s">
        <v>358</v>
      </c>
      <c r="AL8" s="450" t="s">
        <v>359</v>
      </c>
      <c r="AM8" s="450" t="s">
        <v>360</v>
      </c>
      <c r="AN8" s="451" t="s">
        <v>361</v>
      </c>
      <c r="AO8" s="450" t="s">
        <v>362</v>
      </c>
      <c r="AP8" s="452" t="s">
        <v>363</v>
      </c>
      <c r="AQ8" s="422"/>
    </row>
    <row r="9" spans="1:43" ht="14.4" thickBot="1" x14ac:dyDescent="0.3">
      <c r="A9" s="431" t="s">
        <v>270</v>
      </c>
      <c r="B9" s="1550">
        <f>'Allgemeine Angaben'!L4</f>
        <v>0</v>
      </c>
      <c r="C9" s="443"/>
      <c r="D9" s="443"/>
      <c r="E9" s="433"/>
      <c r="F9" s="241" t="s">
        <v>270</v>
      </c>
      <c r="G9" s="1549">
        <f>B9</f>
        <v>0</v>
      </c>
      <c r="H9" s="247"/>
      <c r="I9" s="247"/>
      <c r="J9" s="437"/>
      <c r="K9" s="434"/>
      <c r="L9" s="434"/>
      <c r="M9" s="434"/>
      <c r="N9" s="434"/>
      <c r="O9" s="434"/>
      <c r="P9" s="434"/>
      <c r="Q9" s="434"/>
      <c r="R9" s="434"/>
      <c r="S9" s="434"/>
      <c r="T9" s="453"/>
      <c r="U9" s="436"/>
      <c r="V9" s="436"/>
      <c r="W9" s="243"/>
      <c r="X9" s="240"/>
      <c r="Y9" s="429"/>
      <c r="Z9" s="417"/>
      <c r="AA9"/>
      <c r="AB9"/>
      <c r="AC9"/>
      <c r="AD9" s="1003"/>
      <c r="AE9"/>
      <c r="AF9" s="417"/>
      <c r="AG9" s="454">
        <f>G290</f>
        <v>0</v>
      </c>
      <c r="AH9" s="455">
        <f>H290</f>
        <v>0</v>
      </c>
      <c r="AI9" s="455">
        <f>J290</f>
        <v>0</v>
      </c>
      <c r="AJ9" s="456">
        <f>G296</f>
        <v>0</v>
      </c>
      <c r="AK9" s="457">
        <f>G292</f>
        <v>0</v>
      </c>
      <c r="AL9" s="457">
        <f>H292</f>
        <v>0</v>
      </c>
      <c r="AM9" s="457">
        <f>J292</f>
        <v>0</v>
      </c>
      <c r="AN9" s="458">
        <f>G298</f>
        <v>0</v>
      </c>
      <c r="AO9" s="459">
        <f>H298</f>
        <v>0</v>
      </c>
      <c r="AP9" s="460">
        <f>J298</f>
        <v>0</v>
      </c>
      <c r="AQ9" s="422"/>
    </row>
    <row r="10" spans="1:43" ht="14.4" thickBot="1" x14ac:dyDescent="0.3">
      <c r="A10" s="461"/>
      <c r="B10" s="462"/>
      <c r="C10" s="462"/>
      <c r="D10" s="462"/>
      <c r="E10" s="463"/>
      <c r="F10" s="322"/>
      <c r="G10" s="323"/>
      <c r="H10" s="464"/>
      <c r="I10" s="465"/>
      <c r="J10" s="466"/>
      <c r="K10" s="466"/>
      <c r="L10" s="466"/>
      <c r="M10" s="466"/>
      <c r="N10" s="466"/>
      <c r="O10" s="466"/>
      <c r="P10" s="466"/>
      <c r="Q10" s="466"/>
      <c r="R10" s="466"/>
      <c r="S10" s="466"/>
      <c r="T10" s="323"/>
      <c r="U10" s="467"/>
      <c r="V10" s="253"/>
      <c r="W10" s="253"/>
      <c r="X10" s="253"/>
      <c r="Y10" s="468"/>
      <c r="Z10" s="417"/>
      <c r="AA10" s="417"/>
      <c r="AB10" s="417"/>
      <c r="AC10" s="417"/>
      <c r="AD10" s="417"/>
      <c r="AE10" s="417"/>
      <c r="AF10" s="417"/>
      <c r="AG10" s="417"/>
      <c r="AH10" s="417"/>
      <c r="AI10" s="417"/>
      <c r="AJ10" s="417"/>
      <c r="AK10" s="417"/>
      <c r="AL10" s="417"/>
      <c r="AM10" s="417"/>
      <c r="AN10" s="417"/>
      <c r="AO10" s="417"/>
      <c r="AP10" s="422"/>
      <c r="AQ10" s="422"/>
    </row>
    <row r="11" spans="1:43" ht="14.4" thickBot="1" x14ac:dyDescent="0.3">
      <c r="A11" s="1738" t="s">
        <v>504</v>
      </c>
      <c r="B11" s="1739"/>
      <c r="C11" s="1739"/>
      <c r="D11" s="1739"/>
      <c r="E11" s="1740"/>
      <c r="F11" s="1741" t="s">
        <v>505</v>
      </c>
      <c r="G11" s="1742"/>
      <c r="H11" s="1743"/>
      <c r="I11" s="1743"/>
      <c r="J11" s="1743"/>
      <c r="K11" s="1743"/>
      <c r="L11" s="1743"/>
      <c r="M11" s="1743"/>
      <c r="N11" s="1743"/>
      <c r="O11" s="1743"/>
      <c r="P11" s="1743"/>
      <c r="Q11" s="1743"/>
      <c r="R11" s="1743"/>
      <c r="S11" s="1743"/>
      <c r="T11" s="1743"/>
      <c r="U11" s="1743"/>
      <c r="V11" s="1743"/>
      <c r="W11" s="1743"/>
      <c r="X11" s="1743"/>
      <c r="Y11" s="1744"/>
      <c r="Z11" s="469"/>
      <c r="AA11" s="806"/>
      <c r="AB11" s="807"/>
      <c r="AC11" s="807"/>
      <c r="AD11" s="807"/>
      <c r="AE11" s="807"/>
      <c r="AF11" s="807"/>
      <c r="AG11" s="807"/>
      <c r="AH11" s="1707"/>
      <c r="AI11" s="1708"/>
      <c r="AJ11" s="808"/>
      <c r="AK11" s="806"/>
      <c r="AL11" s="807"/>
      <c r="AM11" s="807"/>
      <c r="AN11" s="807"/>
      <c r="AO11" s="807"/>
      <c r="AP11" s="809"/>
      <c r="AQ11" s="809"/>
    </row>
    <row r="12" spans="1:43" x14ac:dyDescent="0.25">
      <c r="A12" s="470"/>
      <c r="B12" s="471"/>
      <c r="C12" s="471"/>
      <c r="D12" s="471"/>
      <c r="E12" s="472"/>
      <c r="F12" s="288"/>
      <c r="G12" s="238"/>
      <c r="H12" s="238"/>
      <c r="I12" s="272"/>
      <c r="J12" s="272" t="s">
        <v>280</v>
      </c>
      <c r="K12" s="238"/>
      <c r="L12" s="238"/>
      <c r="M12" s="473"/>
      <c r="N12" s="474"/>
      <c r="O12" s="238"/>
      <c r="P12" s="238"/>
      <c r="Q12" s="238"/>
      <c r="R12" s="238"/>
      <c r="S12" s="238"/>
      <c r="T12" s="238"/>
      <c r="U12" s="238"/>
      <c r="V12" s="238"/>
      <c r="W12" s="238"/>
      <c r="X12" s="238"/>
      <c r="Y12" s="475"/>
      <c r="Z12" s="417"/>
      <c r="AB12" s="144"/>
      <c r="AC12" s="144"/>
      <c r="AD12" s="144"/>
      <c r="AE12" s="144"/>
      <c r="AF12" s="144"/>
      <c r="AG12" s="144"/>
      <c r="AH12" s="1707"/>
      <c r="AI12" s="1709"/>
      <c r="AL12" s="144"/>
      <c r="AM12" s="144"/>
      <c r="AN12" s="144"/>
      <c r="AO12" s="144"/>
      <c r="AP12" s="810"/>
      <c r="AQ12" s="810"/>
    </row>
    <row r="13" spans="1:43" x14ac:dyDescent="0.25">
      <c r="A13" s="476"/>
      <c r="B13" s="477"/>
      <c r="C13" s="477"/>
      <c r="D13" s="477"/>
      <c r="E13" s="478"/>
      <c r="F13" s="239"/>
      <c r="G13" s="240"/>
      <c r="H13" s="243"/>
      <c r="I13" s="243"/>
      <c r="J13" s="243" t="s">
        <v>295</v>
      </c>
      <c r="K13" s="242"/>
      <c r="L13" s="242"/>
      <c r="M13" s="1719"/>
      <c r="N13" s="1720"/>
      <c r="O13" s="1721"/>
      <c r="P13" s="479"/>
      <c r="Q13" s="479"/>
      <c r="R13" s="258"/>
      <c r="S13" s="258"/>
      <c r="T13" s="240"/>
      <c r="U13" s="240"/>
      <c r="V13" s="240"/>
      <c r="W13" s="240"/>
      <c r="X13" s="240"/>
      <c r="Y13" s="429"/>
      <c r="Z13" s="417"/>
      <c r="AB13" s="811"/>
      <c r="AC13" s="811"/>
      <c r="AD13" s="811"/>
      <c r="AE13" s="811"/>
      <c r="AF13" s="811"/>
      <c r="AG13" s="812"/>
      <c r="AH13" s="133"/>
      <c r="AI13"/>
      <c r="AL13" s="811"/>
      <c r="AM13" s="811"/>
      <c r="AN13" s="811"/>
      <c r="AO13" s="811"/>
      <c r="AQ13" s="813"/>
    </row>
    <row r="14" spans="1:43" x14ac:dyDescent="0.25">
      <c r="A14" s="480" t="s">
        <v>364</v>
      </c>
      <c r="B14" s="477"/>
      <c r="C14" s="477"/>
      <c r="D14" s="477"/>
      <c r="E14" s="478"/>
      <c r="F14" s="239"/>
      <c r="G14" s="240"/>
      <c r="H14" s="287"/>
      <c r="I14" s="287"/>
      <c r="J14" s="287" t="s">
        <v>281</v>
      </c>
      <c r="K14" s="242"/>
      <c r="L14" s="242"/>
      <c r="M14" s="1722"/>
      <c r="N14" s="1723"/>
      <c r="O14" s="1723"/>
      <c r="P14" s="1723"/>
      <c r="Q14" s="1724"/>
      <c r="R14" s="481" t="str">
        <f>IF(AND(M13="Tarif/AVR maßgebend",M12="nein"),"Festlegungen zur Anlehnung an den Tarifvertrag / Musterarbeitsverträge beifügen.",IF(M12="ja","Tarifvertrag inkl. Tabellenentgelte beifügen.",""))</f>
        <v/>
      </c>
      <c r="S14" s="240"/>
      <c r="T14" s="240"/>
      <c r="U14" s="240"/>
      <c r="V14" s="240"/>
      <c r="W14" s="240"/>
      <c r="X14" s="240"/>
      <c r="Y14" s="429"/>
      <c r="Z14" s="417"/>
      <c r="AA14" s="76"/>
      <c r="AB14" s="814"/>
      <c r="AC14" s="814"/>
      <c r="AD14" s="814"/>
      <c r="AE14" s="814"/>
      <c r="AF14" s="814"/>
      <c r="AG14" s="815"/>
      <c r="AH14" s="133"/>
      <c r="AI14" s="816"/>
      <c r="AK14" s="76"/>
      <c r="AL14" s="814"/>
      <c r="AM14" s="814"/>
      <c r="AN14" s="814"/>
      <c r="AO14" s="814"/>
      <c r="AP14" s="817"/>
      <c r="AQ14" s="818"/>
    </row>
    <row r="15" spans="1:43" ht="14.4" thickBot="1" x14ac:dyDescent="0.3">
      <c r="A15" s="476"/>
      <c r="B15" s="477"/>
      <c r="C15" s="477"/>
      <c r="D15" s="477"/>
      <c r="E15" s="478"/>
      <c r="F15" s="482"/>
      <c r="G15" s="428"/>
      <c r="H15" s="243"/>
      <c r="I15" s="243"/>
      <c r="J15" s="243" t="s">
        <v>244</v>
      </c>
      <c r="K15" s="245"/>
      <c r="L15" s="245"/>
      <c r="M15" s="483"/>
      <c r="N15" s="428"/>
      <c r="O15" s="484" t="str">
        <f>IF(AND(M13="Tarif/AVR maßgebend",M12="nein"),"Festlungen zur Tarifanlehnung:",IF(M12="ja","Anlagen zum Tarif/AVR:",""))</f>
        <v/>
      </c>
      <c r="P15" s="485"/>
      <c r="Q15" s="486"/>
      <c r="R15" s="487"/>
      <c r="S15" s="487"/>
      <c r="T15" s="488"/>
      <c r="U15" s="489"/>
      <c r="V15" s="489"/>
      <c r="W15" s="490"/>
      <c r="X15" s="491"/>
      <c r="Y15" s="492"/>
      <c r="Z15" s="493"/>
      <c r="AB15" s="715"/>
      <c r="AC15" s="715"/>
      <c r="AD15" s="715"/>
      <c r="AE15" s="715"/>
      <c r="AF15" s="715"/>
      <c r="AG15" s="819"/>
      <c r="AH15" s="715"/>
      <c r="AI15" s="820"/>
      <c r="AJ15" s="821"/>
      <c r="AL15" s="715"/>
      <c r="AM15" s="715"/>
      <c r="AN15" s="715"/>
      <c r="AO15" s="715"/>
      <c r="AQ15" s="819"/>
    </row>
    <row r="16" spans="1:43" ht="16.5" customHeight="1" thickBot="1" x14ac:dyDescent="0.35">
      <c r="A16" s="889"/>
      <c r="B16" s="1462" t="s">
        <v>132</v>
      </c>
      <c r="C16" s="1035"/>
      <c r="D16" s="477"/>
      <c r="E16" s="478"/>
      <c r="F16" s="241"/>
      <c r="G16" s="243"/>
      <c r="H16" s="243"/>
      <c r="I16" s="244"/>
      <c r="J16" s="245"/>
      <c r="K16" s="245"/>
      <c r="L16" s="245"/>
      <c r="M16" s="244"/>
      <c r="N16" s="244"/>
      <c r="O16" s="245"/>
      <c r="P16" s="244"/>
      <c r="Q16" s="244"/>
      <c r="R16" s="244"/>
      <c r="S16" s="245"/>
      <c r="T16" s="246"/>
      <c r="U16" s="247"/>
      <c r="V16" s="247"/>
      <c r="W16" s="248"/>
      <c r="X16" s="428"/>
      <c r="Y16" s="429"/>
      <c r="Z16" s="417"/>
      <c r="AA16" s="822"/>
      <c r="AB16" s="814"/>
      <c r="AC16" s="814"/>
      <c r="AD16" s="814"/>
      <c r="AE16" s="814"/>
      <c r="AF16" s="814"/>
      <c r="AG16" s="823"/>
      <c r="AI16" s="715"/>
      <c r="AK16" s="822"/>
      <c r="AL16" s="814"/>
      <c r="AM16" s="814"/>
      <c r="AN16" s="814"/>
      <c r="AO16" s="814"/>
      <c r="AP16" s="817"/>
      <c r="AQ16" s="824"/>
    </row>
    <row r="17" spans="1:47" ht="14.4" thickBot="1" x14ac:dyDescent="0.3">
      <c r="A17" s="476"/>
      <c r="B17" s="1462"/>
      <c r="C17" s="477"/>
      <c r="D17" s="477"/>
      <c r="E17" s="478"/>
      <c r="F17" s="241"/>
      <c r="G17" s="243"/>
      <c r="H17" s="243"/>
      <c r="I17" s="243"/>
      <c r="J17" s="243"/>
      <c r="K17" s="243" t="s">
        <v>245</v>
      </c>
      <c r="L17" s="243"/>
      <c r="M17" s="243"/>
      <c r="N17" s="243"/>
      <c r="O17" s="243"/>
      <c r="P17" s="314"/>
      <c r="Q17" s="243" t="s">
        <v>246</v>
      </c>
      <c r="R17" s="495"/>
      <c r="S17" s="243"/>
      <c r="T17" s="249" t="s">
        <v>247</v>
      </c>
      <c r="U17" s="250"/>
      <c r="V17" s="250"/>
      <c r="W17" s="250"/>
      <c r="X17" s="250"/>
      <c r="Y17" s="496"/>
      <c r="Z17" s="417"/>
      <c r="AB17" s="715"/>
      <c r="AC17" s="715"/>
      <c r="AD17" s="715"/>
      <c r="AE17" s="715"/>
      <c r="AF17" s="715"/>
      <c r="AG17" s="19"/>
      <c r="AH17" s="715"/>
      <c r="AI17" s="825"/>
      <c r="AM17" s="715"/>
      <c r="AN17" s="715"/>
      <c r="AO17" s="715"/>
      <c r="AQ17" s="819"/>
    </row>
    <row r="18" spans="1:47" ht="14.4" thickBot="1" x14ac:dyDescent="0.3">
      <c r="A18" s="476"/>
      <c r="B18" s="1462" t="s">
        <v>133</v>
      </c>
      <c r="C18" s="1035"/>
      <c r="D18" s="477"/>
      <c r="E18" s="478"/>
      <c r="F18" s="289"/>
      <c r="G18" s="330"/>
      <c r="H18" s="243"/>
      <c r="I18" s="243"/>
      <c r="J18" s="243"/>
      <c r="K18" s="243" t="s">
        <v>248</v>
      </c>
      <c r="L18" s="243"/>
      <c r="M18" s="243"/>
      <c r="N18" s="243"/>
      <c r="O18" s="243"/>
      <c r="P18" s="314"/>
      <c r="Q18" s="243" t="s">
        <v>246</v>
      </c>
      <c r="R18" s="495"/>
      <c r="S18" s="243"/>
      <c r="T18" s="251" t="s">
        <v>249</v>
      </c>
      <c r="U18" s="497"/>
      <c r="V18" s="497"/>
      <c r="W18" s="497"/>
      <c r="X18" s="497"/>
      <c r="Y18" s="498"/>
      <c r="Z18" s="493"/>
      <c r="AA18" s="76"/>
      <c r="AB18" s="814"/>
      <c r="AC18" s="814"/>
      <c r="AD18" s="826"/>
      <c r="AE18" s="814"/>
      <c r="AF18" s="814"/>
      <c r="AI18" s="819"/>
      <c r="AJ18" s="821"/>
      <c r="AK18" s="76"/>
      <c r="AL18" s="814"/>
      <c r="AM18" s="814"/>
      <c r="AN18" s="826"/>
      <c r="AO18" s="814"/>
      <c r="AP18" s="817"/>
    </row>
    <row r="19" spans="1:47" ht="14.4" thickBot="1" x14ac:dyDescent="0.3">
      <c r="A19" s="476"/>
      <c r="B19" s="477"/>
      <c r="C19" s="477"/>
      <c r="D19" s="477"/>
      <c r="E19" s="478"/>
      <c r="F19" s="241"/>
      <c r="G19" s="243"/>
      <c r="H19" s="243"/>
      <c r="I19" s="243"/>
      <c r="J19" s="243"/>
      <c r="K19" s="243"/>
      <c r="L19" s="243"/>
      <c r="M19" s="243"/>
      <c r="N19" s="243"/>
      <c r="O19" s="243"/>
      <c r="P19" s="243"/>
      <c r="Q19" s="243"/>
      <c r="R19" s="243"/>
      <c r="S19" s="243"/>
      <c r="T19" s="252" t="s">
        <v>250</v>
      </c>
      <c r="U19" s="499"/>
      <c r="V19" s="499"/>
      <c r="W19" s="499"/>
      <c r="X19" s="499"/>
      <c r="Y19" s="500"/>
      <c r="Z19" s="501"/>
      <c r="AB19" s="715"/>
      <c r="AC19" s="715"/>
      <c r="AD19" s="715"/>
      <c r="AE19" s="715"/>
      <c r="AF19" s="715"/>
      <c r="AG19" s="19"/>
      <c r="AH19" s="715"/>
      <c r="AI19" s="827"/>
      <c r="AJ19" s="828"/>
      <c r="AM19" s="715"/>
      <c r="AN19" s="715"/>
      <c r="AO19" s="715"/>
      <c r="AQ19" s="819"/>
    </row>
    <row r="20" spans="1:47" ht="14.4" thickBot="1" x14ac:dyDescent="0.3">
      <c r="A20" s="1678" t="s">
        <v>444</v>
      </c>
      <c r="B20" s="1679"/>
      <c r="C20" s="1463"/>
      <c r="D20" s="502"/>
      <c r="E20" s="503"/>
      <c r="F20" s="504" t="s">
        <v>365</v>
      </c>
      <c r="G20" s="302"/>
      <c r="H20" s="505"/>
      <c r="I20" s="506"/>
      <c r="J20" s="253"/>
      <c r="K20" s="505" t="s">
        <v>366</v>
      </c>
      <c r="L20" s="505"/>
      <c r="M20" s="253"/>
      <c r="N20" s="253"/>
      <c r="O20" s="253"/>
      <c r="P20" s="507"/>
      <c r="Q20" s="323" t="s">
        <v>246</v>
      </c>
      <c r="R20" s="508"/>
      <c r="S20" s="323"/>
      <c r="T20" s="253"/>
      <c r="U20" s="253"/>
      <c r="V20" s="253"/>
      <c r="W20" s="253"/>
      <c r="X20" s="253"/>
      <c r="Y20" s="468"/>
      <c r="Z20" s="417"/>
      <c r="AB20" s="715"/>
      <c r="AC20" s="715"/>
      <c r="AD20" s="715"/>
      <c r="AE20" s="715"/>
      <c r="AF20" s="715"/>
      <c r="AG20" s="715"/>
      <c r="AH20" s="715"/>
      <c r="AI20" s="819"/>
    </row>
    <row r="21" spans="1:47" ht="14.4" thickBot="1" x14ac:dyDescent="0.3">
      <c r="A21" s="1725" t="s">
        <v>367</v>
      </c>
      <c r="B21" s="1725"/>
      <c r="C21" s="1725"/>
      <c r="D21" s="1725"/>
      <c r="E21" s="1726"/>
      <c r="F21" s="1727"/>
      <c r="G21" s="1728"/>
      <c r="H21" s="1729"/>
      <c r="I21" s="1729"/>
      <c r="J21" s="1729"/>
      <c r="K21" s="1729"/>
      <c r="L21" s="1729"/>
      <c r="M21" s="1729"/>
      <c r="N21" s="1729"/>
      <c r="O21" s="1729"/>
      <c r="P21" s="1729"/>
      <c r="Q21" s="1729"/>
      <c r="R21" s="1729"/>
      <c r="S21" s="1729"/>
      <c r="T21" s="1729"/>
      <c r="U21" s="1729"/>
      <c r="V21" s="1729"/>
      <c r="W21" s="1729"/>
      <c r="X21" s="1729"/>
      <c r="Y21" s="1730"/>
      <c r="Z21" s="509"/>
      <c r="AB21" s="829"/>
      <c r="AC21" s="829"/>
      <c r="AD21" s="829"/>
      <c r="AE21" s="829"/>
      <c r="AF21" s="829"/>
      <c r="AG21" s="715"/>
      <c r="AH21" s="830"/>
      <c r="AI21" s="830"/>
      <c r="AJ21" s="831"/>
    </row>
    <row r="22" spans="1:47" s="378" customFormat="1" ht="45.75" customHeight="1" x14ac:dyDescent="0.25">
      <c r="A22" s="1731" t="s">
        <v>368</v>
      </c>
      <c r="B22" s="1731" t="s">
        <v>369</v>
      </c>
      <c r="C22" s="1731" t="s">
        <v>370</v>
      </c>
      <c r="D22" s="1731" t="s">
        <v>371</v>
      </c>
      <c r="E22" s="1731" t="s">
        <v>372</v>
      </c>
      <c r="F22" s="1694" t="s">
        <v>368</v>
      </c>
      <c r="G22" s="1745" t="s">
        <v>373</v>
      </c>
      <c r="H22" s="1698" t="s">
        <v>374</v>
      </c>
      <c r="I22" s="1698" t="s">
        <v>375</v>
      </c>
      <c r="J22" s="1698" t="s">
        <v>251</v>
      </c>
      <c r="K22" s="1765" t="s">
        <v>376</v>
      </c>
      <c r="L22" s="1766"/>
      <c r="M22" s="1755" t="s">
        <v>279</v>
      </c>
      <c r="N22" s="1756"/>
      <c r="O22" s="1756"/>
      <c r="P22" s="1756"/>
      <c r="Q22" s="1756"/>
      <c r="R22" s="1756"/>
      <c r="S22" s="1756"/>
      <c r="T22" s="1763" t="s">
        <v>377</v>
      </c>
      <c r="U22" s="1764"/>
      <c r="V22" s="1748" t="s">
        <v>378</v>
      </c>
      <c r="W22" s="1749"/>
      <c r="X22" s="1698" t="s">
        <v>379</v>
      </c>
      <c r="Y22" s="1750" t="s">
        <v>380</v>
      </c>
    </row>
    <row r="23" spans="1:47" ht="48.75" customHeight="1" x14ac:dyDescent="0.4">
      <c r="A23" s="1732"/>
      <c r="B23" s="1732"/>
      <c r="C23" s="1732"/>
      <c r="D23" s="1732"/>
      <c r="E23" s="1732"/>
      <c r="F23" s="1695"/>
      <c r="G23" s="1746"/>
      <c r="H23" s="1699"/>
      <c r="I23" s="1699"/>
      <c r="J23" s="1699"/>
      <c r="K23" s="1692" t="s">
        <v>381</v>
      </c>
      <c r="L23" s="1693"/>
      <c r="M23" s="1761" t="s">
        <v>252</v>
      </c>
      <c r="N23" s="1701" t="s">
        <v>298</v>
      </c>
      <c r="O23" s="1701" t="s">
        <v>276</v>
      </c>
      <c r="P23" s="510" t="s">
        <v>382</v>
      </c>
      <c r="Q23" s="511" t="s">
        <v>383</v>
      </c>
      <c r="R23" s="1703" t="s">
        <v>384</v>
      </c>
      <c r="S23" s="1704"/>
      <c r="T23" s="1753" t="s">
        <v>253</v>
      </c>
      <c r="U23" s="1757" t="s">
        <v>254</v>
      </c>
      <c r="V23" s="1759" t="s">
        <v>385</v>
      </c>
      <c r="W23" s="1760"/>
      <c r="X23" s="1699"/>
      <c r="Y23" s="1751"/>
      <c r="Z23" s="512"/>
      <c r="AA23" s="1734" t="s">
        <v>273</v>
      </c>
      <c r="AB23" s="1735"/>
      <c r="AC23" s="1735"/>
      <c r="AD23" s="1735"/>
      <c r="AE23" s="1736"/>
      <c r="AF23" s="1691" t="s">
        <v>274</v>
      </c>
      <c r="AG23" s="1691"/>
      <c r="AH23" s="1691"/>
      <c r="AI23" s="1691"/>
      <c r="AJ23" s="1691"/>
      <c r="AK23" s="1697" t="s">
        <v>275</v>
      </c>
      <c r="AL23" s="1697"/>
      <c r="AM23" s="1697"/>
      <c r="AN23" s="1697"/>
      <c r="AO23" s="1697"/>
      <c r="AP23" s="1690" t="s">
        <v>498</v>
      </c>
      <c r="AQ23" s="1690"/>
      <c r="AR23" s="1690"/>
      <c r="AS23" s="1689" t="s">
        <v>497</v>
      </c>
      <c r="AT23" s="1689"/>
      <c r="AU23" s="1689"/>
    </row>
    <row r="24" spans="1:47" ht="47.4" thickBot="1" x14ac:dyDescent="0.35">
      <c r="A24" s="1733"/>
      <c r="B24" s="1733"/>
      <c r="C24" s="1733"/>
      <c r="D24" s="1733"/>
      <c r="E24" s="1733"/>
      <c r="F24" s="1696"/>
      <c r="G24" s="1747"/>
      <c r="H24" s="1700"/>
      <c r="I24" s="1700"/>
      <c r="J24" s="1700"/>
      <c r="K24" s="513" t="s">
        <v>887</v>
      </c>
      <c r="L24" s="514" t="s">
        <v>386</v>
      </c>
      <c r="M24" s="1762"/>
      <c r="N24" s="1702"/>
      <c r="O24" s="1702"/>
      <c r="P24" s="515" t="s">
        <v>387</v>
      </c>
      <c r="Q24" s="515" t="s">
        <v>387</v>
      </c>
      <c r="R24" s="516" t="s">
        <v>277</v>
      </c>
      <c r="S24" s="516" t="s">
        <v>388</v>
      </c>
      <c r="T24" s="1754"/>
      <c r="U24" s="1758"/>
      <c r="V24" s="517" t="s">
        <v>277</v>
      </c>
      <c r="W24" s="518" t="s">
        <v>278</v>
      </c>
      <c r="X24" s="1700"/>
      <c r="Y24" s="1752"/>
      <c r="Z24" s="519"/>
      <c r="AA24" s="520" t="s">
        <v>297</v>
      </c>
      <c r="AB24" s="521" t="s">
        <v>283</v>
      </c>
      <c r="AC24" s="520" t="s">
        <v>389</v>
      </c>
      <c r="AD24" s="520" t="s">
        <v>390</v>
      </c>
      <c r="AE24" s="520" t="s">
        <v>391</v>
      </c>
      <c r="AF24" s="522" t="s">
        <v>392</v>
      </c>
      <c r="AG24" s="522" t="s">
        <v>283</v>
      </c>
      <c r="AH24" s="523" t="s">
        <v>389</v>
      </c>
      <c r="AI24" s="523" t="s">
        <v>393</v>
      </c>
      <c r="AJ24" s="523" t="s">
        <v>391</v>
      </c>
      <c r="AK24" s="524" t="s">
        <v>392</v>
      </c>
      <c r="AL24" s="524" t="s">
        <v>283</v>
      </c>
      <c r="AM24" s="525" t="s">
        <v>389</v>
      </c>
      <c r="AN24" s="525" t="s">
        <v>393</v>
      </c>
      <c r="AO24" s="525" t="s">
        <v>391</v>
      </c>
      <c r="AP24" s="526" t="s">
        <v>273</v>
      </c>
      <c r="AQ24" s="527" t="s">
        <v>274</v>
      </c>
      <c r="AR24" s="1018" t="s">
        <v>275</v>
      </c>
      <c r="AS24" s="526" t="s">
        <v>273</v>
      </c>
      <c r="AT24" s="527" t="s">
        <v>274</v>
      </c>
      <c r="AU24" s="1018" t="s">
        <v>275</v>
      </c>
    </row>
    <row r="25" spans="1:47" ht="15.6" x14ac:dyDescent="0.3">
      <c r="A25" s="528"/>
      <c r="B25" s="528"/>
      <c r="C25" s="528"/>
      <c r="D25" s="528"/>
      <c r="E25" s="528"/>
      <c r="F25" s="529"/>
      <c r="G25" s="331"/>
      <c r="H25" s="331"/>
      <c r="I25" s="331"/>
      <c r="J25" s="331"/>
      <c r="K25" s="331"/>
      <c r="L25" s="331"/>
      <c r="M25" s="530"/>
      <c r="N25" s="530"/>
      <c r="O25" s="531"/>
      <c r="P25" s="530"/>
      <c r="Q25" s="532"/>
      <c r="R25" s="530"/>
      <c r="S25" s="530"/>
      <c r="T25" s="530"/>
      <c r="U25" s="530"/>
      <c r="V25" s="530"/>
      <c r="W25" s="530"/>
      <c r="X25" s="331"/>
      <c r="Y25" s="533"/>
      <c r="Z25" s="534"/>
      <c r="AA25" s="535"/>
      <c r="AB25" s="535"/>
      <c r="AC25" s="535"/>
      <c r="AD25" s="535"/>
      <c r="AE25" s="535"/>
      <c r="AF25" s="534"/>
      <c r="AG25" s="534"/>
      <c r="AH25" s="536"/>
      <c r="AI25" s="536"/>
      <c r="AJ25" s="536"/>
      <c r="AK25" s="534"/>
      <c r="AL25" s="534"/>
      <c r="AM25" s="536"/>
      <c r="AN25" s="536"/>
      <c r="AO25" s="536"/>
      <c r="AP25" s="537"/>
      <c r="AQ25" s="537"/>
    </row>
    <row r="26" spans="1:47" ht="16.2" thickBot="1" x14ac:dyDescent="0.35">
      <c r="A26" s="334" t="s">
        <v>415</v>
      </c>
      <c r="B26" s="539"/>
      <c r="C26" s="539"/>
      <c r="D26" s="539"/>
      <c r="E26" s="540"/>
      <c r="F26" s="538" t="s">
        <v>415</v>
      </c>
      <c r="G26" s="541"/>
      <c r="H26" s="541"/>
      <c r="I26" s="541"/>
      <c r="J26" s="541"/>
      <c r="K26" s="541"/>
      <c r="L26" s="541"/>
      <c r="M26" s="542"/>
      <c r="N26" s="542"/>
      <c r="O26" s="543"/>
      <c r="P26" s="542"/>
      <c r="Q26" s="544"/>
      <c r="R26" s="542"/>
      <c r="S26" s="542"/>
      <c r="T26" s="542"/>
      <c r="U26" s="542"/>
      <c r="V26" s="542"/>
      <c r="W26" s="542"/>
      <c r="X26" s="541"/>
      <c r="Y26" s="545"/>
      <c r="Z26" s="534"/>
      <c r="AA26" s="536"/>
      <c r="AB26" s="534"/>
      <c r="AC26" s="536"/>
      <c r="AD26" s="536"/>
      <c r="AE26" s="536"/>
      <c r="AF26" s="534"/>
      <c r="AG26" s="534"/>
      <c r="AH26" s="536"/>
      <c r="AI26" s="536"/>
      <c r="AJ26" s="536"/>
      <c r="AK26" s="534"/>
      <c r="AL26" s="534"/>
      <c r="AM26" s="536"/>
      <c r="AN26" s="536"/>
      <c r="AO26" s="536"/>
      <c r="AP26" s="537"/>
      <c r="AQ26" s="537"/>
    </row>
    <row r="27" spans="1:47" x14ac:dyDescent="0.25">
      <c r="A27" s="546"/>
      <c r="B27" s="547"/>
      <c r="C27" s="548"/>
      <c r="D27" s="548"/>
      <c r="E27" s="549">
        <f t="shared" ref="E27:E32" si="0">IFERROR(D27/B27,0)</f>
        <v>0</v>
      </c>
      <c r="F27" s="550"/>
      <c r="G27" s="551"/>
      <c r="H27" s="552"/>
      <c r="I27" s="551"/>
      <c r="J27" s="551"/>
      <c r="K27" s="553"/>
      <c r="L27" s="554">
        <f t="shared" ref="L27:L32" si="1">IFERROR(IF($K$24="VK",K27,K27/H27),0)</f>
        <v>0</v>
      </c>
      <c r="M27" s="555">
        <f t="shared" ref="M27:M32" si="2">IFERROR(L27*H27,"")</f>
        <v>0</v>
      </c>
      <c r="N27" s="556"/>
      <c r="O27" s="556"/>
      <c r="P27" s="556"/>
      <c r="Q27" s="556"/>
      <c r="R27" s="556"/>
      <c r="S27" s="556"/>
      <c r="T27" s="556"/>
      <c r="U27" s="556"/>
      <c r="V27" s="556"/>
      <c r="W27" s="556"/>
      <c r="X27" s="1369">
        <f>IF(AND(H27&gt;0,F27&lt;&gt;"GfB"),(SUM(M27:P27,R27,V27,Q27)*12+(T27+U27))*(100+$P$17+$P$18)%+((S27+W27)*12),IF(AND(H27&gt;0,F27="GfB"),(SUM(M27:P27,R27,V27,Q27)*12+(T27+U27))*(100+$P$20+$P$18)%+((S27+W27)*12),0))</f>
        <v>0</v>
      </c>
      <c r="Y27" s="558">
        <f t="shared" ref="Y27:Y32" si="3">IF(ISERROR(X27/H27),0,(X27/H27))</f>
        <v>0</v>
      </c>
      <c r="Z27" s="559"/>
      <c r="AA27" s="560"/>
      <c r="AB27" s="561"/>
      <c r="AC27" s="561"/>
      <c r="AD27" s="561"/>
      <c r="AE27" s="561"/>
      <c r="AF27" s="562"/>
      <c r="AG27" s="563"/>
      <c r="AH27" s="563"/>
      <c r="AI27" s="563"/>
      <c r="AJ27" s="563"/>
      <c r="AK27" s="564"/>
      <c r="AL27" s="565"/>
      <c r="AM27" s="565"/>
      <c r="AN27" s="565"/>
      <c r="AO27" s="565"/>
      <c r="AP27" s="566"/>
      <c r="AQ27" s="566"/>
      <c r="AR27" s="329"/>
      <c r="AS27" s="329"/>
      <c r="AT27" s="329"/>
      <c r="AU27" s="329"/>
    </row>
    <row r="28" spans="1:47" x14ac:dyDescent="0.25">
      <c r="A28" s="567"/>
      <c r="B28" s="568"/>
      <c r="C28" s="569"/>
      <c r="D28" s="569"/>
      <c r="E28" s="570">
        <f t="shared" si="0"/>
        <v>0</v>
      </c>
      <c r="F28" s="571"/>
      <c r="G28" s="551"/>
      <c r="H28" s="572"/>
      <c r="I28" s="573"/>
      <c r="J28" s="573"/>
      <c r="K28" s="574"/>
      <c r="L28" s="554">
        <f t="shared" si="1"/>
        <v>0</v>
      </c>
      <c r="M28" s="555">
        <f t="shared" si="2"/>
        <v>0</v>
      </c>
      <c r="N28" s="575"/>
      <c r="O28" s="575"/>
      <c r="P28" s="575"/>
      <c r="Q28" s="575"/>
      <c r="R28" s="575"/>
      <c r="S28" s="575"/>
      <c r="T28" s="575"/>
      <c r="U28" s="575"/>
      <c r="V28" s="575"/>
      <c r="W28" s="575"/>
      <c r="X28" s="557">
        <f t="shared" ref="X28:X32" si="4">IF(AND(H28&gt;0,F28&lt;&gt;"GfB"),(SUM(M28:P28,R28,V28,Q28)*12+(T28+U28))*(100+$P$17+$P$18)%+((S28+W28)*12),IF(AND(H28&gt;0,F28="GfB"),(SUM(M28:P28,R28,V28,Q28)*12+(T28+U28))*(100+$P$20+$P$18)%+((S28+W28)*12),0))</f>
        <v>0</v>
      </c>
      <c r="Y28" s="558">
        <f t="shared" si="3"/>
        <v>0</v>
      </c>
      <c r="Z28" s="559"/>
      <c r="AA28" s="576"/>
      <c r="AB28" s="577"/>
      <c r="AC28" s="577"/>
      <c r="AD28" s="577"/>
      <c r="AE28" s="577"/>
      <c r="AF28" s="578"/>
      <c r="AG28" s="579"/>
      <c r="AH28" s="579"/>
      <c r="AI28" s="579"/>
      <c r="AJ28" s="579"/>
      <c r="AK28" s="580"/>
      <c r="AL28" s="581"/>
      <c r="AM28" s="581"/>
      <c r="AN28" s="581"/>
      <c r="AO28" s="581"/>
      <c r="AP28" s="582"/>
      <c r="AQ28" s="582"/>
      <c r="AR28" s="329"/>
      <c r="AS28" s="329"/>
      <c r="AT28" s="329"/>
      <c r="AU28" s="329"/>
    </row>
    <row r="29" spans="1:47" x14ac:dyDescent="0.25">
      <c r="A29" s="567"/>
      <c r="B29" s="568"/>
      <c r="C29" s="569"/>
      <c r="D29" s="569"/>
      <c r="E29" s="570">
        <f t="shared" si="0"/>
        <v>0</v>
      </c>
      <c r="F29" s="571"/>
      <c r="G29" s="551"/>
      <c r="H29" s="572"/>
      <c r="I29" s="573"/>
      <c r="J29" s="573"/>
      <c r="K29" s="574"/>
      <c r="L29" s="554">
        <f t="shared" si="1"/>
        <v>0</v>
      </c>
      <c r="M29" s="555">
        <f t="shared" si="2"/>
        <v>0</v>
      </c>
      <c r="N29" s="575"/>
      <c r="O29" s="575"/>
      <c r="P29" s="575"/>
      <c r="Q29" s="575"/>
      <c r="R29" s="575"/>
      <c r="S29" s="575"/>
      <c r="T29" s="575"/>
      <c r="U29" s="575"/>
      <c r="V29" s="575"/>
      <c r="W29" s="575"/>
      <c r="X29" s="557">
        <f t="shared" si="4"/>
        <v>0</v>
      </c>
      <c r="Y29" s="558">
        <f t="shared" si="3"/>
        <v>0</v>
      </c>
      <c r="Z29" s="559"/>
      <c r="AA29" s="576"/>
      <c r="AB29" s="577"/>
      <c r="AC29" s="577"/>
      <c r="AD29" s="577"/>
      <c r="AE29" s="577"/>
      <c r="AF29" s="578"/>
      <c r="AG29" s="579"/>
      <c r="AH29" s="579"/>
      <c r="AI29" s="579"/>
      <c r="AJ29" s="579"/>
      <c r="AK29" s="580"/>
      <c r="AL29" s="581"/>
      <c r="AM29" s="581"/>
      <c r="AN29" s="581"/>
      <c r="AO29" s="581"/>
      <c r="AP29" s="582"/>
      <c r="AQ29" s="582"/>
      <c r="AR29" s="329"/>
      <c r="AS29" s="329"/>
      <c r="AT29" s="329"/>
      <c r="AU29" s="329"/>
    </row>
    <row r="30" spans="1:47" x14ac:dyDescent="0.25">
      <c r="A30" s="567"/>
      <c r="B30" s="568"/>
      <c r="C30" s="569"/>
      <c r="D30" s="569"/>
      <c r="E30" s="570">
        <f t="shared" si="0"/>
        <v>0</v>
      </c>
      <c r="F30" s="571"/>
      <c r="G30" s="551"/>
      <c r="H30" s="572"/>
      <c r="I30" s="573"/>
      <c r="J30" s="573"/>
      <c r="K30" s="574"/>
      <c r="L30" s="554">
        <f t="shared" si="1"/>
        <v>0</v>
      </c>
      <c r="M30" s="555">
        <f t="shared" si="2"/>
        <v>0</v>
      </c>
      <c r="N30" s="575"/>
      <c r="O30" s="575"/>
      <c r="P30" s="575"/>
      <c r="Q30" s="575"/>
      <c r="R30" s="575"/>
      <c r="S30" s="575"/>
      <c r="T30" s="575"/>
      <c r="U30" s="575"/>
      <c r="V30" s="575"/>
      <c r="W30" s="575"/>
      <c r="X30" s="557">
        <f t="shared" si="4"/>
        <v>0</v>
      </c>
      <c r="Y30" s="558">
        <f t="shared" si="3"/>
        <v>0</v>
      </c>
      <c r="Z30" s="559"/>
      <c r="AA30" s="576"/>
      <c r="AB30" s="577"/>
      <c r="AC30" s="577"/>
      <c r="AD30" s="577"/>
      <c r="AE30" s="577"/>
      <c r="AF30" s="578"/>
      <c r="AG30" s="579"/>
      <c r="AH30" s="579"/>
      <c r="AI30" s="579"/>
      <c r="AJ30" s="579"/>
      <c r="AK30" s="580"/>
      <c r="AL30" s="581"/>
      <c r="AM30" s="581"/>
      <c r="AN30" s="581"/>
      <c r="AO30" s="581"/>
      <c r="AP30" s="582"/>
      <c r="AQ30" s="582"/>
      <c r="AR30" s="329"/>
      <c r="AS30" s="329"/>
      <c r="AT30" s="329"/>
      <c r="AU30" s="329"/>
    </row>
    <row r="31" spans="1:47" x14ac:dyDescent="0.25">
      <c r="A31" s="567"/>
      <c r="B31" s="568"/>
      <c r="C31" s="569"/>
      <c r="D31" s="569"/>
      <c r="E31" s="570">
        <f t="shared" si="0"/>
        <v>0</v>
      </c>
      <c r="F31" s="571"/>
      <c r="G31" s="551"/>
      <c r="H31" s="572"/>
      <c r="I31" s="573"/>
      <c r="J31" s="573"/>
      <c r="K31" s="574"/>
      <c r="L31" s="554">
        <f t="shared" si="1"/>
        <v>0</v>
      </c>
      <c r="M31" s="555">
        <f t="shared" si="2"/>
        <v>0</v>
      </c>
      <c r="N31" s="575"/>
      <c r="O31" s="575"/>
      <c r="P31" s="575"/>
      <c r="Q31" s="575"/>
      <c r="R31" s="575"/>
      <c r="S31" s="575"/>
      <c r="T31" s="575"/>
      <c r="U31" s="575"/>
      <c r="V31" s="575"/>
      <c r="W31" s="575"/>
      <c r="X31" s="557">
        <f t="shared" si="4"/>
        <v>0</v>
      </c>
      <c r="Y31" s="558">
        <f t="shared" si="3"/>
        <v>0</v>
      </c>
      <c r="Z31" s="559"/>
      <c r="AA31" s="576"/>
      <c r="AB31" s="577"/>
      <c r="AC31" s="577"/>
      <c r="AD31" s="577"/>
      <c r="AE31" s="577"/>
      <c r="AF31" s="578"/>
      <c r="AG31" s="579"/>
      <c r="AH31" s="579"/>
      <c r="AI31" s="579"/>
      <c r="AJ31" s="579"/>
      <c r="AK31" s="580"/>
      <c r="AL31" s="581"/>
      <c r="AM31" s="581"/>
      <c r="AN31" s="581"/>
      <c r="AO31" s="581"/>
      <c r="AP31" s="582"/>
      <c r="AQ31" s="582"/>
      <c r="AR31" s="329"/>
      <c r="AS31" s="329"/>
      <c r="AT31" s="329"/>
      <c r="AU31" s="329"/>
    </row>
    <row r="32" spans="1:47" ht="14.4" thickBot="1" x14ac:dyDescent="0.3">
      <c r="A32" s="583"/>
      <c r="B32" s="568"/>
      <c r="C32" s="569"/>
      <c r="D32" s="569"/>
      <c r="E32" s="570">
        <f t="shared" si="0"/>
        <v>0</v>
      </c>
      <c r="F32" s="584"/>
      <c r="G32" s="551"/>
      <c r="H32" s="572"/>
      <c r="I32" s="573"/>
      <c r="J32" s="573"/>
      <c r="K32" s="574"/>
      <c r="L32" s="554">
        <f t="shared" si="1"/>
        <v>0</v>
      </c>
      <c r="M32" s="555">
        <f t="shared" si="2"/>
        <v>0</v>
      </c>
      <c r="N32" s="575"/>
      <c r="O32" s="575"/>
      <c r="P32" s="575"/>
      <c r="Q32" s="575"/>
      <c r="R32" s="575"/>
      <c r="S32" s="575"/>
      <c r="T32" s="575"/>
      <c r="U32" s="575"/>
      <c r="V32" s="575"/>
      <c r="W32" s="575"/>
      <c r="X32" s="557">
        <f t="shared" si="4"/>
        <v>0</v>
      </c>
      <c r="Y32" s="558">
        <f t="shared" si="3"/>
        <v>0</v>
      </c>
      <c r="Z32" s="559"/>
      <c r="AA32" s="585"/>
      <c r="AB32" s="586"/>
      <c r="AC32" s="586"/>
      <c r="AD32" s="586"/>
      <c r="AE32" s="586"/>
      <c r="AF32" s="587"/>
      <c r="AG32" s="588"/>
      <c r="AH32" s="588"/>
      <c r="AI32" s="588"/>
      <c r="AJ32" s="588"/>
      <c r="AK32" s="589"/>
      <c r="AL32" s="590"/>
      <c r="AM32" s="590"/>
      <c r="AN32" s="590"/>
      <c r="AO32" s="590"/>
      <c r="AP32" s="591"/>
      <c r="AQ32" s="591"/>
      <c r="AR32" s="329"/>
      <c r="AS32" s="329"/>
      <c r="AT32" s="329"/>
      <c r="AU32" s="329"/>
    </row>
    <row r="33" spans="1:47" ht="40.200000000000003" thickBot="1" x14ac:dyDescent="0.35">
      <c r="A33" s="592" t="s">
        <v>416</v>
      </c>
      <c r="B33" s="1456">
        <f>SUM(B27:B32)</f>
        <v>0</v>
      </c>
      <c r="C33" s="593">
        <f>IFERROR(SUM(C27:C32)/B33,0)</f>
        <v>0</v>
      </c>
      <c r="D33" s="594">
        <f>SUM(D27:D32)</f>
        <v>0</v>
      </c>
      <c r="E33" s="595">
        <f>IFERROR(D33/B33,0)</f>
        <v>0</v>
      </c>
      <c r="F33" s="1767" t="s">
        <v>416</v>
      </c>
      <c r="G33" s="1768"/>
      <c r="H33" s="1459">
        <f>SUM(H27:H32)</f>
        <v>0</v>
      </c>
      <c r="I33" s="316"/>
      <c r="J33" s="316"/>
      <c r="K33" s="316"/>
      <c r="L33" s="316"/>
      <c r="M33" s="596">
        <f>IFERROR(SUM(M27:M32)/H33,0)</f>
        <v>0</v>
      </c>
      <c r="N33" s="596">
        <f>IFERROR(SUM(N27:N32)/H33,0)</f>
        <v>0</v>
      </c>
      <c r="O33" s="596">
        <f>IFERROR(SUM(O27:O32)/H33,0)</f>
        <v>0</v>
      </c>
      <c r="P33" s="596">
        <f>IFERROR(SUM(P27:P32)/H33,0)</f>
        <v>0</v>
      </c>
      <c r="Q33" s="596">
        <f>IFERROR(SUM(Q27:Q32)/H33,0)</f>
        <v>0</v>
      </c>
      <c r="R33" s="596">
        <f>IFERROR(SUM(R27:R32)/H33,0)</f>
        <v>0</v>
      </c>
      <c r="S33" s="596">
        <f>IFERROR(SUM(S27:S32)/H33,0)</f>
        <v>0</v>
      </c>
      <c r="T33" s="596">
        <f>IFERROR(SUM(T27:T32)/H33,0)</f>
        <v>0</v>
      </c>
      <c r="U33" s="596">
        <f>IFERROR(SUM(U27:U32)/H33,0)</f>
        <v>0</v>
      </c>
      <c r="V33" s="596">
        <f>IFERROR(SUM(V27:V32)/H33,0)</f>
        <v>0</v>
      </c>
      <c r="W33" s="596">
        <f>IFERROR(SUM(W27:W32)/H33,0)</f>
        <v>0</v>
      </c>
      <c r="X33" s="597">
        <f>SUM(X27:X32)</f>
        <v>0</v>
      </c>
      <c r="Y33" s="598">
        <f>IFERROR(SUM(X33/H33),0)</f>
        <v>0</v>
      </c>
      <c r="Z33" s="534"/>
      <c r="AA33" s="536"/>
      <c r="AB33" s="534"/>
      <c r="AC33" s="536"/>
      <c r="AD33" s="536"/>
      <c r="AE33" s="536"/>
      <c r="AF33" s="534"/>
      <c r="AG33" s="534"/>
      <c r="AH33" s="536"/>
      <c r="AI33" s="536"/>
      <c r="AJ33" s="536"/>
      <c r="AK33" s="534"/>
      <c r="AL33" s="534"/>
      <c r="AM33" s="536"/>
      <c r="AN33" s="536"/>
      <c r="AO33" s="536"/>
      <c r="AP33" s="537"/>
      <c r="AQ33" s="537"/>
    </row>
    <row r="34" spans="1:47" ht="15.6" x14ac:dyDescent="0.3">
      <c r="A34" s="528"/>
      <c r="B34" s="599"/>
      <c r="C34" s="599"/>
      <c r="D34" s="528"/>
      <c r="E34" s="528"/>
      <c r="F34" s="529"/>
      <c r="G34" s="331"/>
      <c r="H34" s="600" t="str">
        <f>IF(H33&gt;KAT!C12,"max. Stellenumfang lt. Rahmenvertrag für die PDL / stellv. PDL bis zu "&amp;TEXT(KAT!C12,"0,0000")&amp;" VK","")</f>
        <v/>
      </c>
      <c r="I34" s="331"/>
      <c r="J34" s="331"/>
      <c r="K34" s="331"/>
      <c r="L34" s="331"/>
      <c r="M34" s="530"/>
      <c r="N34" s="530"/>
      <c r="O34" s="530"/>
      <c r="P34" s="530"/>
      <c r="Q34" s="532"/>
      <c r="R34" s="532"/>
      <c r="S34" s="530"/>
      <c r="T34" s="530"/>
      <c r="U34" s="530"/>
      <c r="V34" s="530"/>
      <c r="W34" s="530"/>
      <c r="X34" s="331"/>
      <c r="Y34" s="533"/>
      <c r="Z34" s="534"/>
      <c r="AA34" s="536"/>
      <c r="AB34" s="534"/>
      <c r="AC34" s="536"/>
      <c r="AD34" s="536"/>
      <c r="AE34" s="536"/>
      <c r="AF34" s="534"/>
      <c r="AG34" s="534"/>
      <c r="AH34" s="536"/>
      <c r="AI34" s="536"/>
      <c r="AJ34" s="536"/>
      <c r="AK34" s="534"/>
      <c r="AL34" s="534"/>
      <c r="AM34" s="536"/>
      <c r="AN34" s="536"/>
      <c r="AO34" s="536"/>
      <c r="AP34" s="537"/>
      <c r="AQ34" s="537"/>
    </row>
    <row r="35" spans="1:47" ht="15.6" x14ac:dyDescent="0.3">
      <c r="A35" s="528"/>
      <c r="B35" s="605"/>
      <c r="C35" s="528"/>
      <c r="D35" s="528"/>
      <c r="E35" s="528"/>
      <c r="F35" s="529"/>
      <c r="G35" s="331"/>
      <c r="H35" s="843"/>
      <c r="I35" s="331"/>
      <c r="J35" s="331"/>
      <c r="K35" s="331"/>
      <c r="L35" s="331"/>
      <c r="M35" s="530"/>
      <c r="N35" s="530"/>
      <c r="O35" s="530"/>
      <c r="P35" s="530"/>
      <c r="Q35" s="532"/>
      <c r="R35" s="530"/>
      <c r="S35" s="530"/>
      <c r="T35" s="530"/>
      <c r="U35" s="530"/>
      <c r="V35" s="530"/>
      <c r="W35" s="530"/>
      <c r="X35" s="331"/>
      <c r="Y35" s="533"/>
      <c r="Z35" s="519"/>
      <c r="AA35" s="1769"/>
      <c r="AB35" s="1770"/>
      <c r="AC35" s="1770"/>
      <c r="AD35" s="1770"/>
      <c r="AE35" s="1770"/>
      <c r="AF35" s="1771"/>
      <c r="AG35" s="1772"/>
      <c r="AH35" s="1772"/>
      <c r="AI35" s="1772"/>
      <c r="AJ35" s="1772"/>
      <c r="AK35" s="1773"/>
      <c r="AL35" s="1774"/>
      <c r="AM35" s="1774"/>
      <c r="AN35" s="1774"/>
      <c r="AO35" s="1774"/>
      <c r="AP35" s="608"/>
      <c r="AQ35" s="609"/>
    </row>
    <row r="36" spans="1:47" ht="17.399999999999999" x14ac:dyDescent="0.25">
      <c r="A36" s="254" t="s">
        <v>394</v>
      </c>
      <c r="B36" s="494"/>
      <c r="C36" s="494"/>
      <c r="D36" s="494"/>
      <c r="E36" s="494"/>
      <c r="F36" s="610" t="s">
        <v>394</v>
      </c>
      <c r="G36" s="611"/>
      <c r="H36" s="611"/>
      <c r="I36" s="611"/>
      <c r="J36" s="611"/>
      <c r="K36" s="611"/>
      <c r="L36" s="611"/>
      <c r="M36" s="612"/>
      <c r="N36" s="612"/>
      <c r="O36" s="613"/>
      <c r="P36" s="612"/>
      <c r="Q36" s="612"/>
      <c r="R36" s="612"/>
      <c r="S36" s="612"/>
      <c r="T36" s="612"/>
      <c r="U36" s="614"/>
      <c r="V36" s="615"/>
      <c r="W36" s="615"/>
      <c r="X36" s="615"/>
      <c r="Y36" s="616"/>
      <c r="Z36" s="617"/>
      <c r="AA36" s="618"/>
      <c r="AB36" s="618"/>
      <c r="AC36" s="618"/>
      <c r="AD36" s="618"/>
      <c r="AE36" s="618"/>
      <c r="AF36" s="618"/>
      <c r="AG36" s="618"/>
      <c r="AH36" s="618"/>
      <c r="AI36" s="618"/>
      <c r="AJ36" s="618"/>
      <c r="AK36" s="618"/>
      <c r="AL36" s="618"/>
      <c r="AM36" s="618"/>
      <c r="AN36" s="618"/>
      <c r="AO36" s="618"/>
      <c r="AP36" s="619"/>
      <c r="AQ36" s="619"/>
    </row>
    <row r="37" spans="1:47" ht="14.4" thickBot="1" x14ac:dyDescent="0.3">
      <c r="A37" s="321" t="s">
        <v>395</v>
      </c>
      <c r="B37" s="418"/>
      <c r="C37" s="418"/>
      <c r="D37" s="418"/>
      <c r="E37" s="419"/>
      <c r="F37" s="538" t="s">
        <v>396</v>
      </c>
      <c r="G37" s="620"/>
      <c r="H37" s="621"/>
      <c r="I37" s="621"/>
      <c r="J37" s="621"/>
      <c r="K37" s="622"/>
      <c r="L37" s="622"/>
      <c r="M37" s="621"/>
      <c r="N37" s="621"/>
      <c r="O37" s="621"/>
      <c r="P37" s="623"/>
      <c r="Q37" s="623"/>
      <c r="R37" s="623"/>
      <c r="S37" s="623"/>
      <c r="T37" s="623"/>
      <c r="U37" s="623"/>
      <c r="V37" s="623"/>
      <c r="W37" s="623"/>
      <c r="X37" s="623"/>
      <c r="Y37" s="624"/>
      <c r="Z37" s="625"/>
      <c r="AA37" s="626" t="s">
        <v>397</v>
      </c>
      <c r="AB37" s="626"/>
      <c r="AC37" s="626"/>
      <c r="AD37" s="626"/>
      <c r="AE37" s="626"/>
      <c r="AF37" s="627"/>
      <c r="AG37" s="627"/>
      <c r="AH37" s="627"/>
      <c r="AI37" s="627"/>
      <c r="AJ37" s="627"/>
      <c r="AK37" s="628"/>
      <c r="AL37" s="628"/>
      <c r="AM37" s="628"/>
      <c r="AN37" s="628"/>
      <c r="AO37" s="628"/>
      <c r="AP37" s="629"/>
      <c r="AQ37" s="630"/>
    </row>
    <row r="38" spans="1:47" x14ac:dyDescent="0.25">
      <c r="A38" s="546"/>
      <c r="B38" s="547"/>
      <c r="C38" s="548"/>
      <c r="D38" s="548"/>
      <c r="E38" s="549">
        <f>IFERROR(D38/B38,0)</f>
        <v>0</v>
      </c>
      <c r="F38" s="550"/>
      <c r="G38" s="551"/>
      <c r="H38" s="552"/>
      <c r="I38" s="551"/>
      <c r="J38" s="551"/>
      <c r="K38" s="553"/>
      <c r="L38" s="554">
        <f>IFERROR(IF($K$24="VK",K38,K38/H38),0)</f>
        <v>0</v>
      </c>
      <c r="M38" s="607">
        <f>IFERROR(L38*H38,"")</f>
        <v>0</v>
      </c>
      <c r="N38" s="575"/>
      <c r="O38" s="575"/>
      <c r="P38" s="575"/>
      <c r="Q38" s="575"/>
      <c r="R38" s="575"/>
      <c r="S38" s="575"/>
      <c r="T38" s="575"/>
      <c r="U38" s="575"/>
      <c r="V38" s="575"/>
      <c r="W38" s="556"/>
      <c r="X38" s="557">
        <f t="shared" ref="X38:X69" si="5">IF(AND(H38&gt;0,F38&lt;&gt;"GfB"),(SUM(M38:P38,R38,V38,Q38)*12+(T38+U38))*(100+$P$17+$P$18)%+((S38+W38)*12),IF(AND(H38&gt;0,F38="GfB"),(SUM(M38:P38,R38,V38,Q38)*12+(T38+U38))*(100+$P$20+$P$18)%+((S38+W38)*12),0))</f>
        <v>0</v>
      </c>
      <c r="Y38" s="558">
        <f>IF(ISERROR(X38/H38),0,(X38/H38))</f>
        <v>0</v>
      </c>
      <c r="Z38" s="559"/>
      <c r="AA38" s="601">
        <f>IF(OR(G38="PDL",G38="stellv. PDL"),0,(IF(AND($H38&gt;0,$K38&gt;0),($M38+$N38),0)))</f>
        <v>0</v>
      </c>
      <c r="AB38" s="602">
        <f>IF(OR(G38="PDL",G38="stellv. PDL"),0,(IF(AND($H38&gt;0,$K38&gt;0),$O38,0)))</f>
        <v>0</v>
      </c>
      <c r="AC38" s="1019">
        <f>IF(OR(G38="PDL",G38="stellv. PDL"),0,(IF(AND($H38&gt;0,$K38&gt;0),($P38),0)))</f>
        <v>0</v>
      </c>
      <c r="AD38" s="602">
        <f>IF(OR(G38="PDL",G38="stellv. PDL"),0,(IF(AND($H38&gt;0,$K38&gt;0),$Q38,0)))</f>
        <v>0</v>
      </c>
      <c r="AE38" s="631">
        <f>IF(OR(G38="PDL",G38="stellv. PDL"),0,(IF(AND($H38&gt;0,$K38&gt;0),(($T38+$U38)/12),0)))</f>
        <v>0</v>
      </c>
      <c r="AF38" s="632"/>
      <c r="AG38" s="563"/>
      <c r="AH38" s="563"/>
      <c r="AI38" s="563"/>
      <c r="AJ38" s="563"/>
      <c r="AK38" s="564"/>
      <c r="AL38" s="565"/>
      <c r="AM38" s="565"/>
      <c r="AN38" s="565"/>
      <c r="AO38" s="633"/>
      <c r="AP38" s="1020">
        <f>IF(OR(G38="PDL",G38="stellv. PDL"),0,IF(AND($H38&gt;0,$K38&gt;0),$H38,0))</f>
        <v>0</v>
      </c>
      <c r="AQ38" s="634"/>
      <c r="AR38" s="329"/>
      <c r="AS38" s="1023">
        <f>IF(OR(G38="PDL",G38="stellv. PDL"),0,IF(AND($H38&gt;0,$K38&gt;0),$X38,0))</f>
        <v>0</v>
      </c>
      <c r="AT38" s="329"/>
      <c r="AU38" s="329"/>
    </row>
    <row r="39" spans="1:47" x14ac:dyDescent="0.25">
      <c r="A39" s="567"/>
      <c r="B39" s="568"/>
      <c r="C39" s="569"/>
      <c r="D39" s="569"/>
      <c r="E39" s="570">
        <f t="shared" ref="E39:E69" si="6">IFERROR(D39/B39,0)</f>
        <v>0</v>
      </c>
      <c r="F39" s="571"/>
      <c r="G39" s="551"/>
      <c r="H39" s="572"/>
      <c r="I39" s="573"/>
      <c r="J39" s="573"/>
      <c r="K39" s="574"/>
      <c r="L39" s="606">
        <f>IFERROR(IF($K$24="VK",K39,K39/H39),0)</f>
        <v>0</v>
      </c>
      <c r="M39" s="555">
        <f>IFERROR(L39*H39,"")</f>
        <v>0</v>
      </c>
      <c r="N39" s="575"/>
      <c r="O39" s="575"/>
      <c r="P39" s="575"/>
      <c r="Q39" s="575"/>
      <c r="R39" s="575"/>
      <c r="S39" s="575"/>
      <c r="T39" s="575"/>
      <c r="U39" s="575"/>
      <c r="V39" s="575"/>
      <c r="W39" s="575"/>
      <c r="X39" s="557">
        <f t="shared" si="5"/>
        <v>0</v>
      </c>
      <c r="Y39" s="558">
        <f>IF(ISERROR(X39/H39),0,(X39/H39))</f>
        <v>0</v>
      </c>
      <c r="Z39" s="559"/>
      <c r="AA39" s="601">
        <f t="shared" ref="AA39:AA69" si="7">IF(OR(G39="PDL",G39="stellv. PDL"),0,(IF(AND($H39&gt;0,$K39&gt;0),($M39+$N39),0)))</f>
        <v>0</v>
      </c>
      <c r="AB39" s="602">
        <f t="shared" ref="AB39:AB69" si="8">IF(OR(G39="PDL",G39="stellv. PDL"),0,(IF(AND($H39&gt;0,$K39&gt;0),$O39,0)))</f>
        <v>0</v>
      </c>
      <c r="AC39" s="602">
        <f t="shared" ref="AC39:AC69" si="9">IF(OR(G39="PDL",G39="stellv. PDL"),0,(IF(AND($H39&gt;0,$K39&gt;0),($P39),0)))</f>
        <v>0</v>
      </c>
      <c r="AD39" s="602">
        <f t="shared" ref="AD39:AD69" si="10">IF(OR(G39="PDL",G39="stellv. PDL"),0,(IF(AND($H39&gt;0,$K39&gt;0),$Q39,0)))</f>
        <v>0</v>
      </c>
      <c r="AE39" s="631">
        <f t="shared" ref="AE39:AE69" si="11">IF(OR(G39="PDL",G39="stellv. PDL"),0,(IF(AND($H39&gt;0,$K39&gt;0),(($T39+$U39)/12),0)))</f>
        <v>0</v>
      </c>
      <c r="AF39" s="635"/>
      <c r="AG39" s="579"/>
      <c r="AH39" s="579"/>
      <c r="AI39" s="579"/>
      <c r="AJ39" s="579"/>
      <c r="AK39" s="580"/>
      <c r="AL39" s="581"/>
      <c r="AM39" s="581"/>
      <c r="AN39" s="581"/>
      <c r="AO39" s="636"/>
      <c r="AP39" s="1020">
        <f t="shared" ref="AP39:AP69" si="12">IF(OR(G39="PDL",G39="stellv. PDL"),0,IF(AND($H39&gt;0,$K39&gt;0),$H39,0))</f>
        <v>0</v>
      </c>
      <c r="AQ39" s="637"/>
      <c r="AR39" s="329"/>
      <c r="AS39" s="1023">
        <f>IF(OR(G39="PDL",G39="stellv. PDL"),0,IF(AND($H39&gt;0,$K39&gt;0),$X39,0))</f>
        <v>0</v>
      </c>
      <c r="AT39" s="329"/>
      <c r="AU39" s="329"/>
    </row>
    <row r="40" spans="1:47" x14ac:dyDescent="0.25">
      <c r="A40" s="567"/>
      <c r="B40" s="568"/>
      <c r="C40" s="569"/>
      <c r="D40" s="569"/>
      <c r="E40" s="570">
        <f t="shared" si="6"/>
        <v>0</v>
      </c>
      <c r="F40" s="571"/>
      <c r="G40" s="551"/>
      <c r="H40" s="572"/>
      <c r="I40" s="573"/>
      <c r="J40" s="573"/>
      <c r="K40" s="574"/>
      <c r="L40" s="606">
        <f t="shared" ref="L40:L69" si="13">IFERROR(IF($K$24="VK",K40,K40/H40),0)</f>
        <v>0</v>
      </c>
      <c r="M40" s="555">
        <f t="shared" ref="M40:M69" si="14">IFERROR(L40*H40,"")</f>
        <v>0</v>
      </c>
      <c r="N40" s="575"/>
      <c r="O40" s="575"/>
      <c r="P40" s="575"/>
      <c r="Q40" s="575"/>
      <c r="R40" s="575"/>
      <c r="S40" s="575"/>
      <c r="T40" s="575"/>
      <c r="U40" s="575"/>
      <c r="V40" s="575"/>
      <c r="W40" s="575"/>
      <c r="X40" s="557">
        <f t="shared" si="5"/>
        <v>0</v>
      </c>
      <c r="Y40" s="558">
        <f t="shared" ref="Y40:Y69" si="15">IF(ISERROR(X40/H40),0,(X40/H40))</f>
        <v>0</v>
      </c>
      <c r="Z40" s="559"/>
      <c r="AA40" s="601">
        <f t="shared" si="7"/>
        <v>0</v>
      </c>
      <c r="AB40" s="602">
        <f t="shared" si="8"/>
        <v>0</v>
      </c>
      <c r="AC40" s="602">
        <f t="shared" si="9"/>
        <v>0</v>
      </c>
      <c r="AD40" s="602">
        <f t="shared" si="10"/>
        <v>0</v>
      </c>
      <c r="AE40" s="631">
        <f t="shared" si="11"/>
        <v>0</v>
      </c>
      <c r="AF40" s="635"/>
      <c r="AG40" s="579"/>
      <c r="AH40" s="579"/>
      <c r="AI40" s="579"/>
      <c r="AJ40" s="579"/>
      <c r="AK40" s="580"/>
      <c r="AL40" s="581"/>
      <c r="AM40" s="581"/>
      <c r="AN40" s="581"/>
      <c r="AO40" s="636"/>
      <c r="AP40" s="1020">
        <f t="shared" si="12"/>
        <v>0</v>
      </c>
      <c r="AQ40" s="637"/>
      <c r="AR40" s="329"/>
      <c r="AS40" s="1023">
        <f t="shared" ref="AS40:AS69" si="16">IF(OR(G40="PDL",G40="stellv. PDL"),0,IF(AND($H40&gt;0,$K40&gt;0),$X40,0))</f>
        <v>0</v>
      </c>
      <c r="AT40" s="329"/>
      <c r="AU40" s="329"/>
    </row>
    <row r="41" spans="1:47" x14ac:dyDescent="0.25">
      <c r="A41" s="567"/>
      <c r="B41" s="568"/>
      <c r="C41" s="569"/>
      <c r="D41" s="569"/>
      <c r="E41" s="570">
        <f t="shared" si="6"/>
        <v>0</v>
      </c>
      <c r="F41" s="571"/>
      <c r="G41" s="551"/>
      <c r="H41" s="572"/>
      <c r="I41" s="573"/>
      <c r="J41" s="573"/>
      <c r="K41" s="574"/>
      <c r="L41" s="606">
        <f t="shared" si="13"/>
        <v>0</v>
      </c>
      <c r="M41" s="555">
        <f t="shared" si="14"/>
        <v>0</v>
      </c>
      <c r="N41" s="575"/>
      <c r="O41" s="575"/>
      <c r="P41" s="575"/>
      <c r="Q41" s="575"/>
      <c r="R41" s="575"/>
      <c r="S41" s="575"/>
      <c r="T41" s="575"/>
      <c r="U41" s="575"/>
      <c r="V41" s="575"/>
      <c r="W41" s="575"/>
      <c r="X41" s="557">
        <f t="shared" si="5"/>
        <v>0</v>
      </c>
      <c r="Y41" s="558">
        <f t="shared" si="15"/>
        <v>0</v>
      </c>
      <c r="Z41" s="559"/>
      <c r="AA41" s="601">
        <f t="shared" si="7"/>
        <v>0</v>
      </c>
      <c r="AB41" s="602">
        <f t="shared" si="8"/>
        <v>0</v>
      </c>
      <c r="AC41" s="602">
        <f t="shared" si="9"/>
        <v>0</v>
      </c>
      <c r="AD41" s="602">
        <f t="shared" si="10"/>
        <v>0</v>
      </c>
      <c r="AE41" s="631">
        <f t="shared" si="11"/>
        <v>0</v>
      </c>
      <c r="AF41" s="635"/>
      <c r="AG41" s="579"/>
      <c r="AH41" s="579"/>
      <c r="AI41" s="579"/>
      <c r="AJ41" s="579"/>
      <c r="AK41" s="580"/>
      <c r="AL41" s="581"/>
      <c r="AM41" s="581"/>
      <c r="AN41" s="581"/>
      <c r="AO41" s="636"/>
      <c r="AP41" s="1020">
        <f t="shared" si="12"/>
        <v>0</v>
      </c>
      <c r="AQ41" s="637"/>
      <c r="AR41" s="329"/>
      <c r="AS41" s="1023">
        <f t="shared" si="16"/>
        <v>0</v>
      </c>
      <c r="AT41" s="329"/>
      <c r="AU41" s="329"/>
    </row>
    <row r="42" spans="1:47" x14ac:dyDescent="0.25">
      <c r="A42" s="567"/>
      <c r="B42" s="568"/>
      <c r="C42" s="569"/>
      <c r="D42" s="569"/>
      <c r="E42" s="570">
        <f t="shared" si="6"/>
        <v>0</v>
      </c>
      <c r="F42" s="571"/>
      <c r="G42" s="551"/>
      <c r="H42" s="572"/>
      <c r="I42" s="573"/>
      <c r="J42" s="573"/>
      <c r="K42" s="574"/>
      <c r="L42" s="606">
        <f t="shared" si="13"/>
        <v>0</v>
      </c>
      <c r="M42" s="555">
        <f t="shared" si="14"/>
        <v>0</v>
      </c>
      <c r="N42" s="575"/>
      <c r="O42" s="575"/>
      <c r="P42" s="575"/>
      <c r="Q42" s="575"/>
      <c r="R42" s="575"/>
      <c r="S42" s="575"/>
      <c r="T42" s="575"/>
      <c r="U42" s="575"/>
      <c r="V42" s="575"/>
      <c r="W42" s="575"/>
      <c r="X42" s="557">
        <f t="shared" si="5"/>
        <v>0</v>
      </c>
      <c r="Y42" s="558">
        <f t="shared" si="15"/>
        <v>0</v>
      </c>
      <c r="Z42" s="559"/>
      <c r="AA42" s="601">
        <f t="shared" si="7"/>
        <v>0</v>
      </c>
      <c r="AB42" s="602">
        <f t="shared" si="8"/>
        <v>0</v>
      </c>
      <c r="AC42" s="602">
        <f t="shared" si="9"/>
        <v>0</v>
      </c>
      <c r="AD42" s="602">
        <f t="shared" si="10"/>
        <v>0</v>
      </c>
      <c r="AE42" s="631">
        <f t="shared" si="11"/>
        <v>0</v>
      </c>
      <c r="AF42" s="635"/>
      <c r="AG42" s="579"/>
      <c r="AH42" s="579"/>
      <c r="AI42" s="579"/>
      <c r="AJ42" s="579"/>
      <c r="AK42" s="580"/>
      <c r="AL42" s="581"/>
      <c r="AM42" s="581"/>
      <c r="AN42" s="581"/>
      <c r="AO42" s="636"/>
      <c r="AP42" s="1020">
        <f t="shared" si="12"/>
        <v>0</v>
      </c>
      <c r="AQ42" s="637"/>
      <c r="AR42" s="329"/>
      <c r="AS42" s="1023">
        <f t="shared" si="16"/>
        <v>0</v>
      </c>
      <c r="AT42" s="329"/>
      <c r="AU42" s="329"/>
    </row>
    <row r="43" spans="1:47" x14ac:dyDescent="0.25">
      <c r="A43" s="567"/>
      <c r="B43" s="568"/>
      <c r="C43" s="569"/>
      <c r="D43" s="569"/>
      <c r="E43" s="570">
        <f t="shared" si="6"/>
        <v>0</v>
      </c>
      <c r="F43" s="571"/>
      <c r="G43" s="551"/>
      <c r="H43" s="572"/>
      <c r="I43" s="573"/>
      <c r="J43" s="573"/>
      <c r="K43" s="574"/>
      <c r="L43" s="606">
        <f t="shared" si="13"/>
        <v>0</v>
      </c>
      <c r="M43" s="555">
        <f t="shared" si="14"/>
        <v>0</v>
      </c>
      <c r="N43" s="575"/>
      <c r="O43" s="575"/>
      <c r="P43" s="575"/>
      <c r="Q43" s="575"/>
      <c r="R43" s="575"/>
      <c r="S43" s="575"/>
      <c r="T43" s="575"/>
      <c r="U43" s="575"/>
      <c r="V43" s="575"/>
      <c r="W43" s="575"/>
      <c r="X43" s="557">
        <f t="shared" si="5"/>
        <v>0</v>
      </c>
      <c r="Y43" s="558">
        <f t="shared" si="15"/>
        <v>0</v>
      </c>
      <c r="Z43" s="559"/>
      <c r="AA43" s="601">
        <f t="shared" si="7"/>
        <v>0</v>
      </c>
      <c r="AB43" s="602">
        <f t="shared" si="8"/>
        <v>0</v>
      </c>
      <c r="AC43" s="602">
        <f t="shared" si="9"/>
        <v>0</v>
      </c>
      <c r="AD43" s="602">
        <f t="shared" si="10"/>
        <v>0</v>
      </c>
      <c r="AE43" s="631">
        <f t="shared" si="11"/>
        <v>0</v>
      </c>
      <c r="AF43" s="635"/>
      <c r="AG43" s="579"/>
      <c r="AH43" s="579"/>
      <c r="AI43" s="579"/>
      <c r="AJ43" s="579"/>
      <c r="AK43" s="580"/>
      <c r="AL43" s="581"/>
      <c r="AM43" s="581"/>
      <c r="AN43" s="581"/>
      <c r="AO43" s="636"/>
      <c r="AP43" s="1020">
        <f t="shared" si="12"/>
        <v>0</v>
      </c>
      <c r="AQ43" s="637"/>
      <c r="AR43" s="329"/>
      <c r="AS43" s="1023">
        <f t="shared" si="16"/>
        <v>0</v>
      </c>
      <c r="AT43" s="329"/>
      <c r="AU43" s="329"/>
    </row>
    <row r="44" spans="1:47" x14ac:dyDescent="0.25">
      <c r="A44" s="567"/>
      <c r="B44" s="568"/>
      <c r="C44" s="569"/>
      <c r="D44" s="569"/>
      <c r="E44" s="570">
        <f t="shared" si="6"/>
        <v>0</v>
      </c>
      <c r="F44" s="571"/>
      <c r="G44" s="551"/>
      <c r="H44" s="572"/>
      <c r="I44" s="573"/>
      <c r="J44" s="573"/>
      <c r="K44" s="574"/>
      <c r="L44" s="606">
        <f t="shared" si="13"/>
        <v>0</v>
      </c>
      <c r="M44" s="555">
        <f t="shared" si="14"/>
        <v>0</v>
      </c>
      <c r="N44" s="575"/>
      <c r="O44" s="575"/>
      <c r="P44" s="575"/>
      <c r="Q44" s="575"/>
      <c r="R44" s="575"/>
      <c r="S44" s="575"/>
      <c r="T44" s="575"/>
      <c r="U44" s="575"/>
      <c r="V44" s="575"/>
      <c r="W44" s="575"/>
      <c r="X44" s="557">
        <f t="shared" si="5"/>
        <v>0</v>
      </c>
      <c r="Y44" s="558">
        <f t="shared" si="15"/>
        <v>0</v>
      </c>
      <c r="Z44" s="559"/>
      <c r="AA44" s="601">
        <f t="shared" si="7"/>
        <v>0</v>
      </c>
      <c r="AB44" s="602">
        <f t="shared" si="8"/>
        <v>0</v>
      </c>
      <c r="AC44" s="602">
        <f t="shared" si="9"/>
        <v>0</v>
      </c>
      <c r="AD44" s="602">
        <f t="shared" si="10"/>
        <v>0</v>
      </c>
      <c r="AE44" s="631">
        <f t="shared" si="11"/>
        <v>0</v>
      </c>
      <c r="AF44" s="635"/>
      <c r="AG44" s="579"/>
      <c r="AH44" s="579"/>
      <c r="AI44" s="579"/>
      <c r="AJ44" s="579"/>
      <c r="AK44" s="580"/>
      <c r="AL44" s="581"/>
      <c r="AM44" s="581"/>
      <c r="AN44" s="581"/>
      <c r="AO44" s="636"/>
      <c r="AP44" s="1020">
        <f t="shared" si="12"/>
        <v>0</v>
      </c>
      <c r="AQ44" s="637"/>
      <c r="AR44" s="329"/>
      <c r="AS44" s="1023">
        <f t="shared" si="16"/>
        <v>0</v>
      </c>
      <c r="AT44" s="329"/>
      <c r="AU44" s="329"/>
    </row>
    <row r="45" spans="1:47" x14ac:dyDescent="0.25">
      <c r="A45" s="567"/>
      <c r="B45" s="568"/>
      <c r="C45" s="569"/>
      <c r="D45" s="569"/>
      <c r="E45" s="570">
        <f t="shared" si="6"/>
        <v>0</v>
      </c>
      <c r="F45" s="571"/>
      <c r="G45" s="551"/>
      <c r="H45" s="572"/>
      <c r="I45" s="573"/>
      <c r="J45" s="573"/>
      <c r="K45" s="574"/>
      <c r="L45" s="606">
        <f t="shared" si="13"/>
        <v>0</v>
      </c>
      <c r="M45" s="555">
        <f t="shared" si="14"/>
        <v>0</v>
      </c>
      <c r="N45" s="575"/>
      <c r="O45" s="575"/>
      <c r="P45" s="575"/>
      <c r="Q45" s="575"/>
      <c r="R45" s="575"/>
      <c r="S45" s="575"/>
      <c r="T45" s="575"/>
      <c r="U45" s="575"/>
      <c r="V45" s="575"/>
      <c r="W45" s="575"/>
      <c r="X45" s="557">
        <f t="shared" si="5"/>
        <v>0</v>
      </c>
      <c r="Y45" s="558">
        <f t="shared" si="15"/>
        <v>0</v>
      </c>
      <c r="Z45" s="559"/>
      <c r="AA45" s="601">
        <f t="shared" si="7"/>
        <v>0</v>
      </c>
      <c r="AB45" s="602">
        <f t="shared" si="8"/>
        <v>0</v>
      </c>
      <c r="AC45" s="602">
        <f t="shared" si="9"/>
        <v>0</v>
      </c>
      <c r="AD45" s="602">
        <f t="shared" si="10"/>
        <v>0</v>
      </c>
      <c r="AE45" s="631">
        <f t="shared" si="11"/>
        <v>0</v>
      </c>
      <c r="AF45" s="635"/>
      <c r="AG45" s="579"/>
      <c r="AH45" s="579"/>
      <c r="AI45" s="579"/>
      <c r="AJ45" s="579"/>
      <c r="AK45" s="580"/>
      <c r="AL45" s="581"/>
      <c r="AM45" s="581"/>
      <c r="AN45" s="581"/>
      <c r="AO45" s="636"/>
      <c r="AP45" s="1020">
        <f t="shared" si="12"/>
        <v>0</v>
      </c>
      <c r="AQ45" s="637"/>
      <c r="AR45" s="329"/>
      <c r="AS45" s="1023">
        <f t="shared" si="16"/>
        <v>0</v>
      </c>
      <c r="AT45" s="329"/>
      <c r="AU45" s="329"/>
    </row>
    <row r="46" spans="1:47" x14ac:dyDescent="0.25">
      <c r="A46" s="567"/>
      <c r="B46" s="568"/>
      <c r="C46" s="569"/>
      <c r="D46" s="569"/>
      <c r="E46" s="570">
        <f t="shared" si="6"/>
        <v>0</v>
      </c>
      <c r="F46" s="571"/>
      <c r="G46" s="551"/>
      <c r="H46" s="572"/>
      <c r="I46" s="573"/>
      <c r="J46" s="573"/>
      <c r="K46" s="574"/>
      <c r="L46" s="606">
        <f t="shared" si="13"/>
        <v>0</v>
      </c>
      <c r="M46" s="555">
        <f t="shared" si="14"/>
        <v>0</v>
      </c>
      <c r="N46" s="575"/>
      <c r="O46" s="575"/>
      <c r="P46" s="575"/>
      <c r="Q46" s="575"/>
      <c r="R46" s="575"/>
      <c r="S46" s="575"/>
      <c r="T46" s="575"/>
      <c r="U46" s="575"/>
      <c r="V46" s="575"/>
      <c r="W46" s="575"/>
      <c r="X46" s="557">
        <f t="shared" si="5"/>
        <v>0</v>
      </c>
      <c r="Y46" s="558">
        <f t="shared" si="15"/>
        <v>0</v>
      </c>
      <c r="Z46" s="559"/>
      <c r="AA46" s="601">
        <f t="shared" si="7"/>
        <v>0</v>
      </c>
      <c r="AB46" s="602">
        <f t="shared" si="8"/>
        <v>0</v>
      </c>
      <c r="AC46" s="602">
        <f t="shared" si="9"/>
        <v>0</v>
      </c>
      <c r="AD46" s="602">
        <f t="shared" si="10"/>
        <v>0</v>
      </c>
      <c r="AE46" s="631">
        <f t="shared" si="11"/>
        <v>0</v>
      </c>
      <c r="AF46" s="635"/>
      <c r="AG46" s="579"/>
      <c r="AH46" s="579"/>
      <c r="AI46" s="579"/>
      <c r="AJ46" s="579"/>
      <c r="AK46" s="580"/>
      <c r="AL46" s="581"/>
      <c r="AM46" s="581"/>
      <c r="AN46" s="581"/>
      <c r="AO46" s="636"/>
      <c r="AP46" s="1020">
        <f t="shared" si="12"/>
        <v>0</v>
      </c>
      <c r="AQ46" s="637"/>
      <c r="AR46" s="329"/>
      <c r="AS46" s="1023">
        <f t="shared" si="16"/>
        <v>0</v>
      </c>
      <c r="AT46" s="329"/>
      <c r="AU46" s="329"/>
    </row>
    <row r="47" spans="1:47" x14ac:dyDescent="0.25">
      <c r="A47" s="567"/>
      <c r="B47" s="568"/>
      <c r="C47" s="569"/>
      <c r="D47" s="569"/>
      <c r="E47" s="570">
        <f t="shared" si="6"/>
        <v>0</v>
      </c>
      <c r="F47" s="571"/>
      <c r="G47" s="551"/>
      <c r="H47" s="572"/>
      <c r="I47" s="573"/>
      <c r="J47" s="573"/>
      <c r="K47" s="574"/>
      <c r="L47" s="606">
        <f t="shared" si="13"/>
        <v>0</v>
      </c>
      <c r="M47" s="555">
        <f t="shared" si="14"/>
        <v>0</v>
      </c>
      <c r="N47" s="575"/>
      <c r="O47" s="575"/>
      <c r="P47" s="575"/>
      <c r="Q47" s="575"/>
      <c r="R47" s="575"/>
      <c r="S47" s="575"/>
      <c r="T47" s="575"/>
      <c r="U47" s="575"/>
      <c r="V47" s="575"/>
      <c r="W47" s="575"/>
      <c r="X47" s="557">
        <f t="shared" si="5"/>
        <v>0</v>
      </c>
      <c r="Y47" s="558">
        <f t="shared" si="15"/>
        <v>0</v>
      </c>
      <c r="Z47" s="559"/>
      <c r="AA47" s="601">
        <f t="shared" si="7"/>
        <v>0</v>
      </c>
      <c r="AB47" s="602">
        <f t="shared" si="8"/>
        <v>0</v>
      </c>
      <c r="AC47" s="602">
        <f t="shared" si="9"/>
        <v>0</v>
      </c>
      <c r="AD47" s="602">
        <f t="shared" si="10"/>
        <v>0</v>
      </c>
      <c r="AE47" s="631">
        <f t="shared" si="11"/>
        <v>0</v>
      </c>
      <c r="AF47" s="635"/>
      <c r="AG47" s="579"/>
      <c r="AH47" s="579"/>
      <c r="AI47" s="579"/>
      <c r="AJ47" s="579"/>
      <c r="AK47" s="580"/>
      <c r="AL47" s="581"/>
      <c r="AM47" s="581"/>
      <c r="AN47" s="581"/>
      <c r="AO47" s="636"/>
      <c r="AP47" s="1020">
        <f t="shared" si="12"/>
        <v>0</v>
      </c>
      <c r="AQ47" s="637"/>
      <c r="AR47" s="329"/>
      <c r="AS47" s="1023">
        <f t="shared" si="16"/>
        <v>0</v>
      </c>
      <c r="AT47" s="329"/>
      <c r="AU47" s="329"/>
    </row>
    <row r="48" spans="1:47" x14ac:dyDescent="0.25">
      <c r="A48" s="567"/>
      <c r="B48" s="568"/>
      <c r="C48" s="569"/>
      <c r="D48" s="569"/>
      <c r="E48" s="570">
        <f t="shared" si="6"/>
        <v>0</v>
      </c>
      <c r="F48" s="571"/>
      <c r="G48" s="551"/>
      <c r="H48" s="572"/>
      <c r="I48" s="573"/>
      <c r="J48" s="573"/>
      <c r="K48" s="574"/>
      <c r="L48" s="606">
        <f t="shared" si="13"/>
        <v>0</v>
      </c>
      <c r="M48" s="555">
        <f t="shared" si="14"/>
        <v>0</v>
      </c>
      <c r="N48" s="575"/>
      <c r="O48" s="575"/>
      <c r="P48" s="575"/>
      <c r="Q48" s="575"/>
      <c r="R48" s="575"/>
      <c r="S48" s="575"/>
      <c r="T48" s="575"/>
      <c r="U48" s="575"/>
      <c r="V48" s="575"/>
      <c r="W48" s="575"/>
      <c r="X48" s="557">
        <f t="shared" si="5"/>
        <v>0</v>
      </c>
      <c r="Y48" s="558">
        <f t="shared" si="15"/>
        <v>0</v>
      </c>
      <c r="Z48" s="559"/>
      <c r="AA48" s="601">
        <f t="shared" si="7"/>
        <v>0</v>
      </c>
      <c r="AB48" s="602">
        <f t="shared" si="8"/>
        <v>0</v>
      </c>
      <c r="AC48" s="602">
        <f t="shared" si="9"/>
        <v>0</v>
      </c>
      <c r="AD48" s="602">
        <f t="shared" si="10"/>
        <v>0</v>
      </c>
      <c r="AE48" s="631">
        <f t="shared" si="11"/>
        <v>0</v>
      </c>
      <c r="AF48" s="635"/>
      <c r="AG48" s="579"/>
      <c r="AH48" s="579"/>
      <c r="AI48" s="579"/>
      <c r="AJ48" s="579"/>
      <c r="AK48" s="580"/>
      <c r="AL48" s="581"/>
      <c r="AM48" s="581"/>
      <c r="AN48" s="581"/>
      <c r="AO48" s="636"/>
      <c r="AP48" s="1020">
        <f t="shared" si="12"/>
        <v>0</v>
      </c>
      <c r="AQ48" s="637"/>
      <c r="AR48" s="329"/>
      <c r="AS48" s="1023">
        <f t="shared" si="16"/>
        <v>0</v>
      </c>
      <c r="AT48" s="329"/>
      <c r="AU48" s="329"/>
    </row>
    <row r="49" spans="1:47" x14ac:dyDescent="0.25">
      <c r="A49" s="567"/>
      <c r="B49" s="568"/>
      <c r="C49" s="569"/>
      <c r="D49" s="569"/>
      <c r="E49" s="570">
        <f t="shared" si="6"/>
        <v>0</v>
      </c>
      <c r="F49" s="571"/>
      <c r="G49" s="551"/>
      <c r="H49" s="572"/>
      <c r="I49" s="573"/>
      <c r="J49" s="573"/>
      <c r="K49" s="574"/>
      <c r="L49" s="606">
        <f t="shared" si="13"/>
        <v>0</v>
      </c>
      <c r="M49" s="555">
        <f t="shared" si="14"/>
        <v>0</v>
      </c>
      <c r="N49" s="575"/>
      <c r="O49" s="575"/>
      <c r="P49" s="575"/>
      <c r="Q49" s="575"/>
      <c r="R49" s="575"/>
      <c r="S49" s="575"/>
      <c r="T49" s="575"/>
      <c r="U49" s="575"/>
      <c r="V49" s="575"/>
      <c r="W49" s="575"/>
      <c r="X49" s="557">
        <f t="shared" si="5"/>
        <v>0</v>
      </c>
      <c r="Y49" s="558">
        <f t="shared" si="15"/>
        <v>0</v>
      </c>
      <c r="Z49" s="559"/>
      <c r="AA49" s="601">
        <f t="shared" si="7"/>
        <v>0</v>
      </c>
      <c r="AB49" s="602">
        <f t="shared" si="8"/>
        <v>0</v>
      </c>
      <c r="AC49" s="602">
        <f t="shared" si="9"/>
        <v>0</v>
      </c>
      <c r="AD49" s="602">
        <f t="shared" si="10"/>
        <v>0</v>
      </c>
      <c r="AE49" s="631">
        <f t="shared" si="11"/>
        <v>0</v>
      </c>
      <c r="AF49" s="635"/>
      <c r="AG49" s="579"/>
      <c r="AH49" s="579"/>
      <c r="AI49" s="579"/>
      <c r="AJ49" s="579"/>
      <c r="AK49" s="580"/>
      <c r="AL49" s="581"/>
      <c r="AM49" s="581"/>
      <c r="AN49" s="581"/>
      <c r="AO49" s="636"/>
      <c r="AP49" s="1020">
        <f t="shared" si="12"/>
        <v>0</v>
      </c>
      <c r="AQ49" s="637"/>
      <c r="AR49" s="329"/>
      <c r="AS49" s="1023">
        <f t="shared" si="16"/>
        <v>0</v>
      </c>
      <c r="AT49" s="329"/>
      <c r="AU49" s="329"/>
    </row>
    <row r="50" spans="1:47" x14ac:dyDescent="0.25">
      <c r="A50" s="567"/>
      <c r="B50" s="568"/>
      <c r="C50" s="569"/>
      <c r="D50" s="569"/>
      <c r="E50" s="570">
        <f t="shared" si="6"/>
        <v>0</v>
      </c>
      <c r="F50" s="571"/>
      <c r="G50" s="551"/>
      <c r="H50" s="572"/>
      <c r="I50" s="573"/>
      <c r="J50" s="573"/>
      <c r="K50" s="574"/>
      <c r="L50" s="606">
        <f t="shared" si="13"/>
        <v>0</v>
      </c>
      <c r="M50" s="555">
        <f t="shared" si="14"/>
        <v>0</v>
      </c>
      <c r="N50" s="575"/>
      <c r="O50" s="575"/>
      <c r="P50" s="575"/>
      <c r="Q50" s="575"/>
      <c r="R50" s="575"/>
      <c r="S50" s="575"/>
      <c r="T50" s="575"/>
      <c r="U50" s="575"/>
      <c r="V50" s="575"/>
      <c r="W50" s="575"/>
      <c r="X50" s="557">
        <f t="shared" si="5"/>
        <v>0</v>
      </c>
      <c r="Y50" s="558">
        <f t="shared" si="15"/>
        <v>0</v>
      </c>
      <c r="Z50" s="559"/>
      <c r="AA50" s="601">
        <f t="shared" si="7"/>
        <v>0</v>
      </c>
      <c r="AB50" s="602">
        <f t="shared" si="8"/>
        <v>0</v>
      </c>
      <c r="AC50" s="602">
        <f t="shared" si="9"/>
        <v>0</v>
      </c>
      <c r="AD50" s="602">
        <f t="shared" si="10"/>
        <v>0</v>
      </c>
      <c r="AE50" s="631">
        <f t="shared" si="11"/>
        <v>0</v>
      </c>
      <c r="AF50" s="635"/>
      <c r="AG50" s="579"/>
      <c r="AH50" s="579"/>
      <c r="AI50" s="579"/>
      <c r="AJ50" s="579"/>
      <c r="AK50" s="580"/>
      <c r="AL50" s="581"/>
      <c r="AM50" s="581"/>
      <c r="AN50" s="581"/>
      <c r="AO50" s="636"/>
      <c r="AP50" s="1020">
        <f t="shared" si="12"/>
        <v>0</v>
      </c>
      <c r="AQ50" s="637"/>
      <c r="AR50" s="329"/>
      <c r="AS50" s="1023">
        <f t="shared" si="16"/>
        <v>0</v>
      </c>
      <c r="AT50" s="329"/>
      <c r="AU50" s="329"/>
    </row>
    <row r="51" spans="1:47" x14ac:dyDescent="0.25">
      <c r="A51" s="567"/>
      <c r="B51" s="568"/>
      <c r="C51" s="569"/>
      <c r="D51" s="569"/>
      <c r="E51" s="570">
        <f t="shared" si="6"/>
        <v>0</v>
      </c>
      <c r="F51" s="571"/>
      <c r="G51" s="551"/>
      <c r="H51" s="572"/>
      <c r="I51" s="573"/>
      <c r="J51" s="573"/>
      <c r="K51" s="574"/>
      <c r="L51" s="606">
        <f t="shared" si="13"/>
        <v>0</v>
      </c>
      <c r="M51" s="555">
        <f t="shared" si="14"/>
        <v>0</v>
      </c>
      <c r="N51" s="575"/>
      <c r="O51" s="575"/>
      <c r="P51" s="575"/>
      <c r="Q51" s="575"/>
      <c r="R51" s="575"/>
      <c r="S51" s="575"/>
      <c r="T51" s="575"/>
      <c r="U51" s="575"/>
      <c r="V51" s="575"/>
      <c r="W51" s="575"/>
      <c r="X51" s="557">
        <f t="shared" si="5"/>
        <v>0</v>
      </c>
      <c r="Y51" s="558">
        <f t="shared" si="15"/>
        <v>0</v>
      </c>
      <c r="Z51" s="559"/>
      <c r="AA51" s="601">
        <f t="shared" si="7"/>
        <v>0</v>
      </c>
      <c r="AB51" s="602">
        <f t="shared" si="8"/>
        <v>0</v>
      </c>
      <c r="AC51" s="602">
        <f t="shared" si="9"/>
        <v>0</v>
      </c>
      <c r="AD51" s="602">
        <f t="shared" si="10"/>
        <v>0</v>
      </c>
      <c r="AE51" s="631">
        <f t="shared" si="11"/>
        <v>0</v>
      </c>
      <c r="AF51" s="635"/>
      <c r="AG51" s="579"/>
      <c r="AH51" s="579"/>
      <c r="AI51" s="579"/>
      <c r="AJ51" s="579"/>
      <c r="AK51" s="580"/>
      <c r="AL51" s="581"/>
      <c r="AM51" s="581"/>
      <c r="AN51" s="581"/>
      <c r="AO51" s="636"/>
      <c r="AP51" s="1020">
        <f t="shared" si="12"/>
        <v>0</v>
      </c>
      <c r="AQ51" s="637"/>
      <c r="AR51" s="329"/>
      <c r="AS51" s="1023">
        <f t="shared" si="16"/>
        <v>0</v>
      </c>
      <c r="AT51" s="329"/>
      <c r="AU51" s="329"/>
    </row>
    <row r="52" spans="1:47" x14ac:dyDescent="0.25">
      <c r="A52" s="567"/>
      <c r="B52" s="568"/>
      <c r="C52" s="569"/>
      <c r="D52" s="569"/>
      <c r="E52" s="570">
        <f t="shared" si="6"/>
        <v>0</v>
      </c>
      <c r="F52" s="571"/>
      <c r="G52" s="551"/>
      <c r="H52" s="572"/>
      <c r="I52" s="573"/>
      <c r="J52" s="573"/>
      <c r="K52" s="574"/>
      <c r="L52" s="606">
        <f t="shared" si="13"/>
        <v>0</v>
      </c>
      <c r="M52" s="555">
        <f t="shared" si="14"/>
        <v>0</v>
      </c>
      <c r="N52" s="575"/>
      <c r="O52" s="575"/>
      <c r="P52" s="575"/>
      <c r="Q52" s="575"/>
      <c r="R52" s="575"/>
      <c r="S52" s="575"/>
      <c r="T52" s="575"/>
      <c r="U52" s="575"/>
      <c r="V52" s="575"/>
      <c r="W52" s="575"/>
      <c r="X52" s="557">
        <f t="shared" si="5"/>
        <v>0</v>
      </c>
      <c r="Y52" s="558">
        <f t="shared" si="15"/>
        <v>0</v>
      </c>
      <c r="Z52" s="559"/>
      <c r="AA52" s="601">
        <f t="shared" si="7"/>
        <v>0</v>
      </c>
      <c r="AB52" s="602">
        <f t="shared" si="8"/>
        <v>0</v>
      </c>
      <c r="AC52" s="602">
        <f t="shared" si="9"/>
        <v>0</v>
      </c>
      <c r="AD52" s="602">
        <f t="shared" si="10"/>
        <v>0</v>
      </c>
      <c r="AE52" s="631">
        <f t="shared" si="11"/>
        <v>0</v>
      </c>
      <c r="AF52" s="635"/>
      <c r="AG52" s="579"/>
      <c r="AH52" s="579"/>
      <c r="AI52" s="579"/>
      <c r="AJ52" s="579"/>
      <c r="AK52" s="580"/>
      <c r="AL52" s="581"/>
      <c r="AM52" s="581"/>
      <c r="AN52" s="581"/>
      <c r="AO52" s="636"/>
      <c r="AP52" s="1020">
        <f t="shared" si="12"/>
        <v>0</v>
      </c>
      <c r="AQ52" s="637"/>
      <c r="AR52" s="329"/>
      <c r="AS52" s="1023">
        <f t="shared" si="16"/>
        <v>0</v>
      </c>
      <c r="AT52" s="329"/>
      <c r="AU52" s="329"/>
    </row>
    <row r="53" spans="1:47" x14ac:dyDescent="0.25">
      <c r="A53" s="567"/>
      <c r="B53" s="568"/>
      <c r="C53" s="569"/>
      <c r="D53" s="569"/>
      <c r="E53" s="570">
        <f t="shared" si="6"/>
        <v>0</v>
      </c>
      <c r="F53" s="571"/>
      <c r="G53" s="551"/>
      <c r="H53" s="572"/>
      <c r="I53" s="573"/>
      <c r="J53" s="573"/>
      <c r="K53" s="574"/>
      <c r="L53" s="606">
        <f t="shared" si="13"/>
        <v>0</v>
      </c>
      <c r="M53" s="555">
        <f t="shared" si="14"/>
        <v>0</v>
      </c>
      <c r="N53" s="575"/>
      <c r="O53" s="575"/>
      <c r="P53" s="575"/>
      <c r="Q53" s="575"/>
      <c r="R53" s="575"/>
      <c r="S53" s="575"/>
      <c r="T53" s="575"/>
      <c r="U53" s="575"/>
      <c r="V53" s="575"/>
      <c r="W53" s="575"/>
      <c r="X53" s="557">
        <f t="shared" si="5"/>
        <v>0</v>
      </c>
      <c r="Y53" s="558">
        <f t="shared" si="15"/>
        <v>0</v>
      </c>
      <c r="Z53" s="559"/>
      <c r="AA53" s="601">
        <f t="shared" si="7"/>
        <v>0</v>
      </c>
      <c r="AB53" s="602">
        <f t="shared" si="8"/>
        <v>0</v>
      </c>
      <c r="AC53" s="602">
        <f t="shared" si="9"/>
        <v>0</v>
      </c>
      <c r="AD53" s="602">
        <f t="shared" si="10"/>
        <v>0</v>
      </c>
      <c r="AE53" s="631">
        <f t="shared" si="11"/>
        <v>0</v>
      </c>
      <c r="AF53" s="635"/>
      <c r="AG53" s="579"/>
      <c r="AH53" s="579"/>
      <c r="AI53" s="579"/>
      <c r="AJ53" s="579"/>
      <c r="AK53" s="580"/>
      <c r="AL53" s="581"/>
      <c r="AM53" s="581"/>
      <c r="AN53" s="581"/>
      <c r="AO53" s="636"/>
      <c r="AP53" s="1020">
        <f t="shared" si="12"/>
        <v>0</v>
      </c>
      <c r="AQ53" s="637"/>
      <c r="AR53" s="329"/>
      <c r="AS53" s="1023">
        <f t="shared" si="16"/>
        <v>0</v>
      </c>
      <c r="AT53" s="329"/>
      <c r="AU53" s="329"/>
    </row>
    <row r="54" spans="1:47" x14ac:dyDescent="0.25">
      <c r="A54" s="567"/>
      <c r="B54" s="568"/>
      <c r="C54" s="569"/>
      <c r="D54" s="569"/>
      <c r="E54" s="570">
        <f t="shared" si="6"/>
        <v>0</v>
      </c>
      <c r="F54" s="571"/>
      <c r="G54" s="551"/>
      <c r="H54" s="572"/>
      <c r="I54" s="573"/>
      <c r="J54" s="573"/>
      <c r="K54" s="574"/>
      <c r="L54" s="606">
        <f t="shared" si="13"/>
        <v>0</v>
      </c>
      <c r="M54" s="555">
        <f t="shared" si="14"/>
        <v>0</v>
      </c>
      <c r="N54" s="575"/>
      <c r="O54" s="575"/>
      <c r="P54" s="575"/>
      <c r="Q54" s="575"/>
      <c r="R54" s="575"/>
      <c r="S54" s="575"/>
      <c r="T54" s="575"/>
      <c r="U54" s="575"/>
      <c r="V54" s="575"/>
      <c r="W54" s="575"/>
      <c r="X54" s="557">
        <f t="shared" si="5"/>
        <v>0</v>
      </c>
      <c r="Y54" s="558">
        <f t="shared" si="15"/>
        <v>0</v>
      </c>
      <c r="Z54" s="559"/>
      <c r="AA54" s="601">
        <f t="shared" si="7"/>
        <v>0</v>
      </c>
      <c r="AB54" s="602">
        <f t="shared" si="8"/>
        <v>0</v>
      </c>
      <c r="AC54" s="602">
        <f t="shared" si="9"/>
        <v>0</v>
      </c>
      <c r="AD54" s="602">
        <f t="shared" si="10"/>
        <v>0</v>
      </c>
      <c r="AE54" s="631">
        <f t="shared" si="11"/>
        <v>0</v>
      </c>
      <c r="AF54" s="635"/>
      <c r="AG54" s="579"/>
      <c r="AH54" s="579"/>
      <c r="AI54" s="579"/>
      <c r="AJ54" s="579"/>
      <c r="AK54" s="580"/>
      <c r="AL54" s="581"/>
      <c r="AM54" s="581"/>
      <c r="AN54" s="581"/>
      <c r="AO54" s="636"/>
      <c r="AP54" s="1020">
        <f t="shared" si="12"/>
        <v>0</v>
      </c>
      <c r="AQ54" s="637"/>
      <c r="AR54" s="329"/>
      <c r="AS54" s="1023">
        <f t="shared" si="16"/>
        <v>0</v>
      </c>
      <c r="AT54" s="329"/>
      <c r="AU54" s="329"/>
    </row>
    <row r="55" spans="1:47" x14ac:dyDescent="0.25">
      <c r="A55" s="567"/>
      <c r="B55" s="568"/>
      <c r="C55" s="569"/>
      <c r="D55" s="569"/>
      <c r="E55" s="570">
        <f t="shared" si="6"/>
        <v>0</v>
      </c>
      <c r="F55" s="571"/>
      <c r="G55" s="551"/>
      <c r="H55" s="572"/>
      <c r="I55" s="573"/>
      <c r="J55" s="573"/>
      <c r="K55" s="574"/>
      <c r="L55" s="606">
        <f t="shared" si="13"/>
        <v>0</v>
      </c>
      <c r="M55" s="555">
        <f t="shared" si="14"/>
        <v>0</v>
      </c>
      <c r="N55" s="575"/>
      <c r="O55" s="575"/>
      <c r="P55" s="575"/>
      <c r="Q55" s="575"/>
      <c r="R55" s="575"/>
      <c r="S55" s="575"/>
      <c r="T55" s="575"/>
      <c r="U55" s="575"/>
      <c r="V55" s="575"/>
      <c r="W55" s="575"/>
      <c r="X55" s="557">
        <f t="shared" si="5"/>
        <v>0</v>
      </c>
      <c r="Y55" s="558">
        <f t="shared" si="15"/>
        <v>0</v>
      </c>
      <c r="Z55" s="559"/>
      <c r="AA55" s="601">
        <f t="shared" si="7"/>
        <v>0</v>
      </c>
      <c r="AB55" s="602">
        <f t="shared" si="8"/>
        <v>0</v>
      </c>
      <c r="AC55" s="602">
        <f t="shared" si="9"/>
        <v>0</v>
      </c>
      <c r="AD55" s="602">
        <f t="shared" si="10"/>
        <v>0</v>
      </c>
      <c r="AE55" s="631">
        <f t="shared" si="11"/>
        <v>0</v>
      </c>
      <c r="AF55" s="635"/>
      <c r="AG55" s="579"/>
      <c r="AH55" s="579"/>
      <c r="AI55" s="579"/>
      <c r="AJ55" s="579"/>
      <c r="AK55" s="580"/>
      <c r="AL55" s="581"/>
      <c r="AM55" s="581"/>
      <c r="AN55" s="581"/>
      <c r="AO55" s="636"/>
      <c r="AP55" s="1020">
        <f t="shared" si="12"/>
        <v>0</v>
      </c>
      <c r="AQ55" s="637"/>
      <c r="AR55" s="329"/>
      <c r="AS55" s="1023">
        <f t="shared" si="16"/>
        <v>0</v>
      </c>
      <c r="AT55" s="329"/>
      <c r="AU55" s="329"/>
    </row>
    <row r="56" spans="1:47" x14ac:dyDescent="0.25">
      <c r="A56" s="567"/>
      <c r="B56" s="568"/>
      <c r="C56" s="569"/>
      <c r="D56" s="569"/>
      <c r="E56" s="570">
        <f t="shared" si="6"/>
        <v>0</v>
      </c>
      <c r="F56" s="571"/>
      <c r="G56" s="551"/>
      <c r="H56" s="572"/>
      <c r="I56" s="573"/>
      <c r="J56" s="573"/>
      <c r="K56" s="574"/>
      <c r="L56" s="606">
        <f t="shared" si="13"/>
        <v>0</v>
      </c>
      <c r="M56" s="555">
        <f t="shared" si="14"/>
        <v>0</v>
      </c>
      <c r="N56" s="575"/>
      <c r="O56" s="575"/>
      <c r="P56" s="575"/>
      <c r="Q56" s="575"/>
      <c r="R56" s="575"/>
      <c r="S56" s="575"/>
      <c r="T56" s="575"/>
      <c r="U56" s="575"/>
      <c r="V56" s="575"/>
      <c r="W56" s="575"/>
      <c r="X56" s="557">
        <f t="shared" si="5"/>
        <v>0</v>
      </c>
      <c r="Y56" s="558">
        <f t="shared" si="15"/>
        <v>0</v>
      </c>
      <c r="Z56" s="559"/>
      <c r="AA56" s="601">
        <f t="shared" si="7"/>
        <v>0</v>
      </c>
      <c r="AB56" s="602">
        <f t="shared" si="8"/>
        <v>0</v>
      </c>
      <c r="AC56" s="602">
        <f t="shared" si="9"/>
        <v>0</v>
      </c>
      <c r="AD56" s="602">
        <f t="shared" si="10"/>
        <v>0</v>
      </c>
      <c r="AE56" s="631">
        <f t="shared" si="11"/>
        <v>0</v>
      </c>
      <c r="AF56" s="635"/>
      <c r="AG56" s="579"/>
      <c r="AH56" s="579"/>
      <c r="AI56" s="579"/>
      <c r="AJ56" s="579"/>
      <c r="AK56" s="580"/>
      <c r="AL56" s="581"/>
      <c r="AM56" s="581"/>
      <c r="AN56" s="581"/>
      <c r="AO56" s="636"/>
      <c r="AP56" s="1020">
        <f t="shared" si="12"/>
        <v>0</v>
      </c>
      <c r="AQ56" s="637"/>
      <c r="AR56" s="329"/>
      <c r="AS56" s="1023">
        <f t="shared" si="16"/>
        <v>0</v>
      </c>
      <c r="AT56" s="329"/>
      <c r="AU56" s="329"/>
    </row>
    <row r="57" spans="1:47" x14ac:dyDescent="0.25">
      <c r="A57" s="567"/>
      <c r="B57" s="568"/>
      <c r="C57" s="569"/>
      <c r="D57" s="569"/>
      <c r="E57" s="570">
        <f t="shared" si="6"/>
        <v>0</v>
      </c>
      <c r="F57" s="571"/>
      <c r="G57" s="551"/>
      <c r="H57" s="572"/>
      <c r="I57" s="573"/>
      <c r="J57" s="573"/>
      <c r="K57" s="574"/>
      <c r="L57" s="606">
        <f t="shared" si="13"/>
        <v>0</v>
      </c>
      <c r="M57" s="555">
        <f t="shared" si="14"/>
        <v>0</v>
      </c>
      <c r="N57" s="575"/>
      <c r="O57" s="575"/>
      <c r="P57" s="575"/>
      <c r="Q57" s="575"/>
      <c r="R57" s="575"/>
      <c r="S57" s="575"/>
      <c r="T57" s="575"/>
      <c r="U57" s="575"/>
      <c r="V57" s="575"/>
      <c r="W57" s="575"/>
      <c r="X57" s="557">
        <f t="shared" si="5"/>
        <v>0</v>
      </c>
      <c r="Y57" s="558">
        <f t="shared" si="15"/>
        <v>0</v>
      </c>
      <c r="Z57" s="559"/>
      <c r="AA57" s="601">
        <f>IF(OR(G57="PDL",G57="stellv. PDL"),0,(IF(AND($H57&gt;0,$K57&gt;0),($M57+$N57),0)))</f>
        <v>0</v>
      </c>
      <c r="AB57" s="602">
        <f>IF(OR(G57="PDL",G57="stellv. PDL"),0,(IF(AND($H57&gt;0,$K57&gt;0),$O57,0)))</f>
        <v>0</v>
      </c>
      <c r="AC57" s="602">
        <f>IF(OR(G57="PDL",G57="stellv. PDL"),0,(IF(AND($H57&gt;0,$K57&gt;0),($P57),0)))</f>
        <v>0</v>
      </c>
      <c r="AD57" s="602">
        <f>IF(OR(G57="PDL",G57="stellv. PDL"),0,(IF(AND($H57&gt;0,$K57&gt;0),$Q57,0)))</f>
        <v>0</v>
      </c>
      <c r="AE57" s="631">
        <f>IF(OR(G57="PDL",G57="stellv. PDL"),0,(IF(AND($H57&gt;0,$K57&gt;0),(($T57+$U57)/12),0)))</f>
        <v>0</v>
      </c>
      <c r="AF57" s="635"/>
      <c r="AG57" s="579"/>
      <c r="AH57" s="579"/>
      <c r="AI57" s="579"/>
      <c r="AJ57" s="579"/>
      <c r="AK57" s="580"/>
      <c r="AL57" s="581"/>
      <c r="AM57" s="581"/>
      <c r="AN57" s="581"/>
      <c r="AO57" s="636"/>
      <c r="AP57" s="1020">
        <f>IF(OR(G57="PDL",G57="stellv. PDL"),0,IF(AND($H57&gt;0,$K57&gt;0),$H57,0))</f>
        <v>0</v>
      </c>
      <c r="AQ57" s="637"/>
      <c r="AR57" s="329"/>
      <c r="AS57" s="1023">
        <f t="shared" si="16"/>
        <v>0</v>
      </c>
      <c r="AT57" s="329"/>
      <c r="AU57" s="329"/>
    </row>
    <row r="58" spans="1:47" x14ac:dyDescent="0.25">
      <c r="A58" s="567"/>
      <c r="B58" s="568"/>
      <c r="C58" s="569"/>
      <c r="D58" s="569"/>
      <c r="E58" s="570">
        <f t="shared" si="6"/>
        <v>0</v>
      </c>
      <c r="F58" s="571"/>
      <c r="G58" s="551"/>
      <c r="H58" s="572"/>
      <c r="I58" s="573"/>
      <c r="J58" s="573"/>
      <c r="K58" s="574"/>
      <c r="L58" s="606">
        <f t="shared" si="13"/>
        <v>0</v>
      </c>
      <c r="M58" s="555">
        <f t="shared" si="14"/>
        <v>0</v>
      </c>
      <c r="N58" s="575"/>
      <c r="O58" s="575"/>
      <c r="P58" s="575"/>
      <c r="Q58" s="575"/>
      <c r="R58" s="575"/>
      <c r="S58" s="575"/>
      <c r="T58" s="575"/>
      <c r="U58" s="575"/>
      <c r="V58" s="575"/>
      <c r="W58" s="575"/>
      <c r="X58" s="557">
        <f t="shared" si="5"/>
        <v>0</v>
      </c>
      <c r="Y58" s="558">
        <f t="shared" si="15"/>
        <v>0</v>
      </c>
      <c r="Z58" s="559"/>
      <c r="AA58" s="601">
        <f t="shared" si="7"/>
        <v>0</v>
      </c>
      <c r="AB58" s="602">
        <f t="shared" si="8"/>
        <v>0</v>
      </c>
      <c r="AC58" s="602">
        <f t="shared" si="9"/>
        <v>0</v>
      </c>
      <c r="AD58" s="602">
        <f t="shared" si="10"/>
        <v>0</v>
      </c>
      <c r="AE58" s="631">
        <f t="shared" si="11"/>
        <v>0</v>
      </c>
      <c r="AF58" s="635"/>
      <c r="AG58" s="579"/>
      <c r="AH58" s="579"/>
      <c r="AI58" s="579"/>
      <c r="AJ58" s="579"/>
      <c r="AK58" s="580"/>
      <c r="AL58" s="581"/>
      <c r="AM58" s="581"/>
      <c r="AN58" s="581"/>
      <c r="AO58" s="636"/>
      <c r="AP58" s="1020">
        <f t="shared" si="12"/>
        <v>0</v>
      </c>
      <c r="AQ58" s="637"/>
      <c r="AR58" s="329"/>
      <c r="AS58" s="1023">
        <f t="shared" si="16"/>
        <v>0</v>
      </c>
      <c r="AT58" s="329"/>
      <c r="AU58" s="329"/>
    </row>
    <row r="59" spans="1:47" x14ac:dyDescent="0.25">
      <c r="A59" s="567"/>
      <c r="B59" s="568"/>
      <c r="C59" s="569"/>
      <c r="D59" s="569"/>
      <c r="E59" s="570">
        <f t="shared" si="6"/>
        <v>0</v>
      </c>
      <c r="F59" s="571"/>
      <c r="G59" s="551"/>
      <c r="H59" s="572"/>
      <c r="I59" s="573"/>
      <c r="J59" s="573"/>
      <c r="K59" s="574"/>
      <c r="L59" s="606">
        <f t="shared" si="13"/>
        <v>0</v>
      </c>
      <c r="M59" s="555">
        <f t="shared" si="14"/>
        <v>0</v>
      </c>
      <c r="N59" s="575"/>
      <c r="O59" s="575"/>
      <c r="P59" s="575"/>
      <c r="Q59" s="575"/>
      <c r="R59" s="575"/>
      <c r="S59" s="575"/>
      <c r="T59" s="575"/>
      <c r="U59" s="575"/>
      <c r="V59" s="575"/>
      <c r="W59" s="575"/>
      <c r="X59" s="557">
        <f t="shared" si="5"/>
        <v>0</v>
      </c>
      <c r="Y59" s="558">
        <f t="shared" si="15"/>
        <v>0</v>
      </c>
      <c r="Z59" s="559"/>
      <c r="AA59" s="601">
        <f t="shared" si="7"/>
        <v>0</v>
      </c>
      <c r="AB59" s="602">
        <f t="shared" si="8"/>
        <v>0</v>
      </c>
      <c r="AC59" s="602">
        <f t="shared" si="9"/>
        <v>0</v>
      </c>
      <c r="AD59" s="602">
        <f t="shared" si="10"/>
        <v>0</v>
      </c>
      <c r="AE59" s="631">
        <f t="shared" si="11"/>
        <v>0</v>
      </c>
      <c r="AF59" s="635"/>
      <c r="AG59" s="579"/>
      <c r="AH59" s="579"/>
      <c r="AI59" s="579"/>
      <c r="AJ59" s="579"/>
      <c r="AK59" s="580"/>
      <c r="AL59" s="581"/>
      <c r="AM59" s="581"/>
      <c r="AN59" s="581"/>
      <c r="AO59" s="636"/>
      <c r="AP59" s="1020">
        <f t="shared" si="12"/>
        <v>0</v>
      </c>
      <c r="AQ59" s="637"/>
      <c r="AR59" s="329"/>
      <c r="AS59" s="1023">
        <f t="shared" si="16"/>
        <v>0</v>
      </c>
      <c r="AT59" s="329"/>
      <c r="AU59" s="329"/>
    </row>
    <row r="60" spans="1:47" x14ac:dyDescent="0.25">
      <c r="A60" s="567"/>
      <c r="B60" s="568"/>
      <c r="C60" s="569"/>
      <c r="D60" s="569"/>
      <c r="E60" s="570">
        <f t="shared" si="6"/>
        <v>0</v>
      </c>
      <c r="F60" s="571"/>
      <c r="G60" s="551"/>
      <c r="H60" s="572"/>
      <c r="I60" s="573"/>
      <c r="J60" s="573"/>
      <c r="K60" s="574"/>
      <c r="L60" s="606">
        <f t="shared" si="13"/>
        <v>0</v>
      </c>
      <c r="M60" s="555">
        <f t="shared" si="14"/>
        <v>0</v>
      </c>
      <c r="N60" s="575"/>
      <c r="O60" s="575"/>
      <c r="P60" s="575"/>
      <c r="Q60" s="575"/>
      <c r="R60" s="575"/>
      <c r="S60" s="575"/>
      <c r="T60" s="575"/>
      <c r="U60" s="575"/>
      <c r="V60" s="575"/>
      <c r="W60" s="575"/>
      <c r="X60" s="557">
        <f t="shared" si="5"/>
        <v>0</v>
      </c>
      <c r="Y60" s="558">
        <f t="shared" si="15"/>
        <v>0</v>
      </c>
      <c r="Z60" s="559"/>
      <c r="AA60" s="601">
        <f t="shared" si="7"/>
        <v>0</v>
      </c>
      <c r="AB60" s="602">
        <f t="shared" si="8"/>
        <v>0</v>
      </c>
      <c r="AC60" s="602">
        <f t="shared" si="9"/>
        <v>0</v>
      </c>
      <c r="AD60" s="602">
        <f t="shared" si="10"/>
        <v>0</v>
      </c>
      <c r="AE60" s="631">
        <f t="shared" si="11"/>
        <v>0</v>
      </c>
      <c r="AF60" s="635"/>
      <c r="AG60" s="579"/>
      <c r="AH60" s="579"/>
      <c r="AI60" s="579"/>
      <c r="AJ60" s="579"/>
      <c r="AK60" s="580"/>
      <c r="AL60" s="581"/>
      <c r="AM60" s="581"/>
      <c r="AN60" s="581"/>
      <c r="AO60" s="636"/>
      <c r="AP60" s="1020">
        <f t="shared" si="12"/>
        <v>0</v>
      </c>
      <c r="AQ60" s="637"/>
      <c r="AR60" s="329"/>
      <c r="AS60" s="1023">
        <f t="shared" si="16"/>
        <v>0</v>
      </c>
      <c r="AT60" s="329"/>
      <c r="AU60" s="329"/>
    </row>
    <row r="61" spans="1:47" x14ac:dyDescent="0.25">
      <c r="A61" s="567"/>
      <c r="B61" s="568"/>
      <c r="C61" s="569"/>
      <c r="D61" s="569"/>
      <c r="E61" s="570">
        <f t="shared" si="6"/>
        <v>0</v>
      </c>
      <c r="F61" s="571"/>
      <c r="G61" s="551"/>
      <c r="H61" s="572"/>
      <c r="I61" s="573"/>
      <c r="J61" s="573"/>
      <c r="K61" s="574"/>
      <c r="L61" s="606">
        <f t="shared" si="13"/>
        <v>0</v>
      </c>
      <c r="M61" s="555">
        <f t="shared" si="14"/>
        <v>0</v>
      </c>
      <c r="N61" s="575"/>
      <c r="O61" s="575"/>
      <c r="P61" s="575"/>
      <c r="Q61" s="575"/>
      <c r="R61" s="575"/>
      <c r="S61" s="575"/>
      <c r="T61" s="575"/>
      <c r="U61" s="575"/>
      <c r="V61" s="575"/>
      <c r="W61" s="575"/>
      <c r="X61" s="557">
        <f t="shared" si="5"/>
        <v>0</v>
      </c>
      <c r="Y61" s="558">
        <f t="shared" si="15"/>
        <v>0</v>
      </c>
      <c r="Z61" s="559"/>
      <c r="AA61" s="601">
        <f t="shared" si="7"/>
        <v>0</v>
      </c>
      <c r="AB61" s="602">
        <f t="shared" si="8"/>
        <v>0</v>
      </c>
      <c r="AC61" s="602">
        <f t="shared" si="9"/>
        <v>0</v>
      </c>
      <c r="AD61" s="602">
        <f t="shared" si="10"/>
        <v>0</v>
      </c>
      <c r="AE61" s="631">
        <f t="shared" si="11"/>
        <v>0</v>
      </c>
      <c r="AF61" s="635"/>
      <c r="AG61" s="579"/>
      <c r="AH61" s="579"/>
      <c r="AI61" s="579"/>
      <c r="AJ61" s="579"/>
      <c r="AK61" s="580"/>
      <c r="AL61" s="581"/>
      <c r="AM61" s="581"/>
      <c r="AN61" s="581"/>
      <c r="AO61" s="636"/>
      <c r="AP61" s="1020">
        <f t="shared" si="12"/>
        <v>0</v>
      </c>
      <c r="AQ61" s="637"/>
      <c r="AR61" s="329"/>
      <c r="AS61" s="1023">
        <f t="shared" si="16"/>
        <v>0</v>
      </c>
      <c r="AT61" s="329"/>
      <c r="AU61" s="329"/>
    </row>
    <row r="62" spans="1:47" x14ac:dyDescent="0.25">
      <c r="A62" s="567"/>
      <c r="B62" s="568"/>
      <c r="C62" s="569"/>
      <c r="D62" s="569"/>
      <c r="E62" s="570">
        <f t="shared" si="6"/>
        <v>0</v>
      </c>
      <c r="F62" s="571"/>
      <c r="G62" s="551"/>
      <c r="H62" s="572"/>
      <c r="I62" s="573"/>
      <c r="J62" s="573"/>
      <c r="K62" s="574"/>
      <c r="L62" s="606">
        <f t="shared" si="13"/>
        <v>0</v>
      </c>
      <c r="M62" s="555">
        <f t="shared" si="14"/>
        <v>0</v>
      </c>
      <c r="N62" s="575"/>
      <c r="O62" s="575"/>
      <c r="P62" s="575"/>
      <c r="Q62" s="575"/>
      <c r="R62" s="575"/>
      <c r="S62" s="575"/>
      <c r="T62" s="575"/>
      <c r="U62" s="575"/>
      <c r="V62" s="575"/>
      <c r="W62" s="575"/>
      <c r="X62" s="557">
        <f t="shared" si="5"/>
        <v>0</v>
      </c>
      <c r="Y62" s="558">
        <f t="shared" si="15"/>
        <v>0</v>
      </c>
      <c r="Z62" s="559"/>
      <c r="AA62" s="601">
        <f t="shared" si="7"/>
        <v>0</v>
      </c>
      <c r="AB62" s="602">
        <f t="shared" si="8"/>
        <v>0</v>
      </c>
      <c r="AC62" s="602">
        <f t="shared" si="9"/>
        <v>0</v>
      </c>
      <c r="AD62" s="602">
        <f t="shared" si="10"/>
        <v>0</v>
      </c>
      <c r="AE62" s="631">
        <f t="shared" si="11"/>
        <v>0</v>
      </c>
      <c r="AF62" s="635"/>
      <c r="AG62" s="579"/>
      <c r="AH62" s="579"/>
      <c r="AI62" s="579"/>
      <c r="AJ62" s="579"/>
      <c r="AK62" s="580"/>
      <c r="AL62" s="581"/>
      <c r="AM62" s="581"/>
      <c r="AN62" s="581"/>
      <c r="AO62" s="636"/>
      <c r="AP62" s="1020">
        <f t="shared" si="12"/>
        <v>0</v>
      </c>
      <c r="AQ62" s="637"/>
      <c r="AR62" s="329"/>
      <c r="AS62" s="1023">
        <f t="shared" si="16"/>
        <v>0</v>
      </c>
      <c r="AT62" s="329"/>
      <c r="AU62" s="329"/>
    </row>
    <row r="63" spans="1:47" x14ac:dyDescent="0.25">
      <c r="A63" s="567"/>
      <c r="B63" s="568"/>
      <c r="C63" s="569"/>
      <c r="D63" s="569"/>
      <c r="E63" s="570">
        <f t="shared" si="6"/>
        <v>0</v>
      </c>
      <c r="F63" s="571"/>
      <c r="G63" s="551"/>
      <c r="H63" s="572"/>
      <c r="I63" s="573"/>
      <c r="J63" s="573"/>
      <c r="K63" s="574"/>
      <c r="L63" s="606">
        <f t="shared" si="13"/>
        <v>0</v>
      </c>
      <c r="M63" s="555">
        <f t="shared" si="14"/>
        <v>0</v>
      </c>
      <c r="N63" s="575"/>
      <c r="O63" s="575"/>
      <c r="P63" s="575"/>
      <c r="Q63" s="575"/>
      <c r="R63" s="575"/>
      <c r="S63" s="575"/>
      <c r="T63" s="575"/>
      <c r="U63" s="575"/>
      <c r="V63" s="575"/>
      <c r="W63" s="575"/>
      <c r="X63" s="557">
        <f t="shared" si="5"/>
        <v>0</v>
      </c>
      <c r="Y63" s="558">
        <f t="shared" si="15"/>
        <v>0</v>
      </c>
      <c r="Z63" s="559"/>
      <c r="AA63" s="601">
        <f t="shared" si="7"/>
        <v>0</v>
      </c>
      <c r="AB63" s="602">
        <f t="shared" si="8"/>
        <v>0</v>
      </c>
      <c r="AC63" s="602">
        <f t="shared" si="9"/>
        <v>0</v>
      </c>
      <c r="AD63" s="602">
        <f t="shared" si="10"/>
        <v>0</v>
      </c>
      <c r="AE63" s="631">
        <f t="shared" si="11"/>
        <v>0</v>
      </c>
      <c r="AF63" s="635"/>
      <c r="AG63" s="579"/>
      <c r="AH63" s="579"/>
      <c r="AI63" s="579"/>
      <c r="AJ63" s="579"/>
      <c r="AK63" s="580"/>
      <c r="AL63" s="581"/>
      <c r="AM63" s="581"/>
      <c r="AN63" s="581"/>
      <c r="AO63" s="636"/>
      <c r="AP63" s="1020">
        <f t="shared" si="12"/>
        <v>0</v>
      </c>
      <c r="AQ63" s="637"/>
      <c r="AR63" s="329"/>
      <c r="AS63" s="1023">
        <f t="shared" si="16"/>
        <v>0</v>
      </c>
      <c r="AT63" s="329"/>
      <c r="AU63" s="329"/>
    </row>
    <row r="64" spans="1:47" x14ac:dyDescent="0.25">
      <c r="A64" s="567"/>
      <c r="B64" s="568"/>
      <c r="C64" s="569"/>
      <c r="D64" s="569"/>
      <c r="E64" s="570">
        <f t="shared" si="6"/>
        <v>0</v>
      </c>
      <c r="F64" s="571"/>
      <c r="G64" s="551"/>
      <c r="H64" s="572"/>
      <c r="I64" s="573"/>
      <c r="J64" s="573"/>
      <c r="K64" s="574"/>
      <c r="L64" s="606">
        <f t="shared" si="13"/>
        <v>0</v>
      </c>
      <c r="M64" s="555">
        <f t="shared" si="14"/>
        <v>0</v>
      </c>
      <c r="N64" s="575"/>
      <c r="O64" s="575"/>
      <c r="P64" s="575"/>
      <c r="Q64" s="575"/>
      <c r="R64" s="575"/>
      <c r="S64" s="575"/>
      <c r="T64" s="575"/>
      <c r="U64" s="575"/>
      <c r="V64" s="575"/>
      <c r="W64" s="575"/>
      <c r="X64" s="557">
        <f t="shared" si="5"/>
        <v>0</v>
      </c>
      <c r="Y64" s="558">
        <f t="shared" si="15"/>
        <v>0</v>
      </c>
      <c r="Z64" s="559"/>
      <c r="AA64" s="601">
        <f t="shared" si="7"/>
        <v>0</v>
      </c>
      <c r="AB64" s="602">
        <f t="shared" si="8"/>
        <v>0</v>
      </c>
      <c r="AC64" s="602">
        <f t="shared" si="9"/>
        <v>0</v>
      </c>
      <c r="AD64" s="602">
        <f t="shared" si="10"/>
        <v>0</v>
      </c>
      <c r="AE64" s="631">
        <f t="shared" si="11"/>
        <v>0</v>
      </c>
      <c r="AF64" s="635"/>
      <c r="AG64" s="579"/>
      <c r="AH64" s="579"/>
      <c r="AI64" s="579"/>
      <c r="AJ64" s="579"/>
      <c r="AK64" s="580"/>
      <c r="AL64" s="581"/>
      <c r="AM64" s="581"/>
      <c r="AN64" s="581"/>
      <c r="AO64" s="636"/>
      <c r="AP64" s="1020">
        <f t="shared" si="12"/>
        <v>0</v>
      </c>
      <c r="AQ64" s="637"/>
      <c r="AR64" s="329"/>
      <c r="AS64" s="1023">
        <f t="shared" si="16"/>
        <v>0</v>
      </c>
      <c r="AT64" s="329"/>
      <c r="AU64" s="329"/>
    </row>
    <row r="65" spans="1:47" x14ac:dyDescent="0.25">
      <c r="A65" s="567"/>
      <c r="B65" s="568"/>
      <c r="C65" s="569"/>
      <c r="D65" s="569"/>
      <c r="E65" s="570">
        <f t="shared" si="6"/>
        <v>0</v>
      </c>
      <c r="F65" s="571"/>
      <c r="G65" s="551"/>
      <c r="H65" s="572"/>
      <c r="I65" s="573"/>
      <c r="J65" s="573"/>
      <c r="K65" s="574"/>
      <c r="L65" s="606">
        <f t="shared" si="13"/>
        <v>0</v>
      </c>
      <c r="M65" s="555">
        <f t="shared" si="14"/>
        <v>0</v>
      </c>
      <c r="N65" s="575"/>
      <c r="O65" s="575"/>
      <c r="P65" s="575"/>
      <c r="Q65" s="575"/>
      <c r="R65" s="575"/>
      <c r="S65" s="575"/>
      <c r="T65" s="575"/>
      <c r="U65" s="575"/>
      <c r="V65" s="575"/>
      <c r="W65" s="575"/>
      <c r="X65" s="557">
        <f t="shared" si="5"/>
        <v>0</v>
      </c>
      <c r="Y65" s="558">
        <f t="shared" si="15"/>
        <v>0</v>
      </c>
      <c r="Z65" s="559"/>
      <c r="AA65" s="601">
        <f t="shared" si="7"/>
        <v>0</v>
      </c>
      <c r="AB65" s="602">
        <f t="shared" si="8"/>
        <v>0</v>
      </c>
      <c r="AC65" s="602">
        <f t="shared" si="9"/>
        <v>0</v>
      </c>
      <c r="AD65" s="602">
        <f t="shared" si="10"/>
        <v>0</v>
      </c>
      <c r="AE65" s="631">
        <f t="shared" si="11"/>
        <v>0</v>
      </c>
      <c r="AF65" s="635"/>
      <c r="AG65" s="579"/>
      <c r="AH65" s="579"/>
      <c r="AI65" s="579"/>
      <c r="AJ65" s="579"/>
      <c r="AK65" s="580"/>
      <c r="AL65" s="581"/>
      <c r="AM65" s="581"/>
      <c r="AN65" s="581"/>
      <c r="AO65" s="636"/>
      <c r="AP65" s="1020">
        <f t="shared" si="12"/>
        <v>0</v>
      </c>
      <c r="AQ65" s="637"/>
      <c r="AR65" s="329"/>
      <c r="AS65" s="1023">
        <f t="shared" si="16"/>
        <v>0</v>
      </c>
      <c r="AT65" s="329"/>
      <c r="AU65" s="329"/>
    </row>
    <row r="66" spans="1:47" x14ac:dyDescent="0.25">
      <c r="A66" s="567"/>
      <c r="B66" s="568"/>
      <c r="C66" s="569"/>
      <c r="D66" s="569"/>
      <c r="E66" s="570">
        <f t="shared" si="6"/>
        <v>0</v>
      </c>
      <c r="F66" s="571"/>
      <c r="G66" s="551"/>
      <c r="H66" s="572"/>
      <c r="I66" s="573"/>
      <c r="J66" s="573"/>
      <c r="K66" s="574"/>
      <c r="L66" s="606">
        <f t="shared" si="13"/>
        <v>0</v>
      </c>
      <c r="M66" s="555">
        <f t="shared" si="14"/>
        <v>0</v>
      </c>
      <c r="N66" s="575"/>
      <c r="O66" s="575"/>
      <c r="P66" s="575"/>
      <c r="Q66" s="575"/>
      <c r="R66" s="575"/>
      <c r="S66" s="575"/>
      <c r="T66" s="575"/>
      <c r="U66" s="575"/>
      <c r="V66" s="575"/>
      <c r="W66" s="575"/>
      <c r="X66" s="557">
        <f t="shared" si="5"/>
        <v>0</v>
      </c>
      <c r="Y66" s="558">
        <f t="shared" si="15"/>
        <v>0</v>
      </c>
      <c r="Z66" s="559"/>
      <c r="AA66" s="601">
        <f t="shared" si="7"/>
        <v>0</v>
      </c>
      <c r="AB66" s="602">
        <f t="shared" si="8"/>
        <v>0</v>
      </c>
      <c r="AC66" s="602">
        <f t="shared" si="9"/>
        <v>0</v>
      </c>
      <c r="AD66" s="602">
        <f t="shared" si="10"/>
        <v>0</v>
      </c>
      <c r="AE66" s="631">
        <f t="shared" si="11"/>
        <v>0</v>
      </c>
      <c r="AF66" s="635"/>
      <c r="AG66" s="579"/>
      <c r="AH66" s="579"/>
      <c r="AI66" s="579"/>
      <c r="AJ66" s="579"/>
      <c r="AK66" s="580"/>
      <c r="AL66" s="581"/>
      <c r="AM66" s="581"/>
      <c r="AN66" s="581"/>
      <c r="AO66" s="636"/>
      <c r="AP66" s="1020">
        <f t="shared" si="12"/>
        <v>0</v>
      </c>
      <c r="AQ66" s="637"/>
      <c r="AR66" s="329"/>
      <c r="AS66" s="1023">
        <f t="shared" si="16"/>
        <v>0</v>
      </c>
      <c r="AT66" s="329"/>
      <c r="AU66" s="329"/>
    </row>
    <row r="67" spans="1:47" x14ac:dyDescent="0.25">
      <c r="A67" s="567"/>
      <c r="B67" s="568"/>
      <c r="C67" s="569"/>
      <c r="D67" s="569"/>
      <c r="E67" s="570">
        <f t="shared" si="6"/>
        <v>0</v>
      </c>
      <c r="F67" s="571"/>
      <c r="G67" s="551"/>
      <c r="H67" s="572"/>
      <c r="I67" s="573"/>
      <c r="J67" s="573"/>
      <c r="K67" s="574"/>
      <c r="L67" s="606">
        <f t="shared" si="13"/>
        <v>0</v>
      </c>
      <c r="M67" s="555">
        <f t="shared" si="14"/>
        <v>0</v>
      </c>
      <c r="N67" s="575"/>
      <c r="O67" s="575"/>
      <c r="P67" s="575"/>
      <c r="Q67" s="575"/>
      <c r="R67" s="575"/>
      <c r="S67" s="575"/>
      <c r="T67" s="575"/>
      <c r="U67" s="575"/>
      <c r="V67" s="575"/>
      <c r="W67" s="575"/>
      <c r="X67" s="557">
        <f t="shared" si="5"/>
        <v>0</v>
      </c>
      <c r="Y67" s="558">
        <f t="shared" si="15"/>
        <v>0</v>
      </c>
      <c r="Z67" s="559"/>
      <c r="AA67" s="601">
        <f t="shared" si="7"/>
        <v>0</v>
      </c>
      <c r="AB67" s="602">
        <f t="shared" si="8"/>
        <v>0</v>
      </c>
      <c r="AC67" s="602">
        <f t="shared" si="9"/>
        <v>0</v>
      </c>
      <c r="AD67" s="602">
        <f t="shared" si="10"/>
        <v>0</v>
      </c>
      <c r="AE67" s="631">
        <f t="shared" si="11"/>
        <v>0</v>
      </c>
      <c r="AF67" s="635"/>
      <c r="AG67" s="579"/>
      <c r="AH67" s="579"/>
      <c r="AI67" s="579"/>
      <c r="AJ67" s="579"/>
      <c r="AK67" s="580"/>
      <c r="AL67" s="581"/>
      <c r="AM67" s="581"/>
      <c r="AN67" s="581"/>
      <c r="AO67" s="636"/>
      <c r="AP67" s="1020">
        <f t="shared" si="12"/>
        <v>0</v>
      </c>
      <c r="AQ67" s="637"/>
      <c r="AR67" s="329"/>
      <c r="AS67" s="1023">
        <f t="shared" si="16"/>
        <v>0</v>
      </c>
      <c r="AT67" s="329"/>
      <c r="AU67" s="329"/>
    </row>
    <row r="68" spans="1:47" x14ac:dyDescent="0.25">
      <c r="A68" s="567"/>
      <c r="B68" s="568"/>
      <c r="C68" s="569"/>
      <c r="D68" s="569"/>
      <c r="E68" s="570">
        <f t="shared" si="6"/>
        <v>0</v>
      </c>
      <c r="F68" s="571"/>
      <c r="G68" s="551"/>
      <c r="H68" s="572"/>
      <c r="I68" s="573"/>
      <c r="J68" s="573"/>
      <c r="K68" s="574"/>
      <c r="L68" s="606">
        <f t="shared" si="13"/>
        <v>0</v>
      </c>
      <c r="M68" s="555">
        <f t="shared" si="14"/>
        <v>0</v>
      </c>
      <c r="N68" s="575"/>
      <c r="O68" s="575"/>
      <c r="P68" s="575"/>
      <c r="Q68" s="575"/>
      <c r="R68" s="575"/>
      <c r="S68" s="575"/>
      <c r="T68" s="575"/>
      <c r="U68" s="575"/>
      <c r="V68" s="575"/>
      <c r="W68" s="575"/>
      <c r="X68" s="557">
        <f t="shared" si="5"/>
        <v>0</v>
      </c>
      <c r="Y68" s="558">
        <f t="shared" si="15"/>
        <v>0</v>
      </c>
      <c r="Z68" s="559"/>
      <c r="AA68" s="601">
        <f t="shared" si="7"/>
        <v>0</v>
      </c>
      <c r="AB68" s="602">
        <f t="shared" si="8"/>
        <v>0</v>
      </c>
      <c r="AC68" s="602">
        <f t="shared" si="9"/>
        <v>0</v>
      </c>
      <c r="AD68" s="602">
        <f t="shared" si="10"/>
        <v>0</v>
      </c>
      <c r="AE68" s="631">
        <f t="shared" si="11"/>
        <v>0</v>
      </c>
      <c r="AF68" s="635"/>
      <c r="AG68" s="579"/>
      <c r="AH68" s="579"/>
      <c r="AI68" s="579"/>
      <c r="AJ68" s="579"/>
      <c r="AK68" s="580"/>
      <c r="AL68" s="581"/>
      <c r="AM68" s="581"/>
      <c r="AN68" s="581"/>
      <c r="AO68" s="636"/>
      <c r="AP68" s="1020">
        <f t="shared" si="12"/>
        <v>0</v>
      </c>
      <c r="AQ68" s="637"/>
      <c r="AR68" s="329"/>
      <c r="AS68" s="1023">
        <f t="shared" si="16"/>
        <v>0</v>
      </c>
      <c r="AT68" s="329"/>
      <c r="AU68" s="329"/>
    </row>
    <row r="69" spans="1:47" x14ac:dyDescent="0.25">
      <c r="A69" s="567"/>
      <c r="B69" s="568"/>
      <c r="C69" s="569"/>
      <c r="D69" s="569"/>
      <c r="E69" s="570">
        <f t="shared" si="6"/>
        <v>0</v>
      </c>
      <c r="F69" s="571"/>
      <c r="G69" s="551"/>
      <c r="H69" s="572"/>
      <c r="I69" s="573"/>
      <c r="J69" s="573"/>
      <c r="K69" s="574"/>
      <c r="L69" s="606">
        <f t="shared" si="13"/>
        <v>0</v>
      </c>
      <c r="M69" s="555">
        <f t="shared" si="14"/>
        <v>0</v>
      </c>
      <c r="N69" s="575"/>
      <c r="O69" s="575"/>
      <c r="P69" s="575"/>
      <c r="Q69" s="575"/>
      <c r="R69" s="575"/>
      <c r="S69" s="575"/>
      <c r="T69" s="575"/>
      <c r="U69" s="575"/>
      <c r="V69" s="575"/>
      <c r="W69" s="575"/>
      <c r="X69" s="557">
        <f t="shared" si="5"/>
        <v>0</v>
      </c>
      <c r="Y69" s="558">
        <f t="shared" si="15"/>
        <v>0</v>
      </c>
      <c r="Z69" s="559"/>
      <c r="AA69" s="601">
        <f t="shared" si="7"/>
        <v>0</v>
      </c>
      <c r="AB69" s="602">
        <f t="shared" si="8"/>
        <v>0</v>
      </c>
      <c r="AC69" s="602">
        <f t="shared" si="9"/>
        <v>0</v>
      </c>
      <c r="AD69" s="602">
        <f t="shared" si="10"/>
        <v>0</v>
      </c>
      <c r="AE69" s="631">
        <f t="shared" si="11"/>
        <v>0</v>
      </c>
      <c r="AF69" s="635"/>
      <c r="AG69" s="579"/>
      <c r="AH69" s="579"/>
      <c r="AI69" s="579"/>
      <c r="AJ69" s="579"/>
      <c r="AK69" s="580"/>
      <c r="AL69" s="581"/>
      <c r="AM69" s="581"/>
      <c r="AN69" s="581"/>
      <c r="AO69" s="636"/>
      <c r="AP69" s="1020">
        <f t="shared" si="12"/>
        <v>0</v>
      </c>
      <c r="AQ69" s="637"/>
      <c r="AR69" s="329"/>
      <c r="AS69" s="1023">
        <f t="shared" si="16"/>
        <v>0</v>
      </c>
      <c r="AT69" s="329"/>
      <c r="AU69" s="329"/>
    </row>
    <row r="70" spans="1:47" x14ac:dyDescent="0.25">
      <c r="A70" s="639" t="s">
        <v>398</v>
      </c>
      <c r="B70" s="640"/>
      <c r="C70" s="641"/>
      <c r="D70" s="569"/>
      <c r="E70" s="570">
        <f t="shared" ref="E70:E74" si="17">IFERROR(D70/B70,0)</f>
        <v>0</v>
      </c>
      <c r="F70" s="639" t="s">
        <v>398</v>
      </c>
      <c r="G70" s="642"/>
      <c r="H70" s="568"/>
      <c r="I70" s="1775"/>
      <c r="J70" s="1776"/>
      <c r="K70" s="1776"/>
      <c r="L70" s="1776"/>
      <c r="M70" s="1776"/>
      <c r="N70" s="1776"/>
      <c r="O70" s="1776"/>
      <c r="P70" s="1776"/>
      <c r="Q70" s="1776"/>
      <c r="R70" s="1776"/>
      <c r="S70" s="1776"/>
      <c r="T70" s="1776"/>
      <c r="U70" s="1776"/>
      <c r="V70" s="1776"/>
      <c r="W70" s="1777"/>
      <c r="X70" s="643"/>
      <c r="Y70" s="558">
        <f>IFERROR(X70/H70,0)</f>
        <v>0</v>
      </c>
      <c r="Z70" s="559"/>
      <c r="AA70" s="644"/>
      <c r="AB70" s="644"/>
      <c r="AC70" s="644"/>
      <c r="AD70" s="644"/>
      <c r="AE70" s="644"/>
      <c r="AF70" s="644"/>
      <c r="AG70" s="644"/>
      <c r="AH70" s="644"/>
      <c r="AI70" s="644"/>
      <c r="AJ70" s="644"/>
      <c r="AK70" s="644"/>
      <c r="AL70" s="644"/>
      <c r="AM70" s="644"/>
      <c r="AN70" s="644"/>
      <c r="AO70" s="644"/>
      <c r="AP70" s="645"/>
      <c r="AQ70" s="645"/>
    </row>
    <row r="71" spans="1:47" x14ac:dyDescent="0.25">
      <c r="A71" s="639" t="s">
        <v>398</v>
      </c>
      <c r="B71" s="640"/>
      <c r="C71" s="646"/>
      <c r="D71" s="569"/>
      <c r="E71" s="570">
        <f t="shared" si="17"/>
        <v>0</v>
      </c>
      <c r="F71" s="639" t="s">
        <v>398</v>
      </c>
      <c r="G71" s="642"/>
      <c r="H71" s="568"/>
      <c r="I71" s="1778"/>
      <c r="J71" s="1779"/>
      <c r="K71" s="1779"/>
      <c r="L71" s="1779"/>
      <c r="M71" s="1779"/>
      <c r="N71" s="1779"/>
      <c r="O71" s="1779"/>
      <c r="P71" s="1779"/>
      <c r="Q71" s="1779"/>
      <c r="R71" s="1779"/>
      <c r="S71" s="1779"/>
      <c r="T71" s="1779"/>
      <c r="U71" s="1779"/>
      <c r="V71" s="1779"/>
      <c r="W71" s="1780"/>
      <c r="X71" s="643"/>
      <c r="Y71" s="558">
        <f>IF(H71&gt;0,X71/H71,0)</f>
        <v>0</v>
      </c>
      <c r="Z71" s="559"/>
      <c r="AA71" s="644"/>
      <c r="AB71" s="644"/>
      <c r="AC71" s="644"/>
      <c r="AD71" s="644"/>
      <c r="AE71" s="644"/>
      <c r="AF71" s="644"/>
      <c r="AG71" s="644"/>
      <c r="AH71" s="644"/>
      <c r="AI71" s="644"/>
      <c r="AJ71" s="644"/>
      <c r="AK71" s="644"/>
      <c r="AL71" s="644"/>
      <c r="AM71" s="644"/>
      <c r="AN71" s="644"/>
      <c r="AO71" s="644"/>
      <c r="AP71" s="645"/>
      <c r="AQ71" s="645"/>
    </row>
    <row r="72" spans="1:47" x14ac:dyDescent="0.25">
      <c r="A72" s="639" t="s">
        <v>398</v>
      </c>
      <c r="B72" s="640"/>
      <c r="C72" s="646"/>
      <c r="D72" s="569"/>
      <c r="E72" s="570">
        <f t="shared" si="17"/>
        <v>0</v>
      </c>
      <c r="F72" s="639" t="s">
        <v>398</v>
      </c>
      <c r="G72" s="642"/>
      <c r="H72" s="568"/>
      <c r="I72" s="1778"/>
      <c r="J72" s="1779"/>
      <c r="K72" s="1779"/>
      <c r="L72" s="1779"/>
      <c r="M72" s="1779"/>
      <c r="N72" s="1779"/>
      <c r="O72" s="1779"/>
      <c r="P72" s="1779"/>
      <c r="Q72" s="1779"/>
      <c r="R72" s="1779"/>
      <c r="S72" s="1779"/>
      <c r="T72" s="1779"/>
      <c r="U72" s="1779"/>
      <c r="V72" s="1779"/>
      <c r="W72" s="1780"/>
      <c r="X72" s="643"/>
      <c r="Y72" s="558">
        <f>IF(H72&gt;0,X72/H72,0)</f>
        <v>0</v>
      </c>
      <c r="Z72" s="559"/>
      <c r="AA72" s="644"/>
      <c r="AB72" s="644"/>
      <c r="AC72" s="644"/>
      <c r="AD72" s="644"/>
      <c r="AE72" s="644"/>
      <c r="AF72" s="644"/>
      <c r="AG72" s="644"/>
      <c r="AH72" s="644"/>
      <c r="AI72" s="644"/>
      <c r="AJ72" s="644"/>
      <c r="AK72" s="644"/>
      <c r="AL72" s="644"/>
      <c r="AM72" s="644"/>
      <c r="AN72" s="644"/>
      <c r="AO72" s="644"/>
      <c r="AP72" s="645"/>
      <c r="AQ72" s="645"/>
    </row>
    <row r="73" spans="1:47" x14ac:dyDescent="0.25">
      <c r="A73" s="639" t="s">
        <v>398</v>
      </c>
      <c r="B73" s="640"/>
      <c r="C73" s="646"/>
      <c r="D73" s="569"/>
      <c r="E73" s="570">
        <f t="shared" si="17"/>
        <v>0</v>
      </c>
      <c r="F73" s="639" t="s">
        <v>398</v>
      </c>
      <c r="G73" s="642"/>
      <c r="H73" s="568"/>
      <c r="I73" s="1778"/>
      <c r="J73" s="1779"/>
      <c r="K73" s="1779"/>
      <c r="L73" s="1779"/>
      <c r="M73" s="1779"/>
      <c r="N73" s="1779"/>
      <c r="O73" s="1779"/>
      <c r="P73" s="1779"/>
      <c r="Q73" s="1779"/>
      <c r="R73" s="1779"/>
      <c r="S73" s="1779"/>
      <c r="T73" s="1779"/>
      <c r="U73" s="1779"/>
      <c r="V73" s="1779"/>
      <c r="W73" s="1780"/>
      <c r="X73" s="643"/>
      <c r="Y73" s="558">
        <f>IF(H73&gt;0,X73/H73,0)</f>
        <v>0</v>
      </c>
      <c r="Z73" s="559"/>
      <c r="AA73" s="644"/>
      <c r="AB73" s="644"/>
      <c r="AC73" s="644"/>
      <c r="AD73" s="644"/>
      <c r="AE73" s="644"/>
      <c r="AF73" s="644"/>
      <c r="AG73" s="644"/>
      <c r="AH73" s="644"/>
      <c r="AI73" s="644"/>
      <c r="AJ73" s="644"/>
      <c r="AK73" s="644"/>
      <c r="AL73" s="644"/>
      <c r="AM73" s="644"/>
      <c r="AN73" s="644"/>
      <c r="AO73" s="644"/>
      <c r="AP73" s="645"/>
      <c r="AQ73" s="645"/>
    </row>
    <row r="74" spans="1:47" ht="14.4" thickBot="1" x14ac:dyDescent="0.3">
      <c r="A74" s="647" t="s">
        <v>398</v>
      </c>
      <c r="B74" s="640"/>
      <c r="C74" s="646"/>
      <c r="D74" s="648"/>
      <c r="E74" s="649">
        <f t="shared" si="17"/>
        <v>0</v>
      </c>
      <c r="F74" s="639" t="s">
        <v>398</v>
      </c>
      <c r="G74" s="642"/>
      <c r="H74" s="568"/>
      <c r="I74" s="1781"/>
      <c r="J74" s="1782"/>
      <c r="K74" s="1782"/>
      <c r="L74" s="1782"/>
      <c r="M74" s="1782"/>
      <c r="N74" s="1782"/>
      <c r="O74" s="1782"/>
      <c r="P74" s="1782"/>
      <c r="Q74" s="1782"/>
      <c r="R74" s="1782"/>
      <c r="S74" s="1782"/>
      <c r="T74" s="1782"/>
      <c r="U74" s="1782"/>
      <c r="V74" s="1782"/>
      <c r="W74" s="1783"/>
      <c r="X74" s="643"/>
      <c r="Y74" s="558">
        <f>IF(H74&gt;0,X74/H74,0)</f>
        <v>0</v>
      </c>
      <c r="Z74" s="559"/>
      <c r="AA74" s="644"/>
      <c r="AB74" s="644"/>
      <c r="AC74" s="644"/>
      <c r="AD74" s="644"/>
      <c r="AE74" s="644"/>
      <c r="AF74" s="644"/>
      <c r="AG74" s="644"/>
      <c r="AH74" s="644"/>
      <c r="AI74" s="644"/>
      <c r="AJ74" s="644"/>
      <c r="AK74" s="644"/>
      <c r="AL74" s="644"/>
      <c r="AM74" s="644"/>
      <c r="AN74" s="644"/>
      <c r="AO74" s="644"/>
      <c r="AP74" s="645"/>
      <c r="AQ74" s="645"/>
    </row>
    <row r="75" spans="1:47" ht="40.200000000000003" thickBot="1" x14ac:dyDescent="0.3">
      <c r="A75" s="650" t="s">
        <v>399</v>
      </c>
      <c r="B75" s="1456">
        <f>SUM(B38:B74)</f>
        <v>0</v>
      </c>
      <c r="C75" s="593">
        <f>IFERROR(SUM(C38:C69)/(B75-SUM(B70:B74)),0)</f>
        <v>0</v>
      </c>
      <c r="D75" s="594">
        <f>SUM(D38:D74)</f>
        <v>0</v>
      </c>
      <c r="E75" s="595">
        <f>IFERROR(D75/B75,0)</f>
        <v>0</v>
      </c>
      <c r="F75" s="1784" t="s">
        <v>399</v>
      </c>
      <c r="G75" s="1785"/>
      <c r="H75" s="1459">
        <f>SUM(H38:H74)</f>
        <v>0</v>
      </c>
      <c r="I75" s="316"/>
      <c r="J75" s="316"/>
      <c r="K75" s="316"/>
      <c r="L75" s="316"/>
      <c r="M75" s="593">
        <f t="shared" ref="M75:W75" si="18">IFERROR(SUM(M38:M69)/($H$75-SUM($H$70:$H$74)),0)</f>
        <v>0</v>
      </c>
      <c r="N75" s="593">
        <f t="shared" si="18"/>
        <v>0</v>
      </c>
      <c r="O75" s="593">
        <f t="shared" si="18"/>
        <v>0</v>
      </c>
      <c r="P75" s="593">
        <f t="shared" si="18"/>
        <v>0</v>
      </c>
      <c r="Q75" s="593">
        <f t="shared" si="18"/>
        <v>0</v>
      </c>
      <c r="R75" s="593">
        <f t="shared" si="18"/>
        <v>0</v>
      </c>
      <c r="S75" s="593">
        <f t="shared" si="18"/>
        <v>0</v>
      </c>
      <c r="T75" s="593">
        <f t="shared" si="18"/>
        <v>0</v>
      </c>
      <c r="U75" s="593">
        <f t="shared" si="18"/>
        <v>0</v>
      </c>
      <c r="V75" s="652">
        <f t="shared" si="18"/>
        <v>0</v>
      </c>
      <c r="W75" s="593">
        <f t="shared" si="18"/>
        <v>0</v>
      </c>
      <c r="X75" s="597">
        <f>SUM(X38:X69)+IF(H70&gt;0,X70,0)+IF(H71&gt;0,X71,0)+IF(H72&gt;0,X72,0)+IF(H73&gt;0,X73,0)+IF(H74&gt;0,X74,0)</f>
        <v>0</v>
      </c>
      <c r="Y75" s="598">
        <f>IFERROR(SUM(X75/H75),0)</f>
        <v>0</v>
      </c>
      <c r="Z75" s="653"/>
      <c r="AA75" s="654"/>
      <c r="AB75" s="654"/>
      <c r="AC75" s="654"/>
      <c r="AD75" s="654"/>
      <c r="AE75" s="654"/>
      <c r="AF75" s="654"/>
      <c r="AG75" s="654"/>
      <c r="AH75" s="654"/>
      <c r="AI75" s="654"/>
      <c r="AJ75" s="654"/>
      <c r="AK75" s="654"/>
      <c r="AL75" s="654"/>
      <c r="AM75" s="654"/>
      <c r="AN75" s="654"/>
      <c r="AO75" s="654"/>
      <c r="AP75" s="655"/>
      <c r="AQ75" s="655"/>
    </row>
    <row r="76" spans="1:47" x14ac:dyDescent="0.25">
      <c r="F76" s="657"/>
      <c r="H76" s="43"/>
      <c r="I76" s="43"/>
      <c r="S76" s="658"/>
      <c r="X76" s="659"/>
      <c r="Y76" s="660"/>
      <c r="Z76" s="661"/>
      <c r="AA76" s="662"/>
      <c r="AB76" s="662"/>
      <c r="AC76" s="662"/>
      <c r="AD76" s="662"/>
      <c r="AE76" s="662"/>
      <c r="AF76" s="662"/>
      <c r="AG76" s="662"/>
      <c r="AH76" s="662"/>
      <c r="AI76" s="662"/>
      <c r="AJ76" s="662"/>
      <c r="AK76" s="662"/>
      <c r="AL76" s="662"/>
      <c r="AM76" s="662"/>
      <c r="AN76" s="662"/>
      <c r="AO76" s="662"/>
      <c r="AP76" s="645"/>
      <c r="AQ76" s="645"/>
    </row>
    <row r="77" spans="1:47" x14ac:dyDescent="0.25">
      <c r="A77" s="144" t="s">
        <v>400</v>
      </c>
      <c r="E77" s="663"/>
      <c r="F77" s="144" t="s">
        <v>400</v>
      </c>
      <c r="G77" s="144"/>
      <c r="H77" s="43"/>
      <c r="I77" s="43"/>
      <c r="P77" s="664"/>
      <c r="Q77" s="664"/>
      <c r="R77" s="664"/>
      <c r="S77" s="188"/>
      <c r="T77" s="188"/>
      <c r="U77" s="188"/>
      <c r="V77" s="188"/>
      <c r="W77" s="188"/>
      <c r="X77" s="188"/>
      <c r="Y77" s="665"/>
      <c r="Z77" s="666"/>
      <c r="AA77" s="667"/>
      <c r="AB77" s="667"/>
      <c r="AC77" s="667"/>
      <c r="AD77" s="667"/>
      <c r="AE77" s="667"/>
      <c r="AF77" s="667"/>
      <c r="AG77" s="667"/>
      <c r="AH77" s="667"/>
      <c r="AI77" s="667"/>
      <c r="AJ77" s="667"/>
      <c r="AK77" s="667"/>
      <c r="AL77" s="667"/>
      <c r="AM77" s="667"/>
      <c r="AN77" s="667"/>
      <c r="AO77" s="667"/>
      <c r="AP77" s="668"/>
      <c r="AQ77" s="668"/>
    </row>
    <row r="78" spans="1:47" x14ac:dyDescent="0.25">
      <c r="A78" s="567"/>
      <c r="B78" s="568"/>
      <c r="C78" s="569"/>
      <c r="D78" s="569"/>
      <c r="E78" s="570">
        <f>IFERROR(D78/B78,0)</f>
        <v>0</v>
      </c>
      <c r="F78" s="571"/>
      <c r="G78" s="845"/>
      <c r="H78" s="572"/>
      <c r="I78" s="573"/>
      <c r="J78" s="573"/>
      <c r="K78" s="574"/>
      <c r="L78" s="670">
        <f>IFERROR(IF($K$24="VK",K78,K78/H78),0)</f>
        <v>0</v>
      </c>
      <c r="M78" s="671">
        <f>IFERROR(L78*H78,"")</f>
        <v>0</v>
      </c>
      <c r="N78" s="575"/>
      <c r="O78" s="575"/>
      <c r="P78" s="575"/>
      <c r="Q78" s="575"/>
      <c r="R78" s="575"/>
      <c r="S78" s="575"/>
      <c r="T78" s="575"/>
      <c r="U78" s="575"/>
      <c r="V78" s="575"/>
      <c r="W78" s="575"/>
      <c r="X78" s="672">
        <f t="shared" ref="X78:X108" si="19">IF(AND(H78&gt;0,F78&lt;&gt;"GfB"),(SUM(M78:P78,R78,V78,Q78)*12+(T78+U78))*(100+$P$17+$P$18)%+((S78+W78)*12),IF(AND(H78&gt;0,F78="GfB"),(SUM(M78:P78,R78,V78,Q78)*12+(T78+U78))*(100+$P$20+$P$18)%+((S78+W78)*12),0))</f>
        <v>0</v>
      </c>
      <c r="Y78" s="673">
        <f>IF(ISERROR(X78/H78),0,(X78/H78))</f>
        <v>0</v>
      </c>
      <c r="Z78" s="559"/>
      <c r="AA78" s="560"/>
      <c r="AB78" s="561"/>
      <c r="AC78" s="561"/>
      <c r="AD78" s="561"/>
      <c r="AE78" s="674"/>
      <c r="AF78" s="675">
        <f>(IF(AND($H78&gt;0,$K78&gt;0),($M78+$N78),0))</f>
        <v>0</v>
      </c>
      <c r="AG78" s="603">
        <f>(IF(AND($H78&gt;0,$K78&gt;0),$O78,0))</f>
        <v>0</v>
      </c>
      <c r="AH78" s="603">
        <f>(IF(AND($H78&gt;0,$K78&gt;0),$P78,0))</f>
        <v>0</v>
      </c>
      <c r="AI78" s="603">
        <f>(IF(AND($H78&gt;0,$K78&gt;0),$Q78,0))</f>
        <v>0</v>
      </c>
      <c r="AJ78" s="676">
        <f>(IF(AND($H78&gt;0,$K78&gt;0),(($T78+$U78)/12),0))</f>
        <v>0</v>
      </c>
      <c r="AK78" s="677"/>
      <c r="AL78" s="565"/>
      <c r="AM78" s="565"/>
      <c r="AN78" s="565"/>
      <c r="AO78" s="565"/>
      <c r="AP78" s="678"/>
      <c r="AQ78" s="1014">
        <f>IF(AND($H78&gt;0,$K78&gt;0),$H78,0)</f>
        <v>0</v>
      </c>
      <c r="AR78" s="329"/>
      <c r="AS78" s="329"/>
      <c r="AT78" s="1021">
        <f>IF(AND($H78&gt;0,$K78&gt;0),$X78,0)</f>
        <v>0</v>
      </c>
      <c r="AU78" s="329"/>
    </row>
    <row r="79" spans="1:47" x14ac:dyDescent="0.25">
      <c r="A79" s="567"/>
      <c r="B79" s="568"/>
      <c r="C79" s="569"/>
      <c r="D79" s="569"/>
      <c r="E79" s="570">
        <f t="shared" ref="E79:E108" si="20">IFERROR(D79/B79,0)</f>
        <v>0</v>
      </c>
      <c r="F79" s="571"/>
      <c r="G79" s="845"/>
      <c r="H79" s="572"/>
      <c r="I79" s="573"/>
      <c r="J79" s="573"/>
      <c r="K79" s="574"/>
      <c r="L79" s="606">
        <f t="shared" ref="L79:L108" si="21">IFERROR(IF($K$24="VK",K79,K79/H79),0)</f>
        <v>0</v>
      </c>
      <c r="M79" s="555">
        <f t="shared" ref="M79:M108" si="22">IFERROR(L79*H79,"")</f>
        <v>0</v>
      </c>
      <c r="N79" s="575"/>
      <c r="O79" s="575"/>
      <c r="P79" s="575"/>
      <c r="Q79" s="575"/>
      <c r="R79" s="575"/>
      <c r="S79" s="575"/>
      <c r="T79" s="575"/>
      <c r="U79" s="575"/>
      <c r="V79" s="575"/>
      <c r="W79" s="575"/>
      <c r="X79" s="557">
        <f t="shared" si="19"/>
        <v>0</v>
      </c>
      <c r="Y79" s="558">
        <f t="shared" ref="Y79:Y108" si="23">IF(ISERROR(X79/H79),0,(X79/H79))</f>
        <v>0</v>
      </c>
      <c r="Z79" s="559"/>
      <c r="AA79" s="576"/>
      <c r="AB79" s="577"/>
      <c r="AC79" s="577"/>
      <c r="AD79" s="577"/>
      <c r="AE79" s="679"/>
      <c r="AF79" s="675">
        <f t="shared" ref="AF79:AF108" si="24">(IF(AND($H79&gt;0,$K79&gt;0),($M79+$N79),0))</f>
        <v>0</v>
      </c>
      <c r="AG79" s="603">
        <f t="shared" ref="AG79:AG108" si="25">(IF(AND($H79&gt;0,$K79&gt;0),$O79,0))</f>
        <v>0</v>
      </c>
      <c r="AH79" s="603">
        <f t="shared" ref="AH79:AH108" si="26">(IF(AND($H79&gt;0,$K79&gt;0),$P79,0))</f>
        <v>0</v>
      </c>
      <c r="AI79" s="603">
        <f t="shared" ref="AI79:AI108" si="27">(IF(AND($H79&gt;0,$K79&gt;0),$Q79,0))</f>
        <v>0</v>
      </c>
      <c r="AJ79" s="676">
        <f t="shared" ref="AJ79:AJ108" si="28">(IF(AND($H79&gt;0,$K79&gt;0),(($T79+$U79)/12),0))</f>
        <v>0</v>
      </c>
      <c r="AK79" s="680"/>
      <c r="AL79" s="581"/>
      <c r="AM79" s="581"/>
      <c r="AN79" s="581"/>
      <c r="AO79" s="581"/>
      <c r="AP79" s="681"/>
      <c r="AQ79" s="1014">
        <f t="shared" ref="AQ79:AQ107" si="29">IF(AND($H79&gt;0,$K79&gt;0),$H79,0)</f>
        <v>0</v>
      </c>
      <c r="AR79" s="329"/>
      <c r="AS79" s="329"/>
      <c r="AT79" s="1021">
        <f t="shared" ref="AT79:AT108" si="30">IF(AND($H79&gt;0,$K79&gt;0),$X79,0)</f>
        <v>0</v>
      </c>
      <c r="AU79" s="329"/>
    </row>
    <row r="80" spans="1:47" x14ac:dyDescent="0.25">
      <c r="A80" s="567"/>
      <c r="B80" s="568"/>
      <c r="C80" s="569"/>
      <c r="D80" s="569"/>
      <c r="E80" s="570">
        <f t="shared" si="20"/>
        <v>0</v>
      </c>
      <c r="F80" s="571"/>
      <c r="G80" s="845"/>
      <c r="H80" s="572"/>
      <c r="I80" s="573"/>
      <c r="J80" s="573"/>
      <c r="K80" s="574"/>
      <c r="L80" s="606">
        <f t="shared" si="21"/>
        <v>0</v>
      </c>
      <c r="M80" s="555">
        <f t="shared" si="22"/>
        <v>0</v>
      </c>
      <c r="N80" s="575"/>
      <c r="O80" s="575"/>
      <c r="P80" s="575"/>
      <c r="Q80" s="575"/>
      <c r="R80" s="575"/>
      <c r="S80" s="575"/>
      <c r="T80" s="575"/>
      <c r="U80" s="575"/>
      <c r="V80" s="575"/>
      <c r="W80" s="575"/>
      <c r="X80" s="557">
        <f t="shared" si="19"/>
        <v>0</v>
      </c>
      <c r="Y80" s="558">
        <f t="shared" si="23"/>
        <v>0</v>
      </c>
      <c r="Z80" s="559"/>
      <c r="AA80" s="576"/>
      <c r="AB80" s="577"/>
      <c r="AC80" s="577"/>
      <c r="AD80" s="577"/>
      <c r="AE80" s="679"/>
      <c r="AF80" s="675">
        <f t="shared" si="24"/>
        <v>0</v>
      </c>
      <c r="AG80" s="603">
        <f t="shared" si="25"/>
        <v>0</v>
      </c>
      <c r="AH80" s="603">
        <f t="shared" si="26"/>
        <v>0</v>
      </c>
      <c r="AI80" s="603">
        <f t="shared" si="27"/>
        <v>0</v>
      </c>
      <c r="AJ80" s="676">
        <f t="shared" si="28"/>
        <v>0</v>
      </c>
      <c r="AK80" s="680"/>
      <c r="AL80" s="581"/>
      <c r="AM80" s="581"/>
      <c r="AN80" s="581"/>
      <c r="AO80" s="581"/>
      <c r="AP80" s="681"/>
      <c r="AQ80" s="1014">
        <f t="shared" si="29"/>
        <v>0</v>
      </c>
      <c r="AR80" s="329"/>
      <c r="AS80" s="329"/>
      <c r="AT80" s="1021">
        <f t="shared" si="30"/>
        <v>0</v>
      </c>
      <c r="AU80" s="329"/>
    </row>
    <row r="81" spans="1:47" x14ac:dyDescent="0.25">
      <c r="A81" s="567"/>
      <c r="B81" s="568"/>
      <c r="C81" s="569"/>
      <c r="D81" s="569"/>
      <c r="E81" s="570">
        <f t="shared" si="20"/>
        <v>0</v>
      </c>
      <c r="F81" s="571"/>
      <c r="G81" s="845"/>
      <c r="H81" s="572"/>
      <c r="I81" s="573"/>
      <c r="J81" s="573"/>
      <c r="K81" s="574"/>
      <c r="L81" s="606">
        <f t="shared" si="21"/>
        <v>0</v>
      </c>
      <c r="M81" s="555">
        <f t="shared" si="22"/>
        <v>0</v>
      </c>
      <c r="N81" s="575"/>
      <c r="O81" s="575"/>
      <c r="P81" s="575"/>
      <c r="Q81" s="575"/>
      <c r="R81" s="575"/>
      <c r="S81" s="575"/>
      <c r="T81" s="575"/>
      <c r="U81" s="575"/>
      <c r="V81" s="575"/>
      <c r="W81" s="575"/>
      <c r="X81" s="557">
        <f t="shared" si="19"/>
        <v>0</v>
      </c>
      <c r="Y81" s="558">
        <f t="shared" si="23"/>
        <v>0</v>
      </c>
      <c r="Z81" s="559"/>
      <c r="AA81" s="576"/>
      <c r="AB81" s="577"/>
      <c r="AC81" s="577"/>
      <c r="AD81" s="577"/>
      <c r="AE81" s="679"/>
      <c r="AF81" s="675">
        <f t="shared" si="24"/>
        <v>0</v>
      </c>
      <c r="AG81" s="603">
        <f t="shared" si="25"/>
        <v>0</v>
      </c>
      <c r="AH81" s="603">
        <f t="shared" si="26"/>
        <v>0</v>
      </c>
      <c r="AI81" s="603">
        <f t="shared" si="27"/>
        <v>0</v>
      </c>
      <c r="AJ81" s="676">
        <f t="shared" si="28"/>
        <v>0</v>
      </c>
      <c r="AK81" s="680"/>
      <c r="AL81" s="581"/>
      <c r="AM81" s="581"/>
      <c r="AN81" s="581"/>
      <c r="AO81" s="581"/>
      <c r="AP81" s="681"/>
      <c r="AQ81" s="1014">
        <f t="shared" si="29"/>
        <v>0</v>
      </c>
      <c r="AR81" s="329"/>
      <c r="AS81" s="329"/>
      <c r="AT81" s="1021">
        <f t="shared" si="30"/>
        <v>0</v>
      </c>
      <c r="AU81" s="329"/>
    </row>
    <row r="82" spans="1:47" x14ac:dyDescent="0.25">
      <c r="A82" s="567"/>
      <c r="B82" s="568"/>
      <c r="C82" s="569"/>
      <c r="D82" s="569"/>
      <c r="E82" s="570">
        <f t="shared" si="20"/>
        <v>0</v>
      </c>
      <c r="F82" s="571"/>
      <c r="G82" s="845"/>
      <c r="H82" s="572"/>
      <c r="I82" s="573"/>
      <c r="J82" s="573"/>
      <c r="K82" s="574"/>
      <c r="L82" s="606">
        <f t="shared" si="21"/>
        <v>0</v>
      </c>
      <c r="M82" s="555">
        <f t="shared" si="22"/>
        <v>0</v>
      </c>
      <c r="N82" s="575"/>
      <c r="O82" s="575"/>
      <c r="P82" s="575"/>
      <c r="Q82" s="575"/>
      <c r="R82" s="575"/>
      <c r="S82" s="575"/>
      <c r="T82" s="575"/>
      <c r="U82" s="575"/>
      <c r="V82" s="575"/>
      <c r="W82" s="575"/>
      <c r="X82" s="557">
        <f t="shared" si="19"/>
        <v>0</v>
      </c>
      <c r="Y82" s="558">
        <f t="shared" si="23"/>
        <v>0</v>
      </c>
      <c r="Z82" s="559"/>
      <c r="AA82" s="576"/>
      <c r="AB82" s="577"/>
      <c r="AC82" s="577"/>
      <c r="AD82" s="577"/>
      <c r="AE82" s="679"/>
      <c r="AF82" s="675">
        <f t="shared" si="24"/>
        <v>0</v>
      </c>
      <c r="AG82" s="603">
        <f t="shared" si="25"/>
        <v>0</v>
      </c>
      <c r="AH82" s="603">
        <f t="shared" si="26"/>
        <v>0</v>
      </c>
      <c r="AI82" s="603">
        <f t="shared" si="27"/>
        <v>0</v>
      </c>
      <c r="AJ82" s="676">
        <f t="shared" si="28"/>
        <v>0</v>
      </c>
      <c r="AK82" s="680"/>
      <c r="AL82" s="581"/>
      <c r="AM82" s="581"/>
      <c r="AN82" s="581"/>
      <c r="AO82" s="581"/>
      <c r="AP82" s="681"/>
      <c r="AQ82" s="1014">
        <f t="shared" si="29"/>
        <v>0</v>
      </c>
      <c r="AR82" s="329"/>
      <c r="AS82" s="329"/>
      <c r="AT82" s="1021">
        <f t="shared" si="30"/>
        <v>0</v>
      </c>
      <c r="AU82" s="329"/>
    </row>
    <row r="83" spans="1:47" x14ac:dyDescent="0.25">
      <c r="A83" s="567"/>
      <c r="B83" s="568"/>
      <c r="C83" s="569"/>
      <c r="D83" s="569"/>
      <c r="E83" s="570">
        <f t="shared" si="20"/>
        <v>0</v>
      </c>
      <c r="F83" s="571"/>
      <c r="G83" s="845"/>
      <c r="H83" s="572"/>
      <c r="I83" s="573"/>
      <c r="J83" s="573"/>
      <c r="K83" s="574"/>
      <c r="L83" s="606">
        <f t="shared" si="21"/>
        <v>0</v>
      </c>
      <c r="M83" s="555">
        <f t="shared" si="22"/>
        <v>0</v>
      </c>
      <c r="N83" s="575"/>
      <c r="O83" s="575"/>
      <c r="P83" s="575"/>
      <c r="Q83" s="575"/>
      <c r="R83" s="575"/>
      <c r="S83" s="575"/>
      <c r="T83" s="575"/>
      <c r="U83" s="575"/>
      <c r="V83" s="575"/>
      <c r="W83" s="575"/>
      <c r="X83" s="557">
        <f t="shared" si="19"/>
        <v>0</v>
      </c>
      <c r="Y83" s="558">
        <f t="shared" si="23"/>
        <v>0</v>
      </c>
      <c r="Z83" s="559"/>
      <c r="AA83" s="576"/>
      <c r="AB83" s="577"/>
      <c r="AC83" s="577"/>
      <c r="AD83" s="577"/>
      <c r="AE83" s="679"/>
      <c r="AF83" s="675">
        <f t="shared" si="24"/>
        <v>0</v>
      </c>
      <c r="AG83" s="603">
        <f t="shared" si="25"/>
        <v>0</v>
      </c>
      <c r="AH83" s="603">
        <f t="shared" si="26"/>
        <v>0</v>
      </c>
      <c r="AI83" s="603">
        <f t="shared" si="27"/>
        <v>0</v>
      </c>
      <c r="AJ83" s="676">
        <f t="shared" si="28"/>
        <v>0</v>
      </c>
      <c r="AK83" s="680"/>
      <c r="AL83" s="581"/>
      <c r="AM83" s="581"/>
      <c r="AN83" s="581"/>
      <c r="AO83" s="581"/>
      <c r="AP83" s="681"/>
      <c r="AQ83" s="1014">
        <f t="shared" si="29"/>
        <v>0</v>
      </c>
      <c r="AR83" s="329"/>
      <c r="AS83" s="329"/>
      <c r="AT83" s="1021">
        <f t="shared" si="30"/>
        <v>0</v>
      </c>
      <c r="AU83" s="329"/>
    </row>
    <row r="84" spans="1:47" x14ac:dyDescent="0.25">
      <c r="A84" s="567"/>
      <c r="B84" s="568"/>
      <c r="C84" s="569"/>
      <c r="D84" s="569"/>
      <c r="E84" s="570">
        <f t="shared" si="20"/>
        <v>0</v>
      </c>
      <c r="F84" s="571"/>
      <c r="G84" s="845"/>
      <c r="H84" s="572"/>
      <c r="I84" s="573"/>
      <c r="J84" s="573"/>
      <c r="K84" s="574"/>
      <c r="L84" s="606">
        <f t="shared" si="21"/>
        <v>0</v>
      </c>
      <c r="M84" s="555">
        <f t="shared" si="22"/>
        <v>0</v>
      </c>
      <c r="N84" s="575"/>
      <c r="O84" s="575"/>
      <c r="P84" s="575"/>
      <c r="Q84" s="575"/>
      <c r="R84" s="575"/>
      <c r="S84" s="575"/>
      <c r="T84" s="575"/>
      <c r="U84" s="575"/>
      <c r="V84" s="575"/>
      <c r="W84" s="575"/>
      <c r="X84" s="557">
        <f t="shared" si="19"/>
        <v>0</v>
      </c>
      <c r="Y84" s="558">
        <f t="shared" si="23"/>
        <v>0</v>
      </c>
      <c r="Z84" s="559"/>
      <c r="AA84" s="576"/>
      <c r="AB84" s="577"/>
      <c r="AC84" s="577"/>
      <c r="AD84" s="577"/>
      <c r="AE84" s="679"/>
      <c r="AF84" s="675">
        <f t="shared" si="24"/>
        <v>0</v>
      </c>
      <c r="AG84" s="603">
        <f t="shared" si="25"/>
        <v>0</v>
      </c>
      <c r="AH84" s="603">
        <f t="shared" si="26"/>
        <v>0</v>
      </c>
      <c r="AI84" s="603">
        <f t="shared" si="27"/>
        <v>0</v>
      </c>
      <c r="AJ84" s="676">
        <f t="shared" si="28"/>
        <v>0</v>
      </c>
      <c r="AK84" s="680"/>
      <c r="AL84" s="581"/>
      <c r="AM84" s="581"/>
      <c r="AN84" s="581"/>
      <c r="AO84" s="581"/>
      <c r="AP84" s="681"/>
      <c r="AQ84" s="1014">
        <f t="shared" si="29"/>
        <v>0</v>
      </c>
      <c r="AR84" s="329"/>
      <c r="AS84" s="329"/>
      <c r="AT84" s="1021">
        <f t="shared" si="30"/>
        <v>0</v>
      </c>
      <c r="AU84" s="329"/>
    </row>
    <row r="85" spans="1:47" x14ac:dyDescent="0.25">
      <c r="A85" s="567"/>
      <c r="B85" s="568"/>
      <c r="C85" s="569"/>
      <c r="D85" s="569"/>
      <c r="E85" s="570">
        <f t="shared" si="20"/>
        <v>0</v>
      </c>
      <c r="F85" s="571"/>
      <c r="G85" s="845"/>
      <c r="H85" s="572"/>
      <c r="I85" s="573"/>
      <c r="J85" s="573"/>
      <c r="K85" s="574"/>
      <c r="L85" s="606">
        <f t="shared" si="21"/>
        <v>0</v>
      </c>
      <c r="M85" s="555">
        <f t="shared" si="22"/>
        <v>0</v>
      </c>
      <c r="N85" s="575"/>
      <c r="O85" s="575"/>
      <c r="P85" s="575"/>
      <c r="Q85" s="575"/>
      <c r="R85" s="575"/>
      <c r="S85" s="575"/>
      <c r="T85" s="575"/>
      <c r="U85" s="575"/>
      <c r="V85" s="575"/>
      <c r="W85" s="575"/>
      <c r="X85" s="557">
        <f t="shared" si="19"/>
        <v>0</v>
      </c>
      <c r="Y85" s="558">
        <f t="shared" si="23"/>
        <v>0</v>
      </c>
      <c r="Z85" s="559"/>
      <c r="AA85" s="576"/>
      <c r="AB85" s="577"/>
      <c r="AC85" s="577"/>
      <c r="AD85" s="577"/>
      <c r="AE85" s="679"/>
      <c r="AF85" s="675">
        <f t="shared" si="24"/>
        <v>0</v>
      </c>
      <c r="AG85" s="603">
        <f t="shared" si="25"/>
        <v>0</v>
      </c>
      <c r="AH85" s="603">
        <f t="shared" si="26"/>
        <v>0</v>
      </c>
      <c r="AI85" s="603">
        <f t="shared" si="27"/>
        <v>0</v>
      </c>
      <c r="AJ85" s="676">
        <f t="shared" si="28"/>
        <v>0</v>
      </c>
      <c r="AK85" s="680"/>
      <c r="AL85" s="581"/>
      <c r="AM85" s="581"/>
      <c r="AN85" s="581"/>
      <c r="AO85" s="581"/>
      <c r="AP85" s="681"/>
      <c r="AQ85" s="1014">
        <f t="shared" si="29"/>
        <v>0</v>
      </c>
      <c r="AR85" s="329"/>
      <c r="AS85" s="329"/>
      <c r="AT85" s="1021">
        <f t="shared" si="30"/>
        <v>0</v>
      </c>
      <c r="AU85" s="329"/>
    </row>
    <row r="86" spans="1:47" x14ac:dyDescent="0.25">
      <c r="A86" s="567"/>
      <c r="B86" s="568"/>
      <c r="C86" s="569"/>
      <c r="D86" s="569"/>
      <c r="E86" s="570">
        <f t="shared" si="20"/>
        <v>0</v>
      </c>
      <c r="F86" s="571"/>
      <c r="G86" s="845"/>
      <c r="H86" s="572"/>
      <c r="I86" s="573"/>
      <c r="J86" s="573"/>
      <c r="K86" s="574"/>
      <c r="L86" s="606">
        <f t="shared" si="21"/>
        <v>0</v>
      </c>
      <c r="M86" s="555">
        <f t="shared" si="22"/>
        <v>0</v>
      </c>
      <c r="N86" s="575"/>
      <c r="O86" s="575"/>
      <c r="P86" s="575"/>
      <c r="Q86" s="575"/>
      <c r="R86" s="575"/>
      <c r="S86" s="575"/>
      <c r="T86" s="575"/>
      <c r="U86" s="575"/>
      <c r="V86" s="575"/>
      <c r="W86" s="575"/>
      <c r="X86" s="557">
        <f t="shared" si="19"/>
        <v>0</v>
      </c>
      <c r="Y86" s="558">
        <f t="shared" si="23"/>
        <v>0</v>
      </c>
      <c r="Z86" s="559"/>
      <c r="AA86" s="576"/>
      <c r="AB86" s="577"/>
      <c r="AC86" s="577"/>
      <c r="AD86" s="577"/>
      <c r="AE86" s="679"/>
      <c r="AF86" s="675">
        <f t="shared" si="24"/>
        <v>0</v>
      </c>
      <c r="AG86" s="603">
        <f t="shared" si="25"/>
        <v>0</v>
      </c>
      <c r="AH86" s="603">
        <f t="shared" si="26"/>
        <v>0</v>
      </c>
      <c r="AI86" s="603">
        <f t="shared" si="27"/>
        <v>0</v>
      </c>
      <c r="AJ86" s="676">
        <f t="shared" si="28"/>
        <v>0</v>
      </c>
      <c r="AK86" s="680"/>
      <c r="AL86" s="581"/>
      <c r="AM86" s="581"/>
      <c r="AN86" s="581"/>
      <c r="AO86" s="581"/>
      <c r="AP86" s="681"/>
      <c r="AQ86" s="1014">
        <f t="shared" si="29"/>
        <v>0</v>
      </c>
      <c r="AR86" s="329"/>
      <c r="AS86" s="329"/>
      <c r="AT86" s="1021">
        <f t="shared" si="30"/>
        <v>0</v>
      </c>
      <c r="AU86" s="329"/>
    </row>
    <row r="87" spans="1:47" x14ac:dyDescent="0.25">
      <c r="A87" s="567"/>
      <c r="B87" s="568"/>
      <c r="C87" s="569"/>
      <c r="D87" s="569"/>
      <c r="E87" s="570">
        <f t="shared" si="20"/>
        <v>0</v>
      </c>
      <c r="F87" s="571"/>
      <c r="G87" s="845"/>
      <c r="H87" s="572"/>
      <c r="I87" s="573"/>
      <c r="J87" s="573"/>
      <c r="K87" s="574"/>
      <c r="L87" s="606">
        <f t="shared" si="21"/>
        <v>0</v>
      </c>
      <c r="M87" s="555">
        <f t="shared" si="22"/>
        <v>0</v>
      </c>
      <c r="N87" s="575"/>
      <c r="O87" s="575"/>
      <c r="P87" s="575"/>
      <c r="Q87" s="575"/>
      <c r="R87" s="575"/>
      <c r="S87" s="575"/>
      <c r="T87" s="575"/>
      <c r="U87" s="575"/>
      <c r="V87" s="575"/>
      <c r="W87" s="575"/>
      <c r="X87" s="557">
        <f t="shared" si="19"/>
        <v>0</v>
      </c>
      <c r="Y87" s="558">
        <f t="shared" si="23"/>
        <v>0</v>
      </c>
      <c r="Z87" s="559"/>
      <c r="AA87" s="576"/>
      <c r="AB87" s="577"/>
      <c r="AC87" s="577"/>
      <c r="AD87" s="577"/>
      <c r="AE87" s="679"/>
      <c r="AF87" s="675">
        <f t="shared" si="24"/>
        <v>0</v>
      </c>
      <c r="AG87" s="603">
        <f t="shared" si="25"/>
        <v>0</v>
      </c>
      <c r="AH87" s="603">
        <f t="shared" si="26"/>
        <v>0</v>
      </c>
      <c r="AI87" s="603">
        <f t="shared" si="27"/>
        <v>0</v>
      </c>
      <c r="AJ87" s="676">
        <f t="shared" si="28"/>
        <v>0</v>
      </c>
      <c r="AK87" s="680"/>
      <c r="AL87" s="581"/>
      <c r="AM87" s="581"/>
      <c r="AN87" s="581"/>
      <c r="AO87" s="581"/>
      <c r="AP87" s="681"/>
      <c r="AQ87" s="1014">
        <f t="shared" si="29"/>
        <v>0</v>
      </c>
      <c r="AR87" s="329"/>
      <c r="AS87" s="329"/>
      <c r="AT87" s="1021">
        <f t="shared" si="30"/>
        <v>0</v>
      </c>
      <c r="AU87" s="329"/>
    </row>
    <row r="88" spans="1:47" x14ac:dyDescent="0.25">
      <c r="A88" s="567"/>
      <c r="B88" s="568"/>
      <c r="C88" s="569"/>
      <c r="D88" s="569"/>
      <c r="E88" s="570">
        <f t="shared" si="20"/>
        <v>0</v>
      </c>
      <c r="F88" s="571"/>
      <c r="G88" s="845"/>
      <c r="H88" s="572"/>
      <c r="I88" s="573"/>
      <c r="J88" s="573"/>
      <c r="K88" s="574"/>
      <c r="L88" s="606">
        <f t="shared" si="21"/>
        <v>0</v>
      </c>
      <c r="M88" s="555">
        <f t="shared" si="22"/>
        <v>0</v>
      </c>
      <c r="N88" s="575"/>
      <c r="O88" s="575"/>
      <c r="P88" s="575"/>
      <c r="Q88" s="575"/>
      <c r="R88" s="575"/>
      <c r="S88" s="575"/>
      <c r="T88" s="575"/>
      <c r="U88" s="575"/>
      <c r="V88" s="575"/>
      <c r="W88" s="575"/>
      <c r="X88" s="557">
        <f t="shared" si="19"/>
        <v>0</v>
      </c>
      <c r="Y88" s="558">
        <f t="shared" si="23"/>
        <v>0</v>
      </c>
      <c r="Z88" s="559"/>
      <c r="AA88" s="576"/>
      <c r="AB88" s="577"/>
      <c r="AC88" s="577"/>
      <c r="AD88" s="577"/>
      <c r="AE88" s="679"/>
      <c r="AF88" s="675">
        <f t="shared" si="24"/>
        <v>0</v>
      </c>
      <c r="AG88" s="603">
        <f t="shared" si="25"/>
        <v>0</v>
      </c>
      <c r="AH88" s="603">
        <f t="shared" si="26"/>
        <v>0</v>
      </c>
      <c r="AI88" s="603">
        <f t="shared" si="27"/>
        <v>0</v>
      </c>
      <c r="AJ88" s="676">
        <f t="shared" si="28"/>
        <v>0</v>
      </c>
      <c r="AK88" s="680"/>
      <c r="AL88" s="581"/>
      <c r="AM88" s="581"/>
      <c r="AN88" s="581"/>
      <c r="AO88" s="581"/>
      <c r="AP88" s="681"/>
      <c r="AQ88" s="1014">
        <f t="shared" si="29"/>
        <v>0</v>
      </c>
      <c r="AR88" s="329"/>
      <c r="AS88" s="329"/>
      <c r="AT88" s="1021">
        <f t="shared" si="30"/>
        <v>0</v>
      </c>
      <c r="AU88" s="329"/>
    </row>
    <row r="89" spans="1:47" x14ac:dyDescent="0.25">
      <c r="A89" s="567"/>
      <c r="B89" s="568"/>
      <c r="C89" s="569"/>
      <c r="D89" s="569"/>
      <c r="E89" s="570">
        <f t="shared" si="20"/>
        <v>0</v>
      </c>
      <c r="F89" s="571"/>
      <c r="G89" s="845"/>
      <c r="H89" s="572"/>
      <c r="I89" s="573"/>
      <c r="J89" s="573"/>
      <c r="K89" s="574"/>
      <c r="L89" s="606">
        <f t="shared" si="21"/>
        <v>0</v>
      </c>
      <c r="M89" s="555">
        <f t="shared" si="22"/>
        <v>0</v>
      </c>
      <c r="N89" s="575"/>
      <c r="O89" s="575"/>
      <c r="P89" s="575"/>
      <c r="Q89" s="575"/>
      <c r="R89" s="575"/>
      <c r="S89" s="575"/>
      <c r="T89" s="575"/>
      <c r="U89" s="575"/>
      <c r="V89" s="575"/>
      <c r="W89" s="575"/>
      <c r="X89" s="557">
        <f t="shared" si="19"/>
        <v>0</v>
      </c>
      <c r="Y89" s="558">
        <f t="shared" si="23"/>
        <v>0</v>
      </c>
      <c r="Z89" s="559"/>
      <c r="AA89" s="576"/>
      <c r="AB89" s="577"/>
      <c r="AC89" s="577"/>
      <c r="AD89" s="577"/>
      <c r="AE89" s="679"/>
      <c r="AF89" s="675">
        <f t="shared" si="24"/>
        <v>0</v>
      </c>
      <c r="AG89" s="603">
        <f t="shared" si="25"/>
        <v>0</v>
      </c>
      <c r="AH89" s="603">
        <f t="shared" si="26"/>
        <v>0</v>
      </c>
      <c r="AI89" s="603">
        <f t="shared" si="27"/>
        <v>0</v>
      </c>
      <c r="AJ89" s="676">
        <f t="shared" si="28"/>
        <v>0</v>
      </c>
      <c r="AK89" s="680"/>
      <c r="AL89" s="581"/>
      <c r="AM89" s="581"/>
      <c r="AN89" s="581"/>
      <c r="AO89" s="581"/>
      <c r="AP89" s="681"/>
      <c r="AQ89" s="1014">
        <f t="shared" si="29"/>
        <v>0</v>
      </c>
      <c r="AR89" s="329"/>
      <c r="AS89" s="329"/>
      <c r="AT89" s="1021">
        <f t="shared" si="30"/>
        <v>0</v>
      </c>
      <c r="AU89" s="329"/>
    </row>
    <row r="90" spans="1:47" x14ac:dyDescent="0.25">
      <c r="A90" s="567"/>
      <c r="B90" s="568"/>
      <c r="C90" s="569"/>
      <c r="D90" s="569"/>
      <c r="E90" s="570">
        <f t="shared" si="20"/>
        <v>0</v>
      </c>
      <c r="F90" s="571"/>
      <c r="G90" s="845"/>
      <c r="H90" s="572"/>
      <c r="I90" s="573"/>
      <c r="J90" s="573"/>
      <c r="K90" s="574"/>
      <c r="L90" s="606">
        <f t="shared" si="21"/>
        <v>0</v>
      </c>
      <c r="M90" s="555">
        <f t="shared" si="22"/>
        <v>0</v>
      </c>
      <c r="N90" s="575"/>
      <c r="O90" s="575"/>
      <c r="P90" s="575"/>
      <c r="Q90" s="575"/>
      <c r="R90" s="575"/>
      <c r="S90" s="575"/>
      <c r="T90" s="575"/>
      <c r="U90" s="575"/>
      <c r="V90" s="575"/>
      <c r="W90" s="575"/>
      <c r="X90" s="557">
        <f t="shared" si="19"/>
        <v>0</v>
      </c>
      <c r="Y90" s="558">
        <f t="shared" si="23"/>
        <v>0</v>
      </c>
      <c r="Z90" s="559"/>
      <c r="AA90" s="576"/>
      <c r="AB90" s="577"/>
      <c r="AC90" s="577"/>
      <c r="AD90" s="577"/>
      <c r="AE90" s="679"/>
      <c r="AF90" s="675">
        <f t="shared" si="24"/>
        <v>0</v>
      </c>
      <c r="AG90" s="603">
        <f t="shared" si="25"/>
        <v>0</v>
      </c>
      <c r="AH90" s="603">
        <f t="shared" si="26"/>
        <v>0</v>
      </c>
      <c r="AI90" s="603">
        <f t="shared" si="27"/>
        <v>0</v>
      </c>
      <c r="AJ90" s="676">
        <f t="shared" si="28"/>
        <v>0</v>
      </c>
      <c r="AK90" s="680"/>
      <c r="AL90" s="581"/>
      <c r="AM90" s="581"/>
      <c r="AN90" s="581"/>
      <c r="AO90" s="581"/>
      <c r="AP90" s="681"/>
      <c r="AQ90" s="1014">
        <f t="shared" si="29"/>
        <v>0</v>
      </c>
      <c r="AR90" s="329"/>
      <c r="AS90" s="329"/>
      <c r="AT90" s="1021">
        <f t="shared" si="30"/>
        <v>0</v>
      </c>
      <c r="AU90" s="329"/>
    </row>
    <row r="91" spans="1:47" x14ac:dyDescent="0.25">
      <c r="A91" s="567"/>
      <c r="B91" s="568"/>
      <c r="C91" s="569"/>
      <c r="D91" s="569"/>
      <c r="E91" s="570">
        <f t="shared" si="20"/>
        <v>0</v>
      </c>
      <c r="F91" s="571"/>
      <c r="G91" s="845"/>
      <c r="H91" s="572"/>
      <c r="I91" s="573"/>
      <c r="J91" s="573"/>
      <c r="K91" s="574"/>
      <c r="L91" s="606">
        <f t="shared" si="21"/>
        <v>0</v>
      </c>
      <c r="M91" s="555">
        <f t="shared" si="22"/>
        <v>0</v>
      </c>
      <c r="N91" s="575"/>
      <c r="O91" s="575"/>
      <c r="P91" s="575"/>
      <c r="Q91" s="575"/>
      <c r="R91" s="575"/>
      <c r="S91" s="575"/>
      <c r="T91" s="575"/>
      <c r="U91" s="575"/>
      <c r="V91" s="575"/>
      <c r="W91" s="575"/>
      <c r="X91" s="557">
        <f t="shared" si="19"/>
        <v>0</v>
      </c>
      <c r="Y91" s="558">
        <f t="shared" si="23"/>
        <v>0</v>
      </c>
      <c r="Z91" s="559"/>
      <c r="AA91" s="576"/>
      <c r="AB91" s="577"/>
      <c r="AC91" s="577"/>
      <c r="AD91" s="577"/>
      <c r="AE91" s="679"/>
      <c r="AF91" s="675">
        <f t="shared" si="24"/>
        <v>0</v>
      </c>
      <c r="AG91" s="603">
        <f t="shared" si="25"/>
        <v>0</v>
      </c>
      <c r="AH91" s="603">
        <f t="shared" si="26"/>
        <v>0</v>
      </c>
      <c r="AI91" s="603">
        <f t="shared" si="27"/>
        <v>0</v>
      </c>
      <c r="AJ91" s="676">
        <f t="shared" si="28"/>
        <v>0</v>
      </c>
      <c r="AK91" s="680"/>
      <c r="AL91" s="581"/>
      <c r="AM91" s="581"/>
      <c r="AN91" s="581"/>
      <c r="AO91" s="581"/>
      <c r="AP91" s="681"/>
      <c r="AQ91" s="1014">
        <f t="shared" si="29"/>
        <v>0</v>
      </c>
      <c r="AR91" s="329"/>
      <c r="AS91" s="329"/>
      <c r="AT91" s="1021">
        <f t="shared" si="30"/>
        <v>0</v>
      </c>
      <c r="AU91" s="329"/>
    </row>
    <row r="92" spans="1:47" x14ac:dyDescent="0.25">
      <c r="A92" s="567"/>
      <c r="B92" s="568"/>
      <c r="C92" s="569"/>
      <c r="D92" s="569"/>
      <c r="E92" s="570">
        <f t="shared" si="20"/>
        <v>0</v>
      </c>
      <c r="F92" s="571"/>
      <c r="G92" s="845"/>
      <c r="H92" s="572"/>
      <c r="I92" s="573"/>
      <c r="J92" s="573"/>
      <c r="K92" s="574"/>
      <c r="L92" s="606">
        <f t="shared" si="21"/>
        <v>0</v>
      </c>
      <c r="M92" s="555">
        <f t="shared" si="22"/>
        <v>0</v>
      </c>
      <c r="N92" s="575"/>
      <c r="O92" s="575"/>
      <c r="P92" s="575"/>
      <c r="Q92" s="575"/>
      <c r="R92" s="575"/>
      <c r="S92" s="575"/>
      <c r="T92" s="575"/>
      <c r="U92" s="575"/>
      <c r="V92" s="575"/>
      <c r="W92" s="575"/>
      <c r="X92" s="557">
        <f t="shared" si="19"/>
        <v>0</v>
      </c>
      <c r="Y92" s="558">
        <f t="shared" si="23"/>
        <v>0</v>
      </c>
      <c r="Z92" s="559"/>
      <c r="AA92" s="576"/>
      <c r="AB92" s="577"/>
      <c r="AC92" s="577"/>
      <c r="AD92" s="577"/>
      <c r="AE92" s="679"/>
      <c r="AF92" s="675">
        <f t="shared" si="24"/>
        <v>0</v>
      </c>
      <c r="AG92" s="603">
        <f t="shared" si="25"/>
        <v>0</v>
      </c>
      <c r="AH92" s="603">
        <f t="shared" si="26"/>
        <v>0</v>
      </c>
      <c r="AI92" s="603">
        <f t="shared" si="27"/>
        <v>0</v>
      </c>
      <c r="AJ92" s="676">
        <f t="shared" si="28"/>
        <v>0</v>
      </c>
      <c r="AK92" s="680"/>
      <c r="AL92" s="581"/>
      <c r="AM92" s="581"/>
      <c r="AN92" s="581"/>
      <c r="AO92" s="581"/>
      <c r="AP92" s="681"/>
      <c r="AQ92" s="1014">
        <f t="shared" si="29"/>
        <v>0</v>
      </c>
      <c r="AR92" s="329"/>
      <c r="AS92" s="329"/>
      <c r="AT92" s="1021">
        <f t="shared" si="30"/>
        <v>0</v>
      </c>
      <c r="AU92" s="329"/>
    </row>
    <row r="93" spans="1:47" x14ac:dyDescent="0.25">
      <c r="A93" s="567"/>
      <c r="B93" s="568"/>
      <c r="C93" s="569"/>
      <c r="D93" s="569"/>
      <c r="E93" s="570">
        <f t="shared" si="20"/>
        <v>0</v>
      </c>
      <c r="F93" s="571"/>
      <c r="G93" s="845"/>
      <c r="H93" s="572"/>
      <c r="I93" s="573"/>
      <c r="J93" s="573"/>
      <c r="K93" s="574"/>
      <c r="L93" s="606">
        <f t="shared" si="21"/>
        <v>0</v>
      </c>
      <c r="M93" s="555">
        <f t="shared" si="22"/>
        <v>0</v>
      </c>
      <c r="N93" s="575"/>
      <c r="O93" s="575"/>
      <c r="P93" s="575"/>
      <c r="Q93" s="575"/>
      <c r="R93" s="575"/>
      <c r="S93" s="575"/>
      <c r="T93" s="575"/>
      <c r="U93" s="575"/>
      <c r="V93" s="575"/>
      <c r="W93" s="575"/>
      <c r="X93" s="557">
        <f t="shared" si="19"/>
        <v>0</v>
      </c>
      <c r="Y93" s="558">
        <f t="shared" si="23"/>
        <v>0</v>
      </c>
      <c r="Z93" s="559"/>
      <c r="AA93" s="576"/>
      <c r="AB93" s="577"/>
      <c r="AC93" s="577"/>
      <c r="AD93" s="577"/>
      <c r="AE93" s="679"/>
      <c r="AF93" s="675">
        <f t="shared" si="24"/>
        <v>0</v>
      </c>
      <c r="AG93" s="603">
        <f t="shared" si="25"/>
        <v>0</v>
      </c>
      <c r="AH93" s="603">
        <f t="shared" si="26"/>
        <v>0</v>
      </c>
      <c r="AI93" s="603">
        <f t="shared" si="27"/>
        <v>0</v>
      </c>
      <c r="AJ93" s="676">
        <f t="shared" si="28"/>
        <v>0</v>
      </c>
      <c r="AK93" s="680"/>
      <c r="AL93" s="581"/>
      <c r="AM93" s="581"/>
      <c r="AN93" s="581"/>
      <c r="AO93" s="581"/>
      <c r="AP93" s="681"/>
      <c r="AQ93" s="1014">
        <f t="shared" si="29"/>
        <v>0</v>
      </c>
      <c r="AR93" s="329"/>
      <c r="AS93" s="329"/>
      <c r="AT93" s="1021">
        <f t="shared" si="30"/>
        <v>0</v>
      </c>
      <c r="AU93" s="329"/>
    </row>
    <row r="94" spans="1:47" x14ac:dyDescent="0.25">
      <c r="A94" s="567"/>
      <c r="B94" s="568"/>
      <c r="C94" s="569"/>
      <c r="D94" s="569"/>
      <c r="E94" s="570">
        <f t="shared" si="20"/>
        <v>0</v>
      </c>
      <c r="F94" s="571"/>
      <c r="G94" s="845"/>
      <c r="H94" s="572"/>
      <c r="I94" s="573"/>
      <c r="J94" s="573"/>
      <c r="K94" s="574"/>
      <c r="L94" s="606">
        <f t="shared" si="21"/>
        <v>0</v>
      </c>
      <c r="M94" s="555">
        <f t="shared" si="22"/>
        <v>0</v>
      </c>
      <c r="N94" s="575"/>
      <c r="O94" s="575"/>
      <c r="P94" s="575"/>
      <c r="Q94" s="575"/>
      <c r="R94" s="575"/>
      <c r="S94" s="575"/>
      <c r="T94" s="575"/>
      <c r="U94" s="575"/>
      <c r="V94" s="575"/>
      <c r="W94" s="575"/>
      <c r="X94" s="557">
        <f t="shared" si="19"/>
        <v>0</v>
      </c>
      <c r="Y94" s="558">
        <f t="shared" si="23"/>
        <v>0</v>
      </c>
      <c r="Z94" s="559"/>
      <c r="AA94" s="576"/>
      <c r="AB94" s="577"/>
      <c r="AC94" s="577"/>
      <c r="AD94" s="577"/>
      <c r="AE94" s="679"/>
      <c r="AF94" s="675">
        <f t="shared" si="24"/>
        <v>0</v>
      </c>
      <c r="AG94" s="603">
        <f t="shared" si="25"/>
        <v>0</v>
      </c>
      <c r="AH94" s="603">
        <f t="shared" si="26"/>
        <v>0</v>
      </c>
      <c r="AI94" s="603">
        <f t="shared" si="27"/>
        <v>0</v>
      </c>
      <c r="AJ94" s="676">
        <f t="shared" si="28"/>
        <v>0</v>
      </c>
      <c r="AK94" s="680"/>
      <c r="AL94" s="581"/>
      <c r="AM94" s="581"/>
      <c r="AN94" s="581"/>
      <c r="AO94" s="581"/>
      <c r="AP94" s="681"/>
      <c r="AQ94" s="1014">
        <f t="shared" si="29"/>
        <v>0</v>
      </c>
      <c r="AR94" s="329"/>
      <c r="AS94" s="329"/>
      <c r="AT94" s="1021">
        <f t="shared" si="30"/>
        <v>0</v>
      </c>
      <c r="AU94" s="329"/>
    </row>
    <row r="95" spans="1:47" x14ac:dyDescent="0.25">
      <c r="A95" s="567"/>
      <c r="B95" s="568"/>
      <c r="C95" s="569"/>
      <c r="D95" s="569"/>
      <c r="E95" s="570">
        <f t="shared" si="20"/>
        <v>0</v>
      </c>
      <c r="F95" s="571"/>
      <c r="G95" s="845"/>
      <c r="H95" s="572"/>
      <c r="I95" s="573"/>
      <c r="J95" s="573"/>
      <c r="K95" s="574"/>
      <c r="L95" s="606">
        <f t="shared" si="21"/>
        <v>0</v>
      </c>
      <c r="M95" s="555">
        <f t="shared" si="22"/>
        <v>0</v>
      </c>
      <c r="N95" s="575"/>
      <c r="O95" s="575"/>
      <c r="P95" s="575"/>
      <c r="Q95" s="575"/>
      <c r="R95" s="575"/>
      <c r="S95" s="575"/>
      <c r="T95" s="575"/>
      <c r="U95" s="575"/>
      <c r="V95" s="575"/>
      <c r="W95" s="575"/>
      <c r="X95" s="557">
        <f t="shared" si="19"/>
        <v>0</v>
      </c>
      <c r="Y95" s="558">
        <f t="shared" si="23"/>
        <v>0</v>
      </c>
      <c r="Z95" s="559"/>
      <c r="AA95" s="576"/>
      <c r="AB95" s="577"/>
      <c r="AC95" s="577"/>
      <c r="AD95" s="577"/>
      <c r="AE95" s="679"/>
      <c r="AF95" s="675">
        <f t="shared" si="24"/>
        <v>0</v>
      </c>
      <c r="AG95" s="603">
        <f t="shared" si="25"/>
        <v>0</v>
      </c>
      <c r="AH95" s="603">
        <f t="shared" si="26"/>
        <v>0</v>
      </c>
      <c r="AI95" s="603">
        <f t="shared" si="27"/>
        <v>0</v>
      </c>
      <c r="AJ95" s="676">
        <f t="shared" si="28"/>
        <v>0</v>
      </c>
      <c r="AK95" s="680"/>
      <c r="AL95" s="581"/>
      <c r="AM95" s="581"/>
      <c r="AN95" s="581"/>
      <c r="AO95" s="581"/>
      <c r="AP95" s="681"/>
      <c r="AQ95" s="1014">
        <f t="shared" si="29"/>
        <v>0</v>
      </c>
      <c r="AR95" s="329"/>
      <c r="AS95" s="329"/>
      <c r="AT95" s="1021">
        <f t="shared" si="30"/>
        <v>0</v>
      </c>
      <c r="AU95" s="329"/>
    </row>
    <row r="96" spans="1:47" x14ac:dyDescent="0.25">
      <c r="A96" s="567"/>
      <c r="B96" s="568"/>
      <c r="C96" s="569"/>
      <c r="D96" s="569"/>
      <c r="E96" s="570">
        <f t="shared" si="20"/>
        <v>0</v>
      </c>
      <c r="F96" s="571"/>
      <c r="G96" s="845"/>
      <c r="H96" s="572"/>
      <c r="I96" s="573"/>
      <c r="J96" s="573"/>
      <c r="K96" s="574"/>
      <c r="L96" s="606">
        <f t="shared" si="21"/>
        <v>0</v>
      </c>
      <c r="M96" s="555">
        <f t="shared" si="22"/>
        <v>0</v>
      </c>
      <c r="N96" s="575"/>
      <c r="O96" s="575"/>
      <c r="P96" s="575"/>
      <c r="Q96" s="575"/>
      <c r="R96" s="575"/>
      <c r="S96" s="575"/>
      <c r="T96" s="575"/>
      <c r="U96" s="575"/>
      <c r="V96" s="575"/>
      <c r="W96" s="575"/>
      <c r="X96" s="557">
        <f t="shared" si="19"/>
        <v>0</v>
      </c>
      <c r="Y96" s="558">
        <f t="shared" si="23"/>
        <v>0</v>
      </c>
      <c r="Z96" s="559"/>
      <c r="AA96" s="576"/>
      <c r="AB96" s="577"/>
      <c r="AC96" s="577"/>
      <c r="AD96" s="577"/>
      <c r="AE96" s="679"/>
      <c r="AF96" s="675">
        <f t="shared" si="24"/>
        <v>0</v>
      </c>
      <c r="AG96" s="603">
        <f t="shared" si="25"/>
        <v>0</v>
      </c>
      <c r="AH96" s="603">
        <f t="shared" si="26"/>
        <v>0</v>
      </c>
      <c r="AI96" s="603">
        <f t="shared" si="27"/>
        <v>0</v>
      </c>
      <c r="AJ96" s="676">
        <f t="shared" si="28"/>
        <v>0</v>
      </c>
      <c r="AK96" s="680"/>
      <c r="AL96" s="581"/>
      <c r="AM96" s="581"/>
      <c r="AN96" s="581"/>
      <c r="AO96" s="581"/>
      <c r="AP96" s="681"/>
      <c r="AQ96" s="1014">
        <f t="shared" si="29"/>
        <v>0</v>
      </c>
      <c r="AR96" s="329"/>
      <c r="AS96" s="329"/>
      <c r="AT96" s="1021">
        <f t="shared" si="30"/>
        <v>0</v>
      </c>
      <c r="AU96" s="329"/>
    </row>
    <row r="97" spans="1:47" x14ac:dyDescent="0.25">
      <c r="A97" s="567"/>
      <c r="B97" s="568"/>
      <c r="C97" s="569"/>
      <c r="D97" s="569"/>
      <c r="E97" s="570">
        <f t="shared" si="20"/>
        <v>0</v>
      </c>
      <c r="F97" s="571"/>
      <c r="G97" s="845"/>
      <c r="H97" s="572"/>
      <c r="I97" s="573"/>
      <c r="J97" s="573"/>
      <c r="K97" s="574"/>
      <c r="L97" s="606">
        <f t="shared" si="21"/>
        <v>0</v>
      </c>
      <c r="M97" s="555">
        <f t="shared" si="22"/>
        <v>0</v>
      </c>
      <c r="N97" s="575"/>
      <c r="O97" s="575"/>
      <c r="P97" s="575"/>
      <c r="Q97" s="575"/>
      <c r="R97" s="575"/>
      <c r="S97" s="575"/>
      <c r="T97" s="575"/>
      <c r="U97" s="575"/>
      <c r="V97" s="575"/>
      <c r="W97" s="575"/>
      <c r="X97" s="557">
        <f t="shared" si="19"/>
        <v>0</v>
      </c>
      <c r="Y97" s="558">
        <f t="shared" si="23"/>
        <v>0</v>
      </c>
      <c r="Z97" s="559"/>
      <c r="AA97" s="576"/>
      <c r="AB97" s="577"/>
      <c r="AC97" s="577"/>
      <c r="AD97" s="577"/>
      <c r="AE97" s="679"/>
      <c r="AF97" s="675">
        <f t="shared" si="24"/>
        <v>0</v>
      </c>
      <c r="AG97" s="603">
        <f t="shared" si="25"/>
        <v>0</v>
      </c>
      <c r="AH97" s="603">
        <f t="shared" si="26"/>
        <v>0</v>
      </c>
      <c r="AI97" s="603">
        <f t="shared" si="27"/>
        <v>0</v>
      </c>
      <c r="AJ97" s="676">
        <f t="shared" si="28"/>
        <v>0</v>
      </c>
      <c r="AK97" s="680"/>
      <c r="AL97" s="581"/>
      <c r="AM97" s="581"/>
      <c r="AN97" s="581"/>
      <c r="AO97" s="581"/>
      <c r="AP97" s="681"/>
      <c r="AQ97" s="1014">
        <f t="shared" si="29"/>
        <v>0</v>
      </c>
      <c r="AR97" s="329"/>
      <c r="AS97" s="329"/>
      <c r="AT97" s="1021">
        <f t="shared" si="30"/>
        <v>0</v>
      </c>
      <c r="AU97" s="329"/>
    </row>
    <row r="98" spans="1:47" x14ac:dyDescent="0.25">
      <c r="A98" s="567"/>
      <c r="B98" s="568"/>
      <c r="C98" s="569"/>
      <c r="D98" s="569"/>
      <c r="E98" s="570">
        <f t="shared" si="20"/>
        <v>0</v>
      </c>
      <c r="F98" s="571"/>
      <c r="G98" s="845"/>
      <c r="H98" s="572"/>
      <c r="I98" s="573"/>
      <c r="J98" s="573"/>
      <c r="K98" s="574"/>
      <c r="L98" s="606">
        <f t="shared" si="21"/>
        <v>0</v>
      </c>
      <c r="M98" s="555">
        <f t="shared" si="22"/>
        <v>0</v>
      </c>
      <c r="N98" s="575"/>
      <c r="O98" s="575"/>
      <c r="P98" s="575"/>
      <c r="Q98" s="575"/>
      <c r="R98" s="575"/>
      <c r="S98" s="575"/>
      <c r="T98" s="575"/>
      <c r="U98" s="575"/>
      <c r="V98" s="575"/>
      <c r="W98" s="575"/>
      <c r="X98" s="557">
        <f t="shared" si="19"/>
        <v>0</v>
      </c>
      <c r="Y98" s="558">
        <f t="shared" si="23"/>
        <v>0</v>
      </c>
      <c r="Z98" s="559"/>
      <c r="AA98" s="576"/>
      <c r="AB98" s="577"/>
      <c r="AC98" s="577"/>
      <c r="AD98" s="577"/>
      <c r="AE98" s="679"/>
      <c r="AF98" s="675">
        <f t="shared" si="24"/>
        <v>0</v>
      </c>
      <c r="AG98" s="603">
        <f t="shared" si="25"/>
        <v>0</v>
      </c>
      <c r="AH98" s="603">
        <f t="shared" si="26"/>
        <v>0</v>
      </c>
      <c r="AI98" s="603">
        <f t="shared" si="27"/>
        <v>0</v>
      </c>
      <c r="AJ98" s="676">
        <f t="shared" si="28"/>
        <v>0</v>
      </c>
      <c r="AK98" s="680"/>
      <c r="AL98" s="581"/>
      <c r="AM98" s="581"/>
      <c r="AN98" s="581"/>
      <c r="AO98" s="581"/>
      <c r="AP98" s="681"/>
      <c r="AQ98" s="1014">
        <f t="shared" si="29"/>
        <v>0</v>
      </c>
      <c r="AR98" s="329"/>
      <c r="AS98" s="329"/>
      <c r="AT98" s="1021">
        <f t="shared" si="30"/>
        <v>0</v>
      </c>
      <c r="AU98" s="329"/>
    </row>
    <row r="99" spans="1:47" x14ac:dyDescent="0.25">
      <c r="A99" s="567"/>
      <c r="B99" s="568"/>
      <c r="C99" s="569"/>
      <c r="D99" s="569"/>
      <c r="E99" s="570">
        <f t="shared" si="20"/>
        <v>0</v>
      </c>
      <c r="F99" s="571"/>
      <c r="G99" s="845"/>
      <c r="H99" s="572"/>
      <c r="I99" s="573"/>
      <c r="J99" s="573"/>
      <c r="K99" s="574"/>
      <c r="L99" s="606">
        <f t="shared" si="21"/>
        <v>0</v>
      </c>
      <c r="M99" s="555">
        <f t="shared" si="22"/>
        <v>0</v>
      </c>
      <c r="N99" s="575"/>
      <c r="O99" s="575"/>
      <c r="P99" s="575"/>
      <c r="Q99" s="575"/>
      <c r="R99" s="575"/>
      <c r="S99" s="575"/>
      <c r="T99" s="575"/>
      <c r="U99" s="575"/>
      <c r="V99" s="575"/>
      <c r="W99" s="575"/>
      <c r="X99" s="557">
        <f t="shared" si="19"/>
        <v>0</v>
      </c>
      <c r="Y99" s="558">
        <f t="shared" si="23"/>
        <v>0</v>
      </c>
      <c r="Z99" s="559"/>
      <c r="AA99" s="576"/>
      <c r="AB99" s="577"/>
      <c r="AC99" s="577"/>
      <c r="AD99" s="577"/>
      <c r="AE99" s="679"/>
      <c r="AF99" s="675">
        <f t="shared" si="24"/>
        <v>0</v>
      </c>
      <c r="AG99" s="603">
        <f t="shared" si="25"/>
        <v>0</v>
      </c>
      <c r="AH99" s="603">
        <f t="shared" si="26"/>
        <v>0</v>
      </c>
      <c r="AI99" s="603">
        <f t="shared" si="27"/>
        <v>0</v>
      </c>
      <c r="AJ99" s="676">
        <f t="shared" si="28"/>
        <v>0</v>
      </c>
      <c r="AK99" s="680"/>
      <c r="AL99" s="581"/>
      <c r="AM99" s="581"/>
      <c r="AN99" s="581"/>
      <c r="AO99" s="581"/>
      <c r="AP99" s="681"/>
      <c r="AQ99" s="1014">
        <f t="shared" si="29"/>
        <v>0</v>
      </c>
      <c r="AR99" s="329"/>
      <c r="AS99" s="329"/>
      <c r="AT99" s="1021">
        <f t="shared" si="30"/>
        <v>0</v>
      </c>
      <c r="AU99" s="329"/>
    </row>
    <row r="100" spans="1:47" x14ac:dyDescent="0.25">
      <c r="A100" s="567"/>
      <c r="B100" s="568"/>
      <c r="C100" s="569"/>
      <c r="D100" s="569"/>
      <c r="E100" s="570">
        <f t="shared" si="20"/>
        <v>0</v>
      </c>
      <c r="F100" s="571"/>
      <c r="G100" s="845"/>
      <c r="H100" s="572"/>
      <c r="I100" s="573"/>
      <c r="J100" s="573"/>
      <c r="K100" s="574"/>
      <c r="L100" s="606">
        <f t="shared" si="21"/>
        <v>0</v>
      </c>
      <c r="M100" s="555">
        <f t="shared" si="22"/>
        <v>0</v>
      </c>
      <c r="N100" s="575"/>
      <c r="O100" s="575"/>
      <c r="P100" s="575"/>
      <c r="Q100" s="575"/>
      <c r="R100" s="575"/>
      <c r="S100" s="575"/>
      <c r="T100" s="575"/>
      <c r="U100" s="575"/>
      <c r="V100" s="575"/>
      <c r="W100" s="575"/>
      <c r="X100" s="557">
        <f t="shared" si="19"/>
        <v>0</v>
      </c>
      <c r="Y100" s="558">
        <f t="shared" si="23"/>
        <v>0</v>
      </c>
      <c r="Z100" s="559"/>
      <c r="AA100" s="576"/>
      <c r="AB100" s="577"/>
      <c r="AC100" s="577"/>
      <c r="AD100" s="577"/>
      <c r="AE100" s="679"/>
      <c r="AF100" s="675">
        <f t="shared" si="24"/>
        <v>0</v>
      </c>
      <c r="AG100" s="603">
        <f t="shared" si="25"/>
        <v>0</v>
      </c>
      <c r="AH100" s="603">
        <f t="shared" si="26"/>
        <v>0</v>
      </c>
      <c r="AI100" s="603">
        <f t="shared" si="27"/>
        <v>0</v>
      </c>
      <c r="AJ100" s="676">
        <f t="shared" si="28"/>
        <v>0</v>
      </c>
      <c r="AK100" s="680"/>
      <c r="AL100" s="581"/>
      <c r="AM100" s="581"/>
      <c r="AN100" s="581"/>
      <c r="AO100" s="581"/>
      <c r="AP100" s="681"/>
      <c r="AQ100" s="1014">
        <f t="shared" si="29"/>
        <v>0</v>
      </c>
      <c r="AR100" s="329"/>
      <c r="AS100" s="329"/>
      <c r="AT100" s="1021">
        <f t="shared" si="30"/>
        <v>0</v>
      </c>
      <c r="AU100" s="329"/>
    </row>
    <row r="101" spans="1:47" x14ac:dyDescent="0.25">
      <c r="A101" s="567"/>
      <c r="B101" s="568"/>
      <c r="C101" s="569"/>
      <c r="D101" s="569"/>
      <c r="E101" s="844">
        <f t="shared" si="20"/>
        <v>0</v>
      </c>
      <c r="F101" s="571"/>
      <c r="G101" s="845"/>
      <c r="H101" s="572"/>
      <c r="I101" s="573"/>
      <c r="J101" s="573"/>
      <c r="K101" s="574"/>
      <c r="L101" s="606">
        <f t="shared" si="21"/>
        <v>0</v>
      </c>
      <c r="M101" s="555">
        <f t="shared" si="22"/>
        <v>0</v>
      </c>
      <c r="N101" s="575"/>
      <c r="O101" s="575"/>
      <c r="P101" s="575"/>
      <c r="Q101" s="575"/>
      <c r="R101" s="575"/>
      <c r="S101" s="575"/>
      <c r="T101" s="575"/>
      <c r="U101" s="575"/>
      <c r="V101" s="575"/>
      <c r="W101" s="575"/>
      <c r="X101" s="557">
        <f t="shared" si="19"/>
        <v>0</v>
      </c>
      <c r="Y101" s="558">
        <f t="shared" si="23"/>
        <v>0</v>
      </c>
      <c r="Z101" s="559"/>
      <c r="AA101" s="576"/>
      <c r="AB101" s="577"/>
      <c r="AC101" s="577"/>
      <c r="AD101" s="577"/>
      <c r="AE101" s="679"/>
      <c r="AF101" s="675">
        <f t="shared" si="24"/>
        <v>0</v>
      </c>
      <c r="AG101" s="603">
        <f t="shared" si="25"/>
        <v>0</v>
      </c>
      <c r="AH101" s="603">
        <f t="shared" si="26"/>
        <v>0</v>
      </c>
      <c r="AI101" s="603">
        <f t="shared" si="27"/>
        <v>0</v>
      </c>
      <c r="AJ101" s="676">
        <f t="shared" si="28"/>
        <v>0</v>
      </c>
      <c r="AK101" s="680"/>
      <c r="AL101" s="581"/>
      <c r="AM101" s="581"/>
      <c r="AN101" s="581"/>
      <c r="AO101" s="581"/>
      <c r="AP101" s="681"/>
      <c r="AQ101" s="1014">
        <f t="shared" si="29"/>
        <v>0</v>
      </c>
      <c r="AR101" s="329"/>
      <c r="AS101" s="329"/>
      <c r="AT101" s="1021">
        <f t="shared" si="30"/>
        <v>0</v>
      </c>
      <c r="AU101" s="329"/>
    </row>
    <row r="102" spans="1:47" x14ac:dyDescent="0.25">
      <c r="A102" s="567"/>
      <c r="B102" s="568"/>
      <c r="C102" s="569"/>
      <c r="D102" s="569"/>
      <c r="E102" s="570">
        <f t="shared" si="20"/>
        <v>0</v>
      </c>
      <c r="F102" s="571"/>
      <c r="G102" s="845"/>
      <c r="H102" s="572"/>
      <c r="I102" s="573"/>
      <c r="J102" s="573"/>
      <c r="K102" s="574"/>
      <c r="L102" s="606">
        <f t="shared" si="21"/>
        <v>0</v>
      </c>
      <c r="M102" s="555">
        <f t="shared" si="22"/>
        <v>0</v>
      </c>
      <c r="N102" s="575"/>
      <c r="O102" s="575"/>
      <c r="P102" s="575"/>
      <c r="Q102" s="575"/>
      <c r="R102" s="575"/>
      <c r="S102" s="575"/>
      <c r="T102" s="575"/>
      <c r="U102" s="575"/>
      <c r="V102" s="575"/>
      <c r="W102" s="575"/>
      <c r="X102" s="557">
        <f t="shared" si="19"/>
        <v>0</v>
      </c>
      <c r="Y102" s="558">
        <f t="shared" si="23"/>
        <v>0</v>
      </c>
      <c r="Z102" s="559"/>
      <c r="AA102" s="576"/>
      <c r="AB102" s="577"/>
      <c r="AC102" s="577"/>
      <c r="AD102" s="577"/>
      <c r="AE102" s="679"/>
      <c r="AF102" s="675">
        <f t="shared" si="24"/>
        <v>0</v>
      </c>
      <c r="AG102" s="603">
        <f t="shared" si="25"/>
        <v>0</v>
      </c>
      <c r="AH102" s="603">
        <f t="shared" si="26"/>
        <v>0</v>
      </c>
      <c r="AI102" s="603">
        <f t="shared" si="27"/>
        <v>0</v>
      </c>
      <c r="AJ102" s="676">
        <f t="shared" si="28"/>
        <v>0</v>
      </c>
      <c r="AK102" s="680"/>
      <c r="AL102" s="581"/>
      <c r="AM102" s="581"/>
      <c r="AN102" s="581"/>
      <c r="AO102" s="581"/>
      <c r="AP102" s="681"/>
      <c r="AQ102" s="1014">
        <f t="shared" si="29"/>
        <v>0</v>
      </c>
      <c r="AR102" s="329"/>
      <c r="AS102" s="329"/>
      <c r="AT102" s="1021">
        <f t="shared" si="30"/>
        <v>0</v>
      </c>
      <c r="AU102" s="329"/>
    </row>
    <row r="103" spans="1:47" x14ac:dyDescent="0.25">
      <c r="A103" s="567"/>
      <c r="B103" s="568"/>
      <c r="C103" s="569"/>
      <c r="D103" s="569"/>
      <c r="E103" s="570">
        <f t="shared" si="20"/>
        <v>0</v>
      </c>
      <c r="F103" s="571"/>
      <c r="G103" s="845"/>
      <c r="H103" s="572"/>
      <c r="I103" s="573"/>
      <c r="J103" s="573"/>
      <c r="K103" s="574"/>
      <c r="L103" s="606">
        <f t="shared" si="21"/>
        <v>0</v>
      </c>
      <c r="M103" s="555">
        <f t="shared" si="22"/>
        <v>0</v>
      </c>
      <c r="N103" s="575"/>
      <c r="O103" s="575"/>
      <c r="P103" s="575"/>
      <c r="Q103" s="575"/>
      <c r="R103" s="575"/>
      <c r="S103" s="575"/>
      <c r="T103" s="575"/>
      <c r="U103" s="575"/>
      <c r="V103" s="575"/>
      <c r="W103" s="575"/>
      <c r="X103" s="557">
        <f t="shared" si="19"/>
        <v>0</v>
      </c>
      <c r="Y103" s="558">
        <f t="shared" si="23"/>
        <v>0</v>
      </c>
      <c r="Z103" s="559"/>
      <c r="AA103" s="576"/>
      <c r="AB103" s="577"/>
      <c r="AC103" s="577"/>
      <c r="AD103" s="577"/>
      <c r="AE103" s="679"/>
      <c r="AF103" s="675">
        <f t="shared" si="24"/>
        <v>0</v>
      </c>
      <c r="AG103" s="603">
        <f t="shared" si="25"/>
        <v>0</v>
      </c>
      <c r="AH103" s="603">
        <f t="shared" si="26"/>
        <v>0</v>
      </c>
      <c r="AI103" s="603">
        <f t="shared" si="27"/>
        <v>0</v>
      </c>
      <c r="AJ103" s="676">
        <f t="shared" si="28"/>
        <v>0</v>
      </c>
      <c r="AK103" s="680"/>
      <c r="AL103" s="581"/>
      <c r="AM103" s="581"/>
      <c r="AN103" s="581"/>
      <c r="AO103" s="581"/>
      <c r="AP103" s="681"/>
      <c r="AQ103" s="1014">
        <f t="shared" si="29"/>
        <v>0</v>
      </c>
      <c r="AR103" s="329"/>
      <c r="AS103" s="329"/>
      <c r="AT103" s="1021">
        <f t="shared" si="30"/>
        <v>0</v>
      </c>
      <c r="AU103" s="329"/>
    </row>
    <row r="104" spans="1:47" x14ac:dyDescent="0.25">
      <c r="A104" s="567"/>
      <c r="B104" s="568"/>
      <c r="C104" s="569"/>
      <c r="D104" s="569"/>
      <c r="E104" s="570">
        <f t="shared" si="20"/>
        <v>0</v>
      </c>
      <c r="F104" s="571"/>
      <c r="G104" s="845"/>
      <c r="H104" s="572"/>
      <c r="I104" s="573"/>
      <c r="J104" s="573"/>
      <c r="K104" s="574"/>
      <c r="L104" s="606">
        <f t="shared" si="21"/>
        <v>0</v>
      </c>
      <c r="M104" s="555">
        <f t="shared" si="22"/>
        <v>0</v>
      </c>
      <c r="N104" s="575"/>
      <c r="O104" s="575"/>
      <c r="P104" s="575"/>
      <c r="Q104" s="575"/>
      <c r="R104" s="575"/>
      <c r="S104" s="575"/>
      <c r="T104" s="575"/>
      <c r="U104" s="575"/>
      <c r="V104" s="575"/>
      <c r="W104" s="575"/>
      <c r="X104" s="557">
        <f t="shared" si="19"/>
        <v>0</v>
      </c>
      <c r="Y104" s="558">
        <f t="shared" si="23"/>
        <v>0</v>
      </c>
      <c r="Z104" s="559"/>
      <c r="AA104" s="576"/>
      <c r="AB104" s="577"/>
      <c r="AC104" s="577"/>
      <c r="AD104" s="577"/>
      <c r="AE104" s="679"/>
      <c r="AF104" s="675">
        <f t="shared" si="24"/>
        <v>0</v>
      </c>
      <c r="AG104" s="603">
        <f t="shared" si="25"/>
        <v>0</v>
      </c>
      <c r="AH104" s="603">
        <f t="shared" si="26"/>
        <v>0</v>
      </c>
      <c r="AI104" s="603">
        <f t="shared" si="27"/>
        <v>0</v>
      </c>
      <c r="AJ104" s="676">
        <f t="shared" si="28"/>
        <v>0</v>
      </c>
      <c r="AK104" s="680"/>
      <c r="AL104" s="581"/>
      <c r="AM104" s="581"/>
      <c r="AN104" s="581"/>
      <c r="AO104" s="581"/>
      <c r="AP104" s="681"/>
      <c r="AQ104" s="1014">
        <f t="shared" si="29"/>
        <v>0</v>
      </c>
      <c r="AR104" s="329"/>
      <c r="AS104" s="329"/>
      <c r="AT104" s="1021">
        <f t="shared" si="30"/>
        <v>0</v>
      </c>
      <c r="AU104" s="329"/>
    </row>
    <row r="105" spans="1:47" x14ac:dyDescent="0.25">
      <c r="A105" s="567"/>
      <c r="B105" s="568"/>
      <c r="C105" s="569"/>
      <c r="D105" s="569"/>
      <c r="E105" s="570">
        <f t="shared" si="20"/>
        <v>0</v>
      </c>
      <c r="F105" s="571"/>
      <c r="G105" s="845"/>
      <c r="H105" s="572"/>
      <c r="I105" s="573"/>
      <c r="J105" s="573"/>
      <c r="K105" s="574"/>
      <c r="L105" s="606">
        <f t="shared" si="21"/>
        <v>0</v>
      </c>
      <c r="M105" s="555">
        <f t="shared" si="22"/>
        <v>0</v>
      </c>
      <c r="N105" s="575"/>
      <c r="O105" s="575"/>
      <c r="P105" s="575"/>
      <c r="Q105" s="575"/>
      <c r="R105" s="575"/>
      <c r="S105" s="575"/>
      <c r="T105" s="575"/>
      <c r="U105" s="575"/>
      <c r="V105" s="575"/>
      <c r="W105" s="575"/>
      <c r="X105" s="557">
        <f t="shared" si="19"/>
        <v>0</v>
      </c>
      <c r="Y105" s="558">
        <f t="shared" si="23"/>
        <v>0</v>
      </c>
      <c r="Z105" s="559"/>
      <c r="AA105" s="576"/>
      <c r="AB105" s="577"/>
      <c r="AC105" s="577"/>
      <c r="AD105" s="577"/>
      <c r="AE105" s="679"/>
      <c r="AF105" s="675">
        <f t="shared" si="24"/>
        <v>0</v>
      </c>
      <c r="AG105" s="603">
        <f t="shared" si="25"/>
        <v>0</v>
      </c>
      <c r="AH105" s="603">
        <f t="shared" si="26"/>
        <v>0</v>
      </c>
      <c r="AI105" s="603">
        <f t="shared" si="27"/>
        <v>0</v>
      </c>
      <c r="AJ105" s="676">
        <f t="shared" si="28"/>
        <v>0</v>
      </c>
      <c r="AK105" s="680"/>
      <c r="AL105" s="581"/>
      <c r="AM105" s="581"/>
      <c r="AN105" s="581"/>
      <c r="AO105" s="581"/>
      <c r="AP105" s="681"/>
      <c r="AQ105" s="1014">
        <f t="shared" si="29"/>
        <v>0</v>
      </c>
      <c r="AR105" s="329"/>
      <c r="AS105" s="329"/>
      <c r="AT105" s="1021">
        <f t="shared" si="30"/>
        <v>0</v>
      </c>
      <c r="AU105" s="329"/>
    </row>
    <row r="106" spans="1:47" x14ac:dyDescent="0.25">
      <c r="A106" s="567"/>
      <c r="B106" s="568"/>
      <c r="C106" s="569"/>
      <c r="D106" s="569"/>
      <c r="E106" s="570">
        <f t="shared" si="20"/>
        <v>0</v>
      </c>
      <c r="F106" s="571"/>
      <c r="G106" s="845"/>
      <c r="H106" s="572"/>
      <c r="I106" s="573"/>
      <c r="J106" s="573"/>
      <c r="K106" s="574"/>
      <c r="L106" s="606">
        <f t="shared" si="21"/>
        <v>0</v>
      </c>
      <c r="M106" s="555">
        <f t="shared" si="22"/>
        <v>0</v>
      </c>
      <c r="N106" s="575"/>
      <c r="O106" s="575"/>
      <c r="P106" s="575"/>
      <c r="Q106" s="575"/>
      <c r="R106" s="575"/>
      <c r="S106" s="575"/>
      <c r="T106" s="575"/>
      <c r="U106" s="575"/>
      <c r="V106" s="575"/>
      <c r="W106" s="575"/>
      <c r="X106" s="557">
        <f t="shared" si="19"/>
        <v>0</v>
      </c>
      <c r="Y106" s="558">
        <f t="shared" si="23"/>
        <v>0</v>
      </c>
      <c r="Z106" s="559"/>
      <c r="AA106" s="576"/>
      <c r="AB106" s="577"/>
      <c r="AC106" s="577"/>
      <c r="AD106" s="577"/>
      <c r="AE106" s="679"/>
      <c r="AF106" s="675">
        <f t="shared" si="24"/>
        <v>0</v>
      </c>
      <c r="AG106" s="603">
        <f t="shared" si="25"/>
        <v>0</v>
      </c>
      <c r="AH106" s="603">
        <f t="shared" si="26"/>
        <v>0</v>
      </c>
      <c r="AI106" s="603">
        <f t="shared" si="27"/>
        <v>0</v>
      </c>
      <c r="AJ106" s="676">
        <f t="shared" si="28"/>
        <v>0</v>
      </c>
      <c r="AK106" s="680"/>
      <c r="AL106" s="581"/>
      <c r="AM106" s="581"/>
      <c r="AN106" s="581"/>
      <c r="AO106" s="581"/>
      <c r="AP106" s="681"/>
      <c r="AQ106" s="1014">
        <f t="shared" si="29"/>
        <v>0</v>
      </c>
      <c r="AR106" s="329"/>
      <c r="AS106" s="329"/>
      <c r="AT106" s="1021">
        <f t="shared" si="30"/>
        <v>0</v>
      </c>
      <c r="AU106" s="329"/>
    </row>
    <row r="107" spans="1:47" x14ac:dyDescent="0.25">
      <c r="A107" s="567"/>
      <c r="B107" s="568"/>
      <c r="C107" s="569"/>
      <c r="D107" s="569"/>
      <c r="E107" s="570">
        <f t="shared" si="20"/>
        <v>0</v>
      </c>
      <c r="F107" s="571"/>
      <c r="G107" s="845"/>
      <c r="H107" s="572"/>
      <c r="I107" s="573"/>
      <c r="J107" s="573"/>
      <c r="K107" s="574"/>
      <c r="L107" s="606">
        <f t="shared" si="21"/>
        <v>0</v>
      </c>
      <c r="M107" s="555">
        <f t="shared" si="22"/>
        <v>0</v>
      </c>
      <c r="N107" s="575"/>
      <c r="O107" s="575"/>
      <c r="P107" s="575"/>
      <c r="Q107" s="575"/>
      <c r="R107" s="575"/>
      <c r="S107" s="575"/>
      <c r="T107" s="575"/>
      <c r="U107" s="575"/>
      <c r="V107" s="575"/>
      <c r="W107" s="575"/>
      <c r="X107" s="557">
        <f t="shared" si="19"/>
        <v>0</v>
      </c>
      <c r="Y107" s="558">
        <f t="shared" si="23"/>
        <v>0</v>
      </c>
      <c r="Z107" s="559"/>
      <c r="AA107" s="576"/>
      <c r="AB107" s="577"/>
      <c r="AC107" s="577"/>
      <c r="AD107" s="577"/>
      <c r="AE107" s="679"/>
      <c r="AF107" s="675">
        <f t="shared" si="24"/>
        <v>0</v>
      </c>
      <c r="AG107" s="603">
        <f t="shared" si="25"/>
        <v>0</v>
      </c>
      <c r="AH107" s="603">
        <f t="shared" si="26"/>
        <v>0</v>
      </c>
      <c r="AI107" s="603">
        <f t="shared" si="27"/>
        <v>0</v>
      </c>
      <c r="AJ107" s="676">
        <f t="shared" si="28"/>
        <v>0</v>
      </c>
      <c r="AK107" s="680"/>
      <c r="AL107" s="581"/>
      <c r="AM107" s="581"/>
      <c r="AN107" s="581"/>
      <c r="AO107" s="581"/>
      <c r="AP107" s="681"/>
      <c r="AQ107" s="1014">
        <f t="shared" si="29"/>
        <v>0</v>
      </c>
      <c r="AR107" s="329"/>
      <c r="AS107" s="329"/>
      <c r="AT107" s="1021">
        <f t="shared" si="30"/>
        <v>0</v>
      </c>
      <c r="AU107" s="329"/>
    </row>
    <row r="108" spans="1:47" ht="14.4" thickBot="1" x14ac:dyDescent="0.3">
      <c r="A108" s="567"/>
      <c r="B108" s="568"/>
      <c r="C108" s="569"/>
      <c r="D108" s="569"/>
      <c r="E108" s="570">
        <f t="shared" si="20"/>
        <v>0</v>
      </c>
      <c r="F108" s="571"/>
      <c r="G108" s="845"/>
      <c r="H108" s="572"/>
      <c r="I108" s="573"/>
      <c r="J108" s="573"/>
      <c r="K108" s="574"/>
      <c r="L108" s="606">
        <f t="shared" si="21"/>
        <v>0</v>
      </c>
      <c r="M108" s="555">
        <f t="shared" si="22"/>
        <v>0</v>
      </c>
      <c r="N108" s="575"/>
      <c r="O108" s="575"/>
      <c r="P108" s="575"/>
      <c r="Q108" s="575"/>
      <c r="R108" s="575"/>
      <c r="S108" s="575"/>
      <c r="T108" s="575"/>
      <c r="U108" s="575"/>
      <c r="V108" s="575"/>
      <c r="W108" s="575"/>
      <c r="X108" s="557">
        <f t="shared" si="19"/>
        <v>0</v>
      </c>
      <c r="Y108" s="558">
        <f t="shared" si="23"/>
        <v>0</v>
      </c>
      <c r="Z108" s="559"/>
      <c r="AA108" s="576"/>
      <c r="AB108" s="577"/>
      <c r="AC108" s="577"/>
      <c r="AD108" s="577"/>
      <c r="AE108" s="679"/>
      <c r="AF108" s="675">
        <f t="shared" si="24"/>
        <v>0</v>
      </c>
      <c r="AG108" s="603">
        <f t="shared" si="25"/>
        <v>0</v>
      </c>
      <c r="AH108" s="603">
        <f t="shared" si="26"/>
        <v>0</v>
      </c>
      <c r="AI108" s="603">
        <f t="shared" si="27"/>
        <v>0</v>
      </c>
      <c r="AJ108" s="676">
        <f t="shared" si="28"/>
        <v>0</v>
      </c>
      <c r="AK108" s="680"/>
      <c r="AL108" s="581"/>
      <c r="AM108" s="581"/>
      <c r="AN108" s="581"/>
      <c r="AO108" s="581"/>
      <c r="AP108" s="681"/>
      <c r="AQ108" s="1014">
        <f>IF(AND($H108&gt;0,$K108&gt;0),$H108,0)</f>
        <v>0</v>
      </c>
      <c r="AR108" s="329"/>
      <c r="AS108" s="329"/>
      <c r="AT108" s="1021">
        <f t="shared" si="30"/>
        <v>0</v>
      </c>
      <c r="AU108" s="329"/>
    </row>
    <row r="109" spans="1:47" ht="40.200000000000003" thickBot="1" x14ac:dyDescent="0.3">
      <c r="A109" s="650" t="s">
        <v>401</v>
      </c>
      <c r="B109" s="1456">
        <f>SUM(B78:B108)</f>
        <v>0</v>
      </c>
      <c r="C109" s="593">
        <f>IFERROR(SUM(C78:C108)/B109,0)</f>
        <v>0</v>
      </c>
      <c r="D109" s="594">
        <f>SUM(D78:D108)</f>
        <v>0</v>
      </c>
      <c r="E109" s="595">
        <f>IFERROR(D109/B109,0)</f>
        <v>0</v>
      </c>
      <c r="F109" s="1784" t="s">
        <v>401</v>
      </c>
      <c r="G109" s="1785"/>
      <c r="H109" s="1459">
        <f>SUM(H78:H108)</f>
        <v>0</v>
      </c>
      <c r="I109" s="316"/>
      <c r="J109" s="316"/>
      <c r="K109" s="316"/>
      <c r="L109" s="316"/>
      <c r="M109" s="596">
        <f t="shared" ref="M109:V109" si="31">IFERROR(SUM(M78:M108)/$H$109,0)</f>
        <v>0</v>
      </c>
      <c r="N109" s="593">
        <f t="shared" si="31"/>
        <v>0</v>
      </c>
      <c r="O109" s="593">
        <f t="shared" si="31"/>
        <v>0</v>
      </c>
      <c r="P109" s="593">
        <f t="shared" si="31"/>
        <v>0</v>
      </c>
      <c r="Q109" s="593">
        <f t="shared" si="31"/>
        <v>0</v>
      </c>
      <c r="R109" s="593">
        <f t="shared" si="31"/>
        <v>0</v>
      </c>
      <c r="S109" s="593">
        <f t="shared" si="31"/>
        <v>0</v>
      </c>
      <c r="T109" s="593">
        <f t="shared" si="31"/>
        <v>0</v>
      </c>
      <c r="U109" s="593">
        <f t="shared" si="31"/>
        <v>0</v>
      </c>
      <c r="V109" s="593">
        <f t="shared" si="31"/>
        <v>0</v>
      </c>
      <c r="W109" s="593">
        <f>IFERROR(SUM(W78:W108)/$H$109,0)</f>
        <v>0</v>
      </c>
      <c r="X109" s="597">
        <f>SUM(X78:X108)</f>
        <v>0</v>
      </c>
      <c r="Y109" s="598">
        <f>IFERROR(SUM(X109/H109),0)</f>
        <v>0</v>
      </c>
      <c r="Z109" s="653"/>
      <c r="AA109" s="654"/>
      <c r="AB109" s="654"/>
      <c r="AC109" s="654"/>
      <c r="AD109" s="654"/>
      <c r="AE109" s="654"/>
      <c r="AF109" s="654"/>
      <c r="AG109" s="654"/>
      <c r="AH109" s="654"/>
      <c r="AI109" s="654"/>
      <c r="AJ109" s="654"/>
      <c r="AK109" s="654"/>
      <c r="AL109" s="654"/>
      <c r="AM109" s="654"/>
      <c r="AN109" s="654"/>
      <c r="AO109" s="654"/>
      <c r="AP109" s="655"/>
      <c r="AQ109" s="655"/>
    </row>
    <row r="110" spans="1:47" x14ac:dyDescent="0.25">
      <c r="F110" s="538"/>
      <c r="G110" s="254"/>
      <c r="H110" s="254"/>
      <c r="I110" s="254"/>
      <c r="J110" s="254"/>
      <c r="K110" s="254"/>
      <c r="L110" s="254"/>
      <c r="M110" s="494"/>
      <c r="N110" s="494"/>
      <c r="O110" s="494"/>
      <c r="P110" s="494"/>
      <c r="Q110" s="494"/>
      <c r="R110" s="494"/>
      <c r="S110" s="494"/>
      <c r="T110" s="494"/>
      <c r="U110" s="494"/>
      <c r="V110" s="494"/>
      <c r="W110" s="494"/>
      <c r="X110" s="687"/>
      <c r="Y110" s="688"/>
      <c r="Z110" s="689"/>
      <c r="AA110" s="690"/>
      <c r="AB110" s="690"/>
      <c r="AC110" s="690"/>
      <c r="AD110" s="690"/>
      <c r="AE110" s="690"/>
      <c r="AF110" s="690"/>
      <c r="AG110" s="690"/>
      <c r="AH110" s="690"/>
      <c r="AI110" s="690"/>
      <c r="AJ110" s="690"/>
      <c r="AK110" s="690"/>
      <c r="AL110" s="690"/>
      <c r="AM110" s="690"/>
      <c r="AN110" s="690"/>
      <c r="AO110" s="690"/>
      <c r="AP110" s="691"/>
      <c r="AQ110" s="691"/>
    </row>
    <row r="111" spans="1:47" x14ac:dyDescent="0.25">
      <c r="A111" s="144" t="s">
        <v>402</v>
      </c>
      <c r="F111" s="538" t="s">
        <v>402</v>
      </c>
      <c r="G111" s="144"/>
      <c r="M111" s="494"/>
      <c r="N111" s="494"/>
      <c r="P111" s="1786" t="s">
        <v>84</v>
      </c>
      <c r="Q111" s="1786"/>
      <c r="R111" s="1786"/>
      <c r="S111" s="1786"/>
      <c r="T111" s="1786"/>
      <c r="U111" s="1786"/>
      <c r="V111" s="1786"/>
      <c r="W111" s="1786"/>
      <c r="X111" s="1786"/>
      <c r="Y111" s="1787"/>
      <c r="Z111" s="694"/>
      <c r="AA111" s="626"/>
      <c r="AB111" s="626"/>
      <c r="AC111" s="626"/>
      <c r="AD111" s="626"/>
      <c r="AE111" s="626"/>
      <c r="AF111" s="626"/>
      <c r="AG111" s="626"/>
      <c r="AH111" s="626"/>
      <c r="AI111" s="626"/>
      <c r="AJ111" s="626"/>
      <c r="AK111" s="626"/>
      <c r="AL111" s="626"/>
      <c r="AM111" s="626"/>
      <c r="AN111" s="626"/>
      <c r="AO111" s="626"/>
      <c r="AP111" s="629"/>
      <c r="AQ111" s="629"/>
    </row>
    <row r="112" spans="1:47" x14ac:dyDescent="0.25">
      <c r="A112" s="567"/>
      <c r="B112" s="568"/>
      <c r="C112" s="569"/>
      <c r="D112" s="569"/>
      <c r="E112" s="570">
        <f t="shared" ref="E112:E149" si="32">IFERROR(D112/B112,0)</f>
        <v>0</v>
      </c>
      <c r="F112" s="571"/>
      <c r="G112" s="845"/>
      <c r="H112" s="669"/>
      <c r="I112" s="573"/>
      <c r="J112" s="573"/>
      <c r="K112" s="574"/>
      <c r="L112" s="670">
        <f>IFERROR(IF($K$24="VK",K112,K112/H112),0)</f>
        <v>0</v>
      </c>
      <c r="M112" s="671">
        <f>IFERROR(L112*H112,"")</f>
        <v>0</v>
      </c>
      <c r="N112" s="575"/>
      <c r="O112" s="575"/>
      <c r="P112" s="556"/>
      <c r="Q112" s="556"/>
      <c r="R112" s="556"/>
      <c r="S112" s="556"/>
      <c r="T112" s="556"/>
      <c r="U112" s="556"/>
      <c r="V112" s="556"/>
      <c r="W112" s="556"/>
      <c r="X112" s="557">
        <f t="shared" ref="X112:X149" si="33">IF(AND(H112&gt;0,F112&lt;&gt;"GfB"),(SUM(M112:P112,R112,V112,Q112)*12+(T112+U112))*(100+$P$17+$P$18)%+((S112+W112)*12),IF(AND(H112&gt;0,F112="GfB"),(SUM(M112:P112,R112,V112,Q112)*12+(T112+U112))*(100+$P$20+$P$18)%+((S112+W112)*12),0))</f>
        <v>0</v>
      </c>
      <c r="Y112" s="558">
        <f>IF(ISERROR(X112/H112),0,(X112/H112))</f>
        <v>0</v>
      </c>
      <c r="Z112" s="559"/>
      <c r="AA112" s="560"/>
      <c r="AB112" s="561"/>
      <c r="AC112" s="561"/>
      <c r="AD112" s="561"/>
      <c r="AE112" s="561"/>
      <c r="AF112" s="562"/>
      <c r="AG112" s="563"/>
      <c r="AH112" s="563"/>
      <c r="AI112" s="563"/>
      <c r="AJ112" s="695"/>
      <c r="AK112" s="696">
        <f>(IF(AND($H112&gt;0,$K112&gt;0),($M112+$N112),0))</f>
        <v>0</v>
      </c>
      <c r="AL112" s="604">
        <f>(IF(AND($H112&gt;0,$K112&gt;0),$O112,0))</f>
        <v>0</v>
      </c>
      <c r="AM112" s="604">
        <f>(IF(AND($H112&gt;0,$K112&gt;0),$P112,0))</f>
        <v>0</v>
      </c>
      <c r="AN112" s="604">
        <f>(IF(AND($H112&gt;0,$K112&gt;0),$Q112,0))</f>
        <v>0</v>
      </c>
      <c r="AO112" s="697">
        <f>(IF(AND($H112&gt;0,$K112&gt;0),(($T112+$U112)/12),0))</f>
        <v>0</v>
      </c>
      <c r="AP112" s="698"/>
      <c r="AQ112" s="699"/>
      <c r="AR112" s="1022">
        <f>IF(AND($H112&gt;0,$K112&gt;0),$H112,0)</f>
        <v>0</v>
      </c>
      <c r="AS112" s="329"/>
      <c r="AT112" s="329"/>
      <c r="AU112" s="1013">
        <f t="shared" ref="AU112:AU150" si="34">IF(AND($H112&gt;0,$K112&gt;0),$X112,0)</f>
        <v>0</v>
      </c>
    </row>
    <row r="113" spans="1:47" x14ac:dyDescent="0.25">
      <c r="A113" s="567"/>
      <c r="B113" s="568"/>
      <c r="C113" s="569"/>
      <c r="D113" s="569"/>
      <c r="E113" s="570">
        <f t="shared" si="32"/>
        <v>0</v>
      </c>
      <c r="F113" s="571"/>
      <c r="G113" s="845"/>
      <c r="H113" s="669"/>
      <c r="I113" s="573"/>
      <c r="J113" s="573"/>
      <c r="K113" s="574"/>
      <c r="L113" s="606">
        <f t="shared" ref="L113:L149" si="35">IFERROR(IF($K$24="VK",K113,K113/H113),0)</f>
        <v>0</v>
      </c>
      <c r="M113" s="555">
        <f t="shared" ref="M113:M149" si="36">IFERROR(L113*H113,"")</f>
        <v>0</v>
      </c>
      <c r="N113" s="575"/>
      <c r="O113" s="575"/>
      <c r="P113" s="575"/>
      <c r="Q113" s="575"/>
      <c r="R113" s="575"/>
      <c r="S113" s="575"/>
      <c r="T113" s="575"/>
      <c r="U113" s="575"/>
      <c r="V113" s="575"/>
      <c r="W113" s="575"/>
      <c r="X113" s="557">
        <f t="shared" si="33"/>
        <v>0</v>
      </c>
      <c r="Y113" s="558">
        <f t="shared" ref="Y113:Y149" si="37">IF(ISERROR(X113/H113),0,(X113/H113))</f>
        <v>0</v>
      </c>
      <c r="Z113" s="559"/>
      <c r="AA113" s="576"/>
      <c r="AB113" s="577"/>
      <c r="AC113" s="577"/>
      <c r="AD113" s="577"/>
      <c r="AE113" s="577"/>
      <c r="AF113" s="578"/>
      <c r="AG113" s="579"/>
      <c r="AH113" s="579"/>
      <c r="AI113" s="579"/>
      <c r="AJ113" s="700"/>
      <c r="AK113" s="696">
        <f t="shared" ref="AK113:AK149" si="38">(IF(AND($H113&gt;0,$K113&gt;0),($M113+$N113),0))</f>
        <v>0</v>
      </c>
      <c r="AL113" s="604">
        <f t="shared" ref="AL113:AL149" si="39">(IF(AND($H113&gt;0,$K113&gt;0),$O113,0))</f>
        <v>0</v>
      </c>
      <c r="AM113" s="604">
        <f t="shared" ref="AM113:AM149" si="40">(IF(AND($H113&gt;0,$K113&gt;0),$P113,0))</f>
        <v>0</v>
      </c>
      <c r="AN113" s="604">
        <f t="shared" ref="AN113:AN149" si="41">(IF(AND($H113&gt;0,$K113&gt;0),$Q113,0))</f>
        <v>0</v>
      </c>
      <c r="AO113" s="697">
        <f t="shared" ref="AO113:AO149" si="42">(IF(AND($H113&gt;0,$K113&gt;0),(($T113+$U113)/12),0))</f>
        <v>0</v>
      </c>
      <c r="AP113" s="701"/>
      <c r="AQ113" s="702"/>
      <c r="AR113" s="1022">
        <f t="shared" ref="AR113:AR150" si="43">IF(AND($H113&gt;0,$K113&gt;0),$H113,0)</f>
        <v>0</v>
      </c>
      <c r="AS113" s="329"/>
      <c r="AT113" s="329"/>
      <c r="AU113" s="1013">
        <f t="shared" si="34"/>
        <v>0</v>
      </c>
    </row>
    <row r="114" spans="1:47" x14ac:dyDescent="0.25">
      <c r="A114" s="567"/>
      <c r="B114" s="568"/>
      <c r="C114" s="569"/>
      <c r="D114" s="569"/>
      <c r="E114" s="570">
        <f t="shared" si="32"/>
        <v>0</v>
      </c>
      <c r="F114" s="571"/>
      <c r="G114" s="845"/>
      <c r="H114" s="669"/>
      <c r="I114" s="573"/>
      <c r="J114" s="573"/>
      <c r="K114" s="574"/>
      <c r="L114" s="606">
        <f t="shared" si="35"/>
        <v>0</v>
      </c>
      <c r="M114" s="555">
        <f t="shared" si="36"/>
        <v>0</v>
      </c>
      <c r="N114" s="575"/>
      <c r="O114" s="575"/>
      <c r="P114" s="575"/>
      <c r="Q114" s="575"/>
      <c r="R114" s="575"/>
      <c r="S114" s="575"/>
      <c r="T114" s="575"/>
      <c r="U114" s="575"/>
      <c r="V114" s="575"/>
      <c r="W114" s="575"/>
      <c r="X114" s="557">
        <f t="shared" si="33"/>
        <v>0</v>
      </c>
      <c r="Y114" s="558">
        <f t="shared" si="37"/>
        <v>0</v>
      </c>
      <c r="Z114" s="559"/>
      <c r="AA114" s="576"/>
      <c r="AB114" s="577"/>
      <c r="AC114" s="577"/>
      <c r="AD114" s="577"/>
      <c r="AE114" s="577"/>
      <c r="AF114" s="578"/>
      <c r="AG114" s="579"/>
      <c r="AH114" s="579"/>
      <c r="AI114" s="579"/>
      <c r="AJ114" s="700"/>
      <c r="AK114" s="696">
        <f t="shared" si="38"/>
        <v>0</v>
      </c>
      <c r="AL114" s="604">
        <f t="shared" si="39"/>
        <v>0</v>
      </c>
      <c r="AM114" s="604">
        <f t="shared" si="40"/>
        <v>0</v>
      </c>
      <c r="AN114" s="604">
        <f t="shared" si="41"/>
        <v>0</v>
      </c>
      <c r="AO114" s="697">
        <f t="shared" si="42"/>
        <v>0</v>
      </c>
      <c r="AP114" s="701"/>
      <c r="AQ114" s="702"/>
      <c r="AR114" s="1022">
        <f t="shared" si="43"/>
        <v>0</v>
      </c>
      <c r="AS114" s="329"/>
      <c r="AT114" s="329"/>
      <c r="AU114" s="1013">
        <f t="shared" si="34"/>
        <v>0</v>
      </c>
    </row>
    <row r="115" spans="1:47" x14ac:dyDescent="0.25">
      <c r="A115" s="567"/>
      <c r="B115" s="568"/>
      <c r="C115" s="569"/>
      <c r="D115" s="569"/>
      <c r="E115" s="570">
        <f t="shared" si="32"/>
        <v>0</v>
      </c>
      <c r="F115" s="571"/>
      <c r="G115" s="845"/>
      <c r="H115" s="669"/>
      <c r="I115" s="573"/>
      <c r="J115" s="573"/>
      <c r="K115" s="574"/>
      <c r="L115" s="606">
        <f t="shared" si="35"/>
        <v>0</v>
      </c>
      <c r="M115" s="555">
        <f t="shared" si="36"/>
        <v>0</v>
      </c>
      <c r="N115" s="575"/>
      <c r="O115" s="575"/>
      <c r="P115" s="575"/>
      <c r="Q115" s="575"/>
      <c r="R115" s="575"/>
      <c r="S115" s="575"/>
      <c r="T115" s="575"/>
      <c r="U115" s="575"/>
      <c r="V115" s="575"/>
      <c r="W115" s="575"/>
      <c r="X115" s="557">
        <f t="shared" si="33"/>
        <v>0</v>
      </c>
      <c r="Y115" s="558">
        <f t="shared" si="37"/>
        <v>0</v>
      </c>
      <c r="Z115" s="559"/>
      <c r="AA115" s="576"/>
      <c r="AB115" s="577"/>
      <c r="AC115" s="577"/>
      <c r="AD115" s="577"/>
      <c r="AE115" s="577"/>
      <c r="AF115" s="578"/>
      <c r="AG115" s="579"/>
      <c r="AH115" s="579"/>
      <c r="AI115" s="579"/>
      <c r="AJ115" s="700"/>
      <c r="AK115" s="696">
        <f t="shared" si="38"/>
        <v>0</v>
      </c>
      <c r="AL115" s="604">
        <f t="shared" si="39"/>
        <v>0</v>
      </c>
      <c r="AM115" s="604">
        <f t="shared" si="40"/>
        <v>0</v>
      </c>
      <c r="AN115" s="604">
        <f t="shared" si="41"/>
        <v>0</v>
      </c>
      <c r="AO115" s="697">
        <f t="shared" si="42"/>
        <v>0</v>
      </c>
      <c r="AP115" s="701"/>
      <c r="AQ115" s="702"/>
      <c r="AR115" s="1022">
        <f t="shared" si="43"/>
        <v>0</v>
      </c>
      <c r="AS115" s="329"/>
      <c r="AT115" s="329"/>
      <c r="AU115" s="1013">
        <f t="shared" si="34"/>
        <v>0</v>
      </c>
    </row>
    <row r="116" spans="1:47" x14ac:dyDescent="0.25">
      <c r="A116" s="567"/>
      <c r="B116" s="568"/>
      <c r="C116" s="569"/>
      <c r="D116" s="569"/>
      <c r="E116" s="570">
        <f t="shared" si="32"/>
        <v>0</v>
      </c>
      <c r="F116" s="571"/>
      <c r="G116" s="845"/>
      <c r="H116" s="669"/>
      <c r="I116" s="573"/>
      <c r="J116" s="573"/>
      <c r="K116" s="574"/>
      <c r="L116" s="606">
        <f t="shared" si="35"/>
        <v>0</v>
      </c>
      <c r="M116" s="555">
        <f t="shared" si="36"/>
        <v>0</v>
      </c>
      <c r="N116" s="575"/>
      <c r="O116" s="575"/>
      <c r="P116" s="575"/>
      <c r="Q116" s="575"/>
      <c r="R116" s="575"/>
      <c r="S116" s="575"/>
      <c r="T116" s="575"/>
      <c r="U116" s="575"/>
      <c r="V116" s="575"/>
      <c r="W116" s="575"/>
      <c r="X116" s="557">
        <f t="shared" si="33"/>
        <v>0</v>
      </c>
      <c r="Y116" s="558">
        <f t="shared" si="37"/>
        <v>0</v>
      </c>
      <c r="Z116" s="559"/>
      <c r="AA116" s="576"/>
      <c r="AB116" s="577"/>
      <c r="AC116" s="577"/>
      <c r="AD116" s="577"/>
      <c r="AE116" s="577"/>
      <c r="AF116" s="578"/>
      <c r="AG116" s="579"/>
      <c r="AH116" s="579"/>
      <c r="AI116" s="579"/>
      <c r="AJ116" s="700"/>
      <c r="AK116" s="696">
        <f t="shared" si="38"/>
        <v>0</v>
      </c>
      <c r="AL116" s="604">
        <f t="shared" si="39"/>
        <v>0</v>
      </c>
      <c r="AM116" s="604">
        <f t="shared" si="40"/>
        <v>0</v>
      </c>
      <c r="AN116" s="604">
        <f t="shared" si="41"/>
        <v>0</v>
      </c>
      <c r="AO116" s="697">
        <f t="shared" si="42"/>
        <v>0</v>
      </c>
      <c r="AP116" s="701"/>
      <c r="AQ116" s="702"/>
      <c r="AR116" s="1022">
        <f t="shared" si="43"/>
        <v>0</v>
      </c>
      <c r="AS116" s="329"/>
      <c r="AT116" s="329"/>
      <c r="AU116" s="1013">
        <f t="shared" si="34"/>
        <v>0</v>
      </c>
    </row>
    <row r="117" spans="1:47" x14ac:dyDescent="0.25">
      <c r="A117" s="567"/>
      <c r="B117" s="568"/>
      <c r="C117" s="569"/>
      <c r="D117" s="569"/>
      <c r="E117" s="570">
        <f t="shared" si="32"/>
        <v>0</v>
      </c>
      <c r="F117" s="571"/>
      <c r="G117" s="845"/>
      <c r="H117" s="669"/>
      <c r="I117" s="573"/>
      <c r="J117" s="573"/>
      <c r="K117" s="574"/>
      <c r="L117" s="606">
        <f t="shared" si="35"/>
        <v>0</v>
      </c>
      <c r="M117" s="555">
        <f t="shared" si="36"/>
        <v>0</v>
      </c>
      <c r="N117" s="575"/>
      <c r="O117" s="575"/>
      <c r="P117" s="575"/>
      <c r="Q117" s="575"/>
      <c r="R117" s="575"/>
      <c r="S117" s="575"/>
      <c r="T117" s="575"/>
      <c r="U117" s="575"/>
      <c r="V117" s="575"/>
      <c r="W117" s="575"/>
      <c r="X117" s="557">
        <f t="shared" si="33"/>
        <v>0</v>
      </c>
      <c r="Y117" s="558">
        <f t="shared" si="37"/>
        <v>0</v>
      </c>
      <c r="Z117" s="559"/>
      <c r="AA117" s="576"/>
      <c r="AB117" s="577"/>
      <c r="AC117" s="577"/>
      <c r="AD117" s="577"/>
      <c r="AE117" s="577"/>
      <c r="AF117" s="578"/>
      <c r="AG117" s="579"/>
      <c r="AH117" s="579"/>
      <c r="AI117" s="579"/>
      <c r="AJ117" s="700"/>
      <c r="AK117" s="696">
        <f t="shared" si="38"/>
        <v>0</v>
      </c>
      <c r="AL117" s="604">
        <f t="shared" si="39"/>
        <v>0</v>
      </c>
      <c r="AM117" s="604">
        <f t="shared" si="40"/>
        <v>0</v>
      </c>
      <c r="AN117" s="604">
        <f t="shared" si="41"/>
        <v>0</v>
      </c>
      <c r="AO117" s="697">
        <f t="shared" si="42"/>
        <v>0</v>
      </c>
      <c r="AP117" s="701"/>
      <c r="AQ117" s="702"/>
      <c r="AR117" s="1022">
        <f t="shared" si="43"/>
        <v>0</v>
      </c>
      <c r="AS117" s="329"/>
      <c r="AT117" s="329"/>
      <c r="AU117" s="1013">
        <f t="shared" si="34"/>
        <v>0</v>
      </c>
    </row>
    <row r="118" spans="1:47" x14ac:dyDescent="0.25">
      <c r="A118" s="567"/>
      <c r="B118" s="568"/>
      <c r="C118" s="569"/>
      <c r="D118" s="569"/>
      <c r="E118" s="570">
        <f t="shared" si="32"/>
        <v>0</v>
      </c>
      <c r="F118" s="571"/>
      <c r="G118" s="845"/>
      <c r="H118" s="669"/>
      <c r="I118" s="573"/>
      <c r="J118" s="573"/>
      <c r="K118" s="574"/>
      <c r="L118" s="606">
        <f t="shared" si="35"/>
        <v>0</v>
      </c>
      <c r="M118" s="555">
        <f t="shared" si="36"/>
        <v>0</v>
      </c>
      <c r="N118" s="575"/>
      <c r="O118" s="575"/>
      <c r="P118" s="575"/>
      <c r="Q118" s="575"/>
      <c r="R118" s="575"/>
      <c r="S118" s="575"/>
      <c r="T118" s="575"/>
      <c r="U118" s="575"/>
      <c r="V118" s="575"/>
      <c r="W118" s="575"/>
      <c r="X118" s="557">
        <f t="shared" si="33"/>
        <v>0</v>
      </c>
      <c r="Y118" s="558">
        <f t="shared" si="37"/>
        <v>0</v>
      </c>
      <c r="Z118" s="559"/>
      <c r="AA118" s="576"/>
      <c r="AB118" s="577"/>
      <c r="AC118" s="577"/>
      <c r="AD118" s="577"/>
      <c r="AE118" s="577"/>
      <c r="AF118" s="578"/>
      <c r="AG118" s="579"/>
      <c r="AH118" s="579"/>
      <c r="AI118" s="579"/>
      <c r="AJ118" s="700"/>
      <c r="AK118" s="696">
        <f t="shared" si="38"/>
        <v>0</v>
      </c>
      <c r="AL118" s="604">
        <f t="shared" si="39"/>
        <v>0</v>
      </c>
      <c r="AM118" s="604">
        <f t="shared" si="40"/>
        <v>0</v>
      </c>
      <c r="AN118" s="604">
        <f t="shared" si="41"/>
        <v>0</v>
      </c>
      <c r="AO118" s="697">
        <f t="shared" si="42"/>
        <v>0</v>
      </c>
      <c r="AP118" s="701"/>
      <c r="AQ118" s="702"/>
      <c r="AR118" s="1022">
        <f t="shared" si="43"/>
        <v>0</v>
      </c>
      <c r="AS118" s="329"/>
      <c r="AT118" s="329"/>
      <c r="AU118" s="1013">
        <f t="shared" si="34"/>
        <v>0</v>
      </c>
    </row>
    <row r="119" spans="1:47" x14ac:dyDescent="0.25">
      <c r="A119" s="567"/>
      <c r="B119" s="568"/>
      <c r="C119" s="569"/>
      <c r="D119" s="569"/>
      <c r="E119" s="570">
        <f t="shared" si="32"/>
        <v>0</v>
      </c>
      <c r="F119" s="571"/>
      <c r="G119" s="845"/>
      <c r="H119" s="669"/>
      <c r="I119" s="573"/>
      <c r="J119" s="573"/>
      <c r="K119" s="574"/>
      <c r="L119" s="606">
        <f t="shared" si="35"/>
        <v>0</v>
      </c>
      <c r="M119" s="555">
        <f t="shared" si="36"/>
        <v>0</v>
      </c>
      <c r="N119" s="575"/>
      <c r="O119" s="575"/>
      <c r="P119" s="575"/>
      <c r="Q119" s="575"/>
      <c r="R119" s="575"/>
      <c r="S119" s="575"/>
      <c r="T119" s="575"/>
      <c r="U119" s="575"/>
      <c r="V119" s="575"/>
      <c r="W119" s="575"/>
      <c r="X119" s="557">
        <f t="shared" si="33"/>
        <v>0</v>
      </c>
      <c r="Y119" s="558">
        <f t="shared" si="37"/>
        <v>0</v>
      </c>
      <c r="Z119" s="559"/>
      <c r="AA119" s="576"/>
      <c r="AB119" s="577"/>
      <c r="AC119" s="577"/>
      <c r="AD119" s="577"/>
      <c r="AE119" s="577"/>
      <c r="AF119" s="578"/>
      <c r="AG119" s="579"/>
      <c r="AH119" s="579"/>
      <c r="AI119" s="579"/>
      <c r="AJ119" s="700"/>
      <c r="AK119" s="696">
        <f t="shared" si="38"/>
        <v>0</v>
      </c>
      <c r="AL119" s="604">
        <f t="shared" si="39"/>
        <v>0</v>
      </c>
      <c r="AM119" s="604">
        <f t="shared" si="40"/>
        <v>0</v>
      </c>
      <c r="AN119" s="604">
        <f t="shared" si="41"/>
        <v>0</v>
      </c>
      <c r="AO119" s="697">
        <f t="shared" si="42"/>
        <v>0</v>
      </c>
      <c r="AP119" s="701"/>
      <c r="AQ119" s="702"/>
      <c r="AR119" s="1022">
        <f t="shared" si="43"/>
        <v>0</v>
      </c>
      <c r="AS119" s="329"/>
      <c r="AT119" s="329"/>
      <c r="AU119" s="1013">
        <f t="shared" si="34"/>
        <v>0</v>
      </c>
    </row>
    <row r="120" spans="1:47" x14ac:dyDescent="0.25">
      <c r="A120" s="567"/>
      <c r="B120" s="568"/>
      <c r="C120" s="569"/>
      <c r="D120" s="569"/>
      <c r="E120" s="570">
        <f t="shared" si="32"/>
        <v>0</v>
      </c>
      <c r="F120" s="571"/>
      <c r="G120" s="845"/>
      <c r="H120" s="669"/>
      <c r="I120" s="573"/>
      <c r="J120" s="573"/>
      <c r="K120" s="574"/>
      <c r="L120" s="606">
        <f t="shared" si="35"/>
        <v>0</v>
      </c>
      <c r="M120" s="555">
        <f t="shared" si="36"/>
        <v>0</v>
      </c>
      <c r="N120" s="575"/>
      <c r="O120" s="575"/>
      <c r="P120" s="575"/>
      <c r="Q120" s="575"/>
      <c r="R120" s="575"/>
      <c r="S120" s="575"/>
      <c r="T120" s="575"/>
      <c r="U120" s="575"/>
      <c r="V120" s="575"/>
      <c r="W120" s="575"/>
      <c r="X120" s="557">
        <f t="shared" si="33"/>
        <v>0</v>
      </c>
      <c r="Y120" s="558">
        <f t="shared" si="37"/>
        <v>0</v>
      </c>
      <c r="Z120" s="559"/>
      <c r="AA120" s="576"/>
      <c r="AB120" s="577"/>
      <c r="AC120" s="577"/>
      <c r="AD120" s="577"/>
      <c r="AE120" s="577"/>
      <c r="AF120" s="578"/>
      <c r="AG120" s="579"/>
      <c r="AH120" s="579"/>
      <c r="AI120" s="579"/>
      <c r="AJ120" s="700"/>
      <c r="AK120" s="696">
        <f t="shared" si="38"/>
        <v>0</v>
      </c>
      <c r="AL120" s="604">
        <f t="shared" si="39"/>
        <v>0</v>
      </c>
      <c r="AM120" s="604">
        <f t="shared" si="40"/>
        <v>0</v>
      </c>
      <c r="AN120" s="604">
        <f t="shared" si="41"/>
        <v>0</v>
      </c>
      <c r="AO120" s="697">
        <f t="shared" si="42"/>
        <v>0</v>
      </c>
      <c r="AP120" s="701"/>
      <c r="AQ120" s="702"/>
      <c r="AR120" s="1022">
        <f t="shared" si="43"/>
        <v>0</v>
      </c>
      <c r="AS120" s="329"/>
      <c r="AT120" s="329"/>
      <c r="AU120" s="1013">
        <f t="shared" si="34"/>
        <v>0</v>
      </c>
    </row>
    <row r="121" spans="1:47" x14ac:dyDescent="0.25">
      <c r="A121" s="567"/>
      <c r="B121" s="568"/>
      <c r="C121" s="569"/>
      <c r="D121" s="569"/>
      <c r="E121" s="570">
        <f t="shared" si="32"/>
        <v>0</v>
      </c>
      <c r="F121" s="571"/>
      <c r="G121" s="845"/>
      <c r="H121" s="669"/>
      <c r="I121" s="573"/>
      <c r="J121" s="573"/>
      <c r="K121" s="574"/>
      <c r="L121" s="606">
        <f t="shared" si="35"/>
        <v>0</v>
      </c>
      <c r="M121" s="555">
        <f t="shared" si="36"/>
        <v>0</v>
      </c>
      <c r="N121" s="575"/>
      <c r="O121" s="575"/>
      <c r="P121" s="575"/>
      <c r="Q121" s="575"/>
      <c r="R121" s="575"/>
      <c r="S121" s="575"/>
      <c r="T121" s="575"/>
      <c r="U121" s="575"/>
      <c r="V121" s="575"/>
      <c r="W121" s="575"/>
      <c r="X121" s="557">
        <f t="shared" si="33"/>
        <v>0</v>
      </c>
      <c r="Y121" s="558">
        <f t="shared" si="37"/>
        <v>0</v>
      </c>
      <c r="Z121" s="559"/>
      <c r="AA121" s="576"/>
      <c r="AB121" s="577"/>
      <c r="AC121" s="577"/>
      <c r="AD121" s="577"/>
      <c r="AE121" s="577"/>
      <c r="AF121" s="578"/>
      <c r="AG121" s="579"/>
      <c r="AH121" s="579"/>
      <c r="AI121" s="579"/>
      <c r="AJ121" s="700"/>
      <c r="AK121" s="696">
        <f t="shared" si="38"/>
        <v>0</v>
      </c>
      <c r="AL121" s="604">
        <f t="shared" si="39"/>
        <v>0</v>
      </c>
      <c r="AM121" s="604">
        <f t="shared" si="40"/>
        <v>0</v>
      </c>
      <c r="AN121" s="604">
        <f t="shared" si="41"/>
        <v>0</v>
      </c>
      <c r="AO121" s="697">
        <f t="shared" si="42"/>
        <v>0</v>
      </c>
      <c r="AP121" s="701"/>
      <c r="AQ121" s="702"/>
      <c r="AR121" s="1022">
        <f t="shared" si="43"/>
        <v>0</v>
      </c>
      <c r="AS121" s="329"/>
      <c r="AT121" s="329"/>
      <c r="AU121" s="1013">
        <f t="shared" si="34"/>
        <v>0</v>
      </c>
    </row>
    <row r="122" spans="1:47" x14ac:dyDescent="0.25">
      <c r="A122" s="567"/>
      <c r="B122" s="568"/>
      <c r="C122" s="569"/>
      <c r="D122" s="569"/>
      <c r="E122" s="570">
        <f t="shared" si="32"/>
        <v>0</v>
      </c>
      <c r="F122" s="571"/>
      <c r="G122" s="845"/>
      <c r="H122" s="669"/>
      <c r="I122" s="573"/>
      <c r="J122" s="573"/>
      <c r="K122" s="574"/>
      <c r="L122" s="606">
        <f t="shared" si="35"/>
        <v>0</v>
      </c>
      <c r="M122" s="555">
        <f t="shared" si="36"/>
        <v>0</v>
      </c>
      <c r="N122" s="575"/>
      <c r="O122" s="575"/>
      <c r="P122" s="575"/>
      <c r="Q122" s="575"/>
      <c r="R122" s="575"/>
      <c r="S122" s="575"/>
      <c r="T122" s="575"/>
      <c r="U122" s="575"/>
      <c r="V122" s="575"/>
      <c r="W122" s="575"/>
      <c r="X122" s="557">
        <f t="shared" si="33"/>
        <v>0</v>
      </c>
      <c r="Y122" s="558">
        <f t="shared" si="37"/>
        <v>0</v>
      </c>
      <c r="Z122" s="559"/>
      <c r="AA122" s="576"/>
      <c r="AB122" s="577"/>
      <c r="AC122" s="577"/>
      <c r="AD122" s="577"/>
      <c r="AE122" s="577"/>
      <c r="AF122" s="578"/>
      <c r="AG122" s="579"/>
      <c r="AH122" s="579"/>
      <c r="AI122" s="579"/>
      <c r="AJ122" s="700"/>
      <c r="AK122" s="696">
        <f t="shared" si="38"/>
        <v>0</v>
      </c>
      <c r="AL122" s="604">
        <f t="shared" si="39"/>
        <v>0</v>
      </c>
      <c r="AM122" s="604">
        <f t="shared" si="40"/>
        <v>0</v>
      </c>
      <c r="AN122" s="604">
        <f t="shared" si="41"/>
        <v>0</v>
      </c>
      <c r="AO122" s="697">
        <f t="shared" si="42"/>
        <v>0</v>
      </c>
      <c r="AP122" s="701"/>
      <c r="AQ122" s="702"/>
      <c r="AR122" s="1022">
        <f t="shared" si="43"/>
        <v>0</v>
      </c>
      <c r="AS122" s="329"/>
      <c r="AT122" s="329"/>
      <c r="AU122" s="1013">
        <f t="shared" si="34"/>
        <v>0</v>
      </c>
    </row>
    <row r="123" spans="1:47" x14ac:dyDescent="0.25">
      <c r="A123" s="567"/>
      <c r="B123" s="568"/>
      <c r="C123" s="569"/>
      <c r="D123" s="569"/>
      <c r="E123" s="570">
        <f t="shared" si="32"/>
        <v>0</v>
      </c>
      <c r="F123" s="571"/>
      <c r="G123" s="845"/>
      <c r="H123" s="669"/>
      <c r="I123" s="573"/>
      <c r="J123" s="573"/>
      <c r="K123" s="574"/>
      <c r="L123" s="606">
        <f t="shared" si="35"/>
        <v>0</v>
      </c>
      <c r="M123" s="555">
        <f t="shared" si="36"/>
        <v>0</v>
      </c>
      <c r="N123" s="575"/>
      <c r="O123" s="575"/>
      <c r="P123" s="575"/>
      <c r="Q123" s="575"/>
      <c r="R123" s="575"/>
      <c r="S123" s="575"/>
      <c r="T123" s="575"/>
      <c r="U123" s="575"/>
      <c r="V123" s="575"/>
      <c r="W123" s="575"/>
      <c r="X123" s="557">
        <f t="shared" si="33"/>
        <v>0</v>
      </c>
      <c r="Y123" s="558">
        <f t="shared" si="37"/>
        <v>0</v>
      </c>
      <c r="Z123" s="559"/>
      <c r="AA123" s="576"/>
      <c r="AB123" s="577"/>
      <c r="AC123" s="577"/>
      <c r="AD123" s="577"/>
      <c r="AE123" s="577"/>
      <c r="AF123" s="578"/>
      <c r="AG123" s="579"/>
      <c r="AH123" s="579"/>
      <c r="AI123" s="579"/>
      <c r="AJ123" s="700"/>
      <c r="AK123" s="696">
        <f t="shared" si="38"/>
        <v>0</v>
      </c>
      <c r="AL123" s="604">
        <f t="shared" si="39"/>
        <v>0</v>
      </c>
      <c r="AM123" s="604">
        <f t="shared" si="40"/>
        <v>0</v>
      </c>
      <c r="AN123" s="604">
        <f t="shared" si="41"/>
        <v>0</v>
      </c>
      <c r="AO123" s="697">
        <f t="shared" si="42"/>
        <v>0</v>
      </c>
      <c r="AP123" s="701"/>
      <c r="AQ123" s="702"/>
      <c r="AR123" s="1022">
        <f t="shared" si="43"/>
        <v>0</v>
      </c>
      <c r="AS123" s="329"/>
      <c r="AT123" s="329"/>
      <c r="AU123" s="1013">
        <f t="shared" si="34"/>
        <v>0</v>
      </c>
    </row>
    <row r="124" spans="1:47" x14ac:dyDescent="0.25">
      <c r="A124" s="567"/>
      <c r="B124" s="568"/>
      <c r="C124" s="569"/>
      <c r="D124" s="569"/>
      <c r="E124" s="570">
        <f t="shared" si="32"/>
        <v>0</v>
      </c>
      <c r="F124" s="571"/>
      <c r="G124" s="845"/>
      <c r="H124" s="669"/>
      <c r="I124" s="573"/>
      <c r="J124" s="573"/>
      <c r="K124" s="574"/>
      <c r="L124" s="606">
        <f t="shared" si="35"/>
        <v>0</v>
      </c>
      <c r="M124" s="555">
        <f t="shared" si="36"/>
        <v>0</v>
      </c>
      <c r="N124" s="575"/>
      <c r="O124" s="575"/>
      <c r="P124" s="575"/>
      <c r="Q124" s="575"/>
      <c r="R124" s="575"/>
      <c r="S124" s="575"/>
      <c r="T124" s="575"/>
      <c r="U124" s="575"/>
      <c r="V124" s="575"/>
      <c r="W124" s="575"/>
      <c r="X124" s="557">
        <f t="shared" si="33"/>
        <v>0</v>
      </c>
      <c r="Y124" s="558">
        <f t="shared" si="37"/>
        <v>0</v>
      </c>
      <c r="Z124" s="559"/>
      <c r="AA124" s="576"/>
      <c r="AB124" s="577"/>
      <c r="AC124" s="577"/>
      <c r="AD124" s="577"/>
      <c r="AE124" s="577"/>
      <c r="AF124" s="578"/>
      <c r="AG124" s="579"/>
      <c r="AH124" s="579"/>
      <c r="AI124" s="579"/>
      <c r="AJ124" s="700"/>
      <c r="AK124" s="696">
        <f t="shared" si="38"/>
        <v>0</v>
      </c>
      <c r="AL124" s="604">
        <f t="shared" si="39"/>
        <v>0</v>
      </c>
      <c r="AM124" s="604">
        <f t="shared" si="40"/>
        <v>0</v>
      </c>
      <c r="AN124" s="604">
        <f t="shared" si="41"/>
        <v>0</v>
      </c>
      <c r="AO124" s="697">
        <f t="shared" si="42"/>
        <v>0</v>
      </c>
      <c r="AP124" s="701"/>
      <c r="AQ124" s="702"/>
      <c r="AR124" s="1022">
        <f t="shared" si="43"/>
        <v>0</v>
      </c>
      <c r="AS124" s="329"/>
      <c r="AT124" s="329"/>
      <c r="AU124" s="1013">
        <f t="shared" si="34"/>
        <v>0</v>
      </c>
    </row>
    <row r="125" spans="1:47" x14ac:dyDescent="0.25">
      <c r="A125" s="567"/>
      <c r="B125" s="568"/>
      <c r="C125" s="569"/>
      <c r="D125" s="569"/>
      <c r="E125" s="570">
        <f t="shared" si="32"/>
        <v>0</v>
      </c>
      <c r="F125" s="571"/>
      <c r="G125" s="845"/>
      <c r="H125" s="669"/>
      <c r="I125" s="573"/>
      <c r="J125" s="573"/>
      <c r="K125" s="574"/>
      <c r="L125" s="606">
        <f t="shared" si="35"/>
        <v>0</v>
      </c>
      <c r="M125" s="555">
        <f t="shared" si="36"/>
        <v>0</v>
      </c>
      <c r="N125" s="575"/>
      <c r="O125" s="575"/>
      <c r="P125" s="575"/>
      <c r="Q125" s="575"/>
      <c r="R125" s="575"/>
      <c r="S125" s="575"/>
      <c r="T125" s="575"/>
      <c r="U125" s="575"/>
      <c r="V125" s="575"/>
      <c r="W125" s="575"/>
      <c r="X125" s="557">
        <f t="shared" si="33"/>
        <v>0</v>
      </c>
      <c r="Y125" s="558">
        <f t="shared" si="37"/>
        <v>0</v>
      </c>
      <c r="Z125" s="559"/>
      <c r="AA125" s="576"/>
      <c r="AB125" s="577"/>
      <c r="AC125" s="577"/>
      <c r="AD125" s="577"/>
      <c r="AE125" s="577"/>
      <c r="AF125" s="578"/>
      <c r="AG125" s="579"/>
      <c r="AH125" s="579"/>
      <c r="AI125" s="579"/>
      <c r="AJ125" s="700"/>
      <c r="AK125" s="696">
        <f t="shared" si="38"/>
        <v>0</v>
      </c>
      <c r="AL125" s="604">
        <f t="shared" si="39"/>
        <v>0</v>
      </c>
      <c r="AM125" s="604">
        <f t="shared" si="40"/>
        <v>0</v>
      </c>
      <c r="AN125" s="604">
        <f t="shared" si="41"/>
        <v>0</v>
      </c>
      <c r="AO125" s="697">
        <f t="shared" si="42"/>
        <v>0</v>
      </c>
      <c r="AP125" s="701"/>
      <c r="AQ125" s="702"/>
      <c r="AR125" s="1022">
        <f t="shared" si="43"/>
        <v>0</v>
      </c>
      <c r="AS125" s="329"/>
      <c r="AT125" s="329"/>
      <c r="AU125" s="1013">
        <f t="shared" si="34"/>
        <v>0</v>
      </c>
    </row>
    <row r="126" spans="1:47" x14ac:dyDescent="0.25">
      <c r="A126" s="567"/>
      <c r="B126" s="568"/>
      <c r="C126" s="569"/>
      <c r="D126" s="569"/>
      <c r="E126" s="570">
        <f t="shared" si="32"/>
        <v>0</v>
      </c>
      <c r="F126" s="571"/>
      <c r="G126" s="845"/>
      <c r="H126" s="669"/>
      <c r="I126" s="573"/>
      <c r="J126" s="573"/>
      <c r="K126" s="574"/>
      <c r="L126" s="606">
        <f t="shared" si="35"/>
        <v>0</v>
      </c>
      <c r="M126" s="555">
        <f t="shared" si="36"/>
        <v>0</v>
      </c>
      <c r="N126" s="575"/>
      <c r="O126" s="575"/>
      <c r="P126" s="575"/>
      <c r="Q126" s="575"/>
      <c r="R126" s="575"/>
      <c r="S126" s="575"/>
      <c r="T126" s="575"/>
      <c r="U126" s="575"/>
      <c r="V126" s="575"/>
      <c r="W126" s="575"/>
      <c r="X126" s="557">
        <f t="shared" si="33"/>
        <v>0</v>
      </c>
      <c r="Y126" s="558">
        <f t="shared" si="37"/>
        <v>0</v>
      </c>
      <c r="Z126" s="559"/>
      <c r="AA126" s="576"/>
      <c r="AB126" s="577"/>
      <c r="AC126" s="577"/>
      <c r="AD126" s="577"/>
      <c r="AE126" s="577"/>
      <c r="AF126" s="578"/>
      <c r="AG126" s="579"/>
      <c r="AH126" s="579"/>
      <c r="AI126" s="579"/>
      <c r="AJ126" s="700"/>
      <c r="AK126" s="696">
        <f t="shared" si="38"/>
        <v>0</v>
      </c>
      <c r="AL126" s="604">
        <f t="shared" si="39"/>
        <v>0</v>
      </c>
      <c r="AM126" s="604">
        <f t="shared" si="40"/>
        <v>0</v>
      </c>
      <c r="AN126" s="604">
        <f t="shared" si="41"/>
        <v>0</v>
      </c>
      <c r="AO126" s="697">
        <f t="shared" si="42"/>
        <v>0</v>
      </c>
      <c r="AP126" s="701"/>
      <c r="AQ126" s="702"/>
      <c r="AR126" s="1022">
        <f t="shared" si="43"/>
        <v>0</v>
      </c>
      <c r="AS126" s="329"/>
      <c r="AT126" s="329"/>
      <c r="AU126" s="1013">
        <f t="shared" si="34"/>
        <v>0</v>
      </c>
    </row>
    <row r="127" spans="1:47" x14ac:dyDescent="0.25">
      <c r="A127" s="567"/>
      <c r="B127" s="568"/>
      <c r="C127" s="569"/>
      <c r="D127" s="569"/>
      <c r="E127" s="570">
        <f t="shared" si="32"/>
        <v>0</v>
      </c>
      <c r="F127" s="571"/>
      <c r="G127" s="845"/>
      <c r="H127" s="669"/>
      <c r="I127" s="573"/>
      <c r="J127" s="573"/>
      <c r="K127" s="574"/>
      <c r="L127" s="606">
        <f t="shared" si="35"/>
        <v>0</v>
      </c>
      <c r="M127" s="555">
        <f t="shared" si="36"/>
        <v>0</v>
      </c>
      <c r="N127" s="575"/>
      <c r="O127" s="575"/>
      <c r="P127" s="575"/>
      <c r="Q127" s="575"/>
      <c r="R127" s="575"/>
      <c r="S127" s="575"/>
      <c r="T127" s="575"/>
      <c r="U127" s="575"/>
      <c r="V127" s="575"/>
      <c r="W127" s="575"/>
      <c r="X127" s="557">
        <f t="shared" si="33"/>
        <v>0</v>
      </c>
      <c r="Y127" s="558">
        <f t="shared" si="37"/>
        <v>0</v>
      </c>
      <c r="Z127" s="559"/>
      <c r="AA127" s="576"/>
      <c r="AB127" s="577"/>
      <c r="AC127" s="577"/>
      <c r="AD127" s="577"/>
      <c r="AE127" s="577"/>
      <c r="AF127" s="578"/>
      <c r="AG127" s="579"/>
      <c r="AH127" s="579"/>
      <c r="AI127" s="579"/>
      <c r="AJ127" s="700"/>
      <c r="AK127" s="696">
        <f t="shared" si="38"/>
        <v>0</v>
      </c>
      <c r="AL127" s="604">
        <f t="shared" si="39"/>
        <v>0</v>
      </c>
      <c r="AM127" s="604">
        <f t="shared" si="40"/>
        <v>0</v>
      </c>
      <c r="AN127" s="604">
        <f t="shared" si="41"/>
        <v>0</v>
      </c>
      <c r="AO127" s="697">
        <f t="shared" si="42"/>
        <v>0</v>
      </c>
      <c r="AP127" s="701"/>
      <c r="AQ127" s="702"/>
      <c r="AR127" s="1022">
        <f t="shared" si="43"/>
        <v>0</v>
      </c>
      <c r="AS127" s="329"/>
      <c r="AT127" s="329"/>
      <c r="AU127" s="1013">
        <f t="shared" si="34"/>
        <v>0</v>
      </c>
    </row>
    <row r="128" spans="1:47" x14ac:dyDescent="0.25">
      <c r="A128" s="567"/>
      <c r="B128" s="568"/>
      <c r="C128" s="569"/>
      <c r="D128" s="569"/>
      <c r="E128" s="570">
        <f t="shared" si="32"/>
        <v>0</v>
      </c>
      <c r="F128" s="571"/>
      <c r="G128" s="845"/>
      <c r="H128" s="669"/>
      <c r="I128" s="573"/>
      <c r="J128" s="573"/>
      <c r="K128" s="574"/>
      <c r="L128" s="606">
        <f t="shared" si="35"/>
        <v>0</v>
      </c>
      <c r="M128" s="555">
        <f t="shared" si="36"/>
        <v>0</v>
      </c>
      <c r="N128" s="575"/>
      <c r="O128" s="575"/>
      <c r="P128" s="575"/>
      <c r="Q128" s="575"/>
      <c r="R128" s="575"/>
      <c r="S128" s="575"/>
      <c r="T128" s="575"/>
      <c r="U128" s="575"/>
      <c r="V128" s="575"/>
      <c r="W128" s="575"/>
      <c r="X128" s="557">
        <f t="shared" si="33"/>
        <v>0</v>
      </c>
      <c r="Y128" s="558">
        <f t="shared" si="37"/>
        <v>0</v>
      </c>
      <c r="Z128" s="559"/>
      <c r="AA128" s="576"/>
      <c r="AB128" s="577"/>
      <c r="AC128" s="577"/>
      <c r="AD128" s="577"/>
      <c r="AE128" s="577"/>
      <c r="AF128" s="578"/>
      <c r="AG128" s="579"/>
      <c r="AH128" s="579"/>
      <c r="AI128" s="579"/>
      <c r="AJ128" s="700"/>
      <c r="AK128" s="696">
        <f t="shared" si="38"/>
        <v>0</v>
      </c>
      <c r="AL128" s="604">
        <f t="shared" si="39"/>
        <v>0</v>
      </c>
      <c r="AM128" s="604">
        <f t="shared" si="40"/>
        <v>0</v>
      </c>
      <c r="AN128" s="604">
        <f t="shared" si="41"/>
        <v>0</v>
      </c>
      <c r="AO128" s="697">
        <f t="shared" si="42"/>
        <v>0</v>
      </c>
      <c r="AP128" s="701"/>
      <c r="AQ128" s="702"/>
      <c r="AR128" s="1022">
        <f t="shared" si="43"/>
        <v>0</v>
      </c>
      <c r="AS128" s="329"/>
      <c r="AT128" s="329"/>
      <c r="AU128" s="1013">
        <f t="shared" si="34"/>
        <v>0</v>
      </c>
    </row>
    <row r="129" spans="1:47" x14ac:dyDescent="0.25">
      <c r="A129" s="567"/>
      <c r="B129" s="568"/>
      <c r="C129" s="569"/>
      <c r="D129" s="569"/>
      <c r="E129" s="570">
        <f t="shared" si="32"/>
        <v>0</v>
      </c>
      <c r="F129" s="571"/>
      <c r="G129" s="845"/>
      <c r="H129" s="669"/>
      <c r="I129" s="573"/>
      <c r="J129" s="573"/>
      <c r="K129" s="574"/>
      <c r="L129" s="606">
        <f t="shared" si="35"/>
        <v>0</v>
      </c>
      <c r="M129" s="555">
        <f t="shared" si="36"/>
        <v>0</v>
      </c>
      <c r="N129" s="575"/>
      <c r="O129" s="575"/>
      <c r="P129" s="575"/>
      <c r="Q129" s="575"/>
      <c r="R129" s="575"/>
      <c r="S129" s="575"/>
      <c r="T129" s="575"/>
      <c r="U129" s="575"/>
      <c r="V129" s="575"/>
      <c r="W129" s="575"/>
      <c r="X129" s="557">
        <f t="shared" si="33"/>
        <v>0</v>
      </c>
      <c r="Y129" s="558">
        <f t="shared" si="37"/>
        <v>0</v>
      </c>
      <c r="Z129" s="559"/>
      <c r="AA129" s="576"/>
      <c r="AB129" s="577"/>
      <c r="AC129" s="577"/>
      <c r="AD129" s="577"/>
      <c r="AE129" s="577"/>
      <c r="AF129" s="578"/>
      <c r="AG129" s="579"/>
      <c r="AH129" s="579"/>
      <c r="AI129" s="579"/>
      <c r="AJ129" s="700"/>
      <c r="AK129" s="696">
        <f t="shared" si="38"/>
        <v>0</v>
      </c>
      <c r="AL129" s="604">
        <f t="shared" si="39"/>
        <v>0</v>
      </c>
      <c r="AM129" s="604">
        <f t="shared" si="40"/>
        <v>0</v>
      </c>
      <c r="AN129" s="604">
        <f t="shared" si="41"/>
        <v>0</v>
      </c>
      <c r="AO129" s="697">
        <f t="shared" si="42"/>
        <v>0</v>
      </c>
      <c r="AP129" s="701"/>
      <c r="AQ129" s="702"/>
      <c r="AR129" s="1022">
        <f t="shared" si="43"/>
        <v>0</v>
      </c>
      <c r="AS129" s="329"/>
      <c r="AT129" s="329"/>
      <c r="AU129" s="1013">
        <f t="shared" si="34"/>
        <v>0</v>
      </c>
    </row>
    <row r="130" spans="1:47" x14ac:dyDescent="0.25">
      <c r="A130" s="567"/>
      <c r="B130" s="568"/>
      <c r="C130" s="569"/>
      <c r="D130" s="569"/>
      <c r="E130" s="570">
        <f t="shared" si="32"/>
        <v>0</v>
      </c>
      <c r="F130" s="571"/>
      <c r="G130" s="845"/>
      <c r="H130" s="669"/>
      <c r="I130" s="573"/>
      <c r="J130" s="573"/>
      <c r="K130" s="574"/>
      <c r="L130" s="606">
        <f t="shared" si="35"/>
        <v>0</v>
      </c>
      <c r="M130" s="555">
        <f t="shared" si="36"/>
        <v>0</v>
      </c>
      <c r="N130" s="575"/>
      <c r="O130" s="575"/>
      <c r="P130" s="575"/>
      <c r="Q130" s="575"/>
      <c r="R130" s="575"/>
      <c r="S130" s="575"/>
      <c r="T130" s="575"/>
      <c r="U130" s="575"/>
      <c r="V130" s="575"/>
      <c r="W130" s="575"/>
      <c r="X130" s="557">
        <f t="shared" si="33"/>
        <v>0</v>
      </c>
      <c r="Y130" s="558">
        <f t="shared" si="37"/>
        <v>0</v>
      </c>
      <c r="Z130" s="559"/>
      <c r="AA130" s="576"/>
      <c r="AB130" s="577"/>
      <c r="AC130" s="577"/>
      <c r="AD130" s="577"/>
      <c r="AE130" s="577"/>
      <c r="AF130" s="578"/>
      <c r="AG130" s="579"/>
      <c r="AH130" s="579"/>
      <c r="AI130" s="579"/>
      <c r="AJ130" s="700"/>
      <c r="AK130" s="696">
        <f t="shared" si="38"/>
        <v>0</v>
      </c>
      <c r="AL130" s="604">
        <f t="shared" si="39"/>
        <v>0</v>
      </c>
      <c r="AM130" s="604">
        <f t="shared" si="40"/>
        <v>0</v>
      </c>
      <c r="AN130" s="604">
        <f t="shared" si="41"/>
        <v>0</v>
      </c>
      <c r="AO130" s="697">
        <f t="shared" si="42"/>
        <v>0</v>
      </c>
      <c r="AP130" s="701"/>
      <c r="AQ130" s="702"/>
      <c r="AR130" s="1022">
        <f t="shared" si="43"/>
        <v>0</v>
      </c>
      <c r="AS130" s="329"/>
      <c r="AT130" s="329"/>
      <c r="AU130" s="1013">
        <f t="shared" si="34"/>
        <v>0</v>
      </c>
    </row>
    <row r="131" spans="1:47" x14ac:dyDescent="0.25">
      <c r="A131" s="567"/>
      <c r="B131" s="568"/>
      <c r="C131" s="569"/>
      <c r="D131" s="569"/>
      <c r="E131" s="570">
        <f t="shared" si="32"/>
        <v>0</v>
      </c>
      <c r="F131" s="571"/>
      <c r="G131" s="845"/>
      <c r="H131" s="669"/>
      <c r="I131" s="573"/>
      <c r="J131" s="573"/>
      <c r="K131" s="574"/>
      <c r="L131" s="606">
        <f t="shared" si="35"/>
        <v>0</v>
      </c>
      <c r="M131" s="555">
        <f t="shared" si="36"/>
        <v>0</v>
      </c>
      <c r="N131" s="575"/>
      <c r="O131" s="575"/>
      <c r="P131" s="575"/>
      <c r="Q131" s="575"/>
      <c r="R131" s="575"/>
      <c r="S131" s="575"/>
      <c r="T131" s="575"/>
      <c r="U131" s="575"/>
      <c r="V131" s="575"/>
      <c r="W131" s="575"/>
      <c r="X131" s="557">
        <f t="shared" si="33"/>
        <v>0</v>
      </c>
      <c r="Y131" s="558">
        <f t="shared" si="37"/>
        <v>0</v>
      </c>
      <c r="Z131" s="559"/>
      <c r="AA131" s="576"/>
      <c r="AB131" s="577"/>
      <c r="AC131" s="577"/>
      <c r="AD131" s="577"/>
      <c r="AE131" s="577"/>
      <c r="AF131" s="578"/>
      <c r="AG131" s="579"/>
      <c r="AH131" s="579"/>
      <c r="AI131" s="579"/>
      <c r="AJ131" s="700"/>
      <c r="AK131" s="696">
        <f t="shared" si="38"/>
        <v>0</v>
      </c>
      <c r="AL131" s="604">
        <f t="shared" si="39"/>
        <v>0</v>
      </c>
      <c r="AM131" s="604">
        <f t="shared" si="40"/>
        <v>0</v>
      </c>
      <c r="AN131" s="604">
        <f t="shared" si="41"/>
        <v>0</v>
      </c>
      <c r="AO131" s="697">
        <f t="shared" si="42"/>
        <v>0</v>
      </c>
      <c r="AP131" s="701"/>
      <c r="AQ131" s="702"/>
      <c r="AR131" s="1022">
        <f t="shared" si="43"/>
        <v>0</v>
      </c>
      <c r="AS131" s="329"/>
      <c r="AT131" s="329"/>
      <c r="AU131" s="1013">
        <f t="shared" si="34"/>
        <v>0</v>
      </c>
    </row>
    <row r="132" spans="1:47" x14ac:dyDescent="0.25">
      <c r="A132" s="567"/>
      <c r="B132" s="568"/>
      <c r="C132" s="569"/>
      <c r="D132" s="569"/>
      <c r="E132" s="570">
        <f t="shared" si="32"/>
        <v>0</v>
      </c>
      <c r="F132" s="571"/>
      <c r="G132" s="845"/>
      <c r="H132" s="669"/>
      <c r="I132" s="573"/>
      <c r="J132" s="573"/>
      <c r="K132" s="574"/>
      <c r="L132" s="606">
        <f t="shared" si="35"/>
        <v>0</v>
      </c>
      <c r="M132" s="555">
        <f t="shared" si="36"/>
        <v>0</v>
      </c>
      <c r="N132" s="575"/>
      <c r="O132" s="575"/>
      <c r="P132" s="575"/>
      <c r="Q132" s="575"/>
      <c r="R132" s="575"/>
      <c r="S132" s="575"/>
      <c r="T132" s="575"/>
      <c r="U132" s="575"/>
      <c r="V132" s="575"/>
      <c r="W132" s="575"/>
      <c r="X132" s="557">
        <f t="shared" si="33"/>
        <v>0</v>
      </c>
      <c r="Y132" s="558">
        <f t="shared" si="37"/>
        <v>0</v>
      </c>
      <c r="Z132" s="559"/>
      <c r="AA132" s="576"/>
      <c r="AB132" s="577"/>
      <c r="AC132" s="577"/>
      <c r="AD132" s="577"/>
      <c r="AE132" s="577"/>
      <c r="AF132" s="578"/>
      <c r="AG132" s="579"/>
      <c r="AH132" s="579"/>
      <c r="AI132" s="579"/>
      <c r="AJ132" s="700"/>
      <c r="AK132" s="696">
        <f t="shared" si="38"/>
        <v>0</v>
      </c>
      <c r="AL132" s="604">
        <f t="shared" si="39"/>
        <v>0</v>
      </c>
      <c r="AM132" s="604">
        <f t="shared" si="40"/>
        <v>0</v>
      </c>
      <c r="AN132" s="604">
        <f t="shared" si="41"/>
        <v>0</v>
      </c>
      <c r="AO132" s="697">
        <f t="shared" si="42"/>
        <v>0</v>
      </c>
      <c r="AP132" s="701"/>
      <c r="AQ132" s="702"/>
      <c r="AR132" s="1022">
        <f t="shared" si="43"/>
        <v>0</v>
      </c>
      <c r="AS132" s="329"/>
      <c r="AT132" s="329"/>
      <c r="AU132" s="1013">
        <f t="shared" si="34"/>
        <v>0</v>
      </c>
    </row>
    <row r="133" spans="1:47" x14ac:dyDescent="0.25">
      <c r="A133" s="567"/>
      <c r="B133" s="568"/>
      <c r="C133" s="569"/>
      <c r="D133" s="569"/>
      <c r="E133" s="570">
        <f t="shared" si="32"/>
        <v>0</v>
      </c>
      <c r="F133" s="571"/>
      <c r="G133" s="845"/>
      <c r="H133" s="669"/>
      <c r="I133" s="573"/>
      <c r="J133" s="573"/>
      <c r="K133" s="574"/>
      <c r="L133" s="606">
        <f t="shared" si="35"/>
        <v>0</v>
      </c>
      <c r="M133" s="555">
        <f t="shared" si="36"/>
        <v>0</v>
      </c>
      <c r="N133" s="575"/>
      <c r="O133" s="575"/>
      <c r="P133" s="575"/>
      <c r="Q133" s="575"/>
      <c r="R133" s="575"/>
      <c r="S133" s="575"/>
      <c r="T133" s="575"/>
      <c r="U133" s="575"/>
      <c r="V133" s="575"/>
      <c r="W133" s="575"/>
      <c r="X133" s="557">
        <f t="shared" si="33"/>
        <v>0</v>
      </c>
      <c r="Y133" s="558">
        <f t="shared" si="37"/>
        <v>0</v>
      </c>
      <c r="Z133" s="559"/>
      <c r="AA133" s="576"/>
      <c r="AB133" s="577"/>
      <c r="AC133" s="577"/>
      <c r="AD133" s="577"/>
      <c r="AE133" s="577"/>
      <c r="AF133" s="578"/>
      <c r="AG133" s="579"/>
      <c r="AH133" s="579"/>
      <c r="AI133" s="579"/>
      <c r="AJ133" s="700"/>
      <c r="AK133" s="696">
        <f t="shared" si="38"/>
        <v>0</v>
      </c>
      <c r="AL133" s="604">
        <f t="shared" si="39"/>
        <v>0</v>
      </c>
      <c r="AM133" s="604">
        <f t="shared" si="40"/>
        <v>0</v>
      </c>
      <c r="AN133" s="604">
        <f t="shared" si="41"/>
        <v>0</v>
      </c>
      <c r="AO133" s="697">
        <f t="shared" si="42"/>
        <v>0</v>
      </c>
      <c r="AP133" s="701"/>
      <c r="AQ133" s="702"/>
      <c r="AR133" s="1022">
        <f t="shared" si="43"/>
        <v>0</v>
      </c>
      <c r="AS133" s="329"/>
      <c r="AT133" s="329"/>
      <c r="AU133" s="1013">
        <f t="shared" si="34"/>
        <v>0</v>
      </c>
    </row>
    <row r="134" spans="1:47" x14ac:dyDescent="0.25">
      <c r="A134" s="567"/>
      <c r="B134" s="568"/>
      <c r="C134" s="569"/>
      <c r="D134" s="569"/>
      <c r="E134" s="570">
        <f t="shared" si="32"/>
        <v>0</v>
      </c>
      <c r="F134" s="571"/>
      <c r="G134" s="845"/>
      <c r="H134" s="669"/>
      <c r="I134" s="573"/>
      <c r="J134" s="573"/>
      <c r="K134" s="574"/>
      <c r="L134" s="606">
        <f t="shared" si="35"/>
        <v>0</v>
      </c>
      <c r="M134" s="555">
        <f t="shared" si="36"/>
        <v>0</v>
      </c>
      <c r="N134" s="575"/>
      <c r="O134" s="575"/>
      <c r="P134" s="575"/>
      <c r="Q134" s="575"/>
      <c r="R134" s="575"/>
      <c r="S134" s="575"/>
      <c r="T134" s="575"/>
      <c r="U134" s="575"/>
      <c r="V134" s="575"/>
      <c r="W134" s="575"/>
      <c r="X134" s="557">
        <f t="shared" si="33"/>
        <v>0</v>
      </c>
      <c r="Y134" s="558">
        <f t="shared" si="37"/>
        <v>0</v>
      </c>
      <c r="Z134" s="559"/>
      <c r="AA134" s="576"/>
      <c r="AB134" s="577"/>
      <c r="AC134" s="577"/>
      <c r="AD134" s="577"/>
      <c r="AE134" s="577"/>
      <c r="AF134" s="578"/>
      <c r="AG134" s="579"/>
      <c r="AH134" s="579"/>
      <c r="AI134" s="579"/>
      <c r="AJ134" s="700"/>
      <c r="AK134" s="696">
        <f t="shared" si="38"/>
        <v>0</v>
      </c>
      <c r="AL134" s="604">
        <f t="shared" si="39"/>
        <v>0</v>
      </c>
      <c r="AM134" s="604">
        <f t="shared" si="40"/>
        <v>0</v>
      </c>
      <c r="AN134" s="604">
        <f t="shared" si="41"/>
        <v>0</v>
      </c>
      <c r="AO134" s="697">
        <f t="shared" si="42"/>
        <v>0</v>
      </c>
      <c r="AP134" s="701"/>
      <c r="AQ134" s="702"/>
      <c r="AR134" s="1022">
        <f t="shared" si="43"/>
        <v>0</v>
      </c>
      <c r="AS134" s="329"/>
      <c r="AT134" s="329"/>
      <c r="AU134" s="1013">
        <f t="shared" si="34"/>
        <v>0</v>
      </c>
    </row>
    <row r="135" spans="1:47" x14ac:dyDescent="0.25">
      <c r="A135" s="567"/>
      <c r="B135" s="568"/>
      <c r="C135" s="569"/>
      <c r="D135" s="569"/>
      <c r="E135" s="570">
        <f t="shared" si="32"/>
        <v>0</v>
      </c>
      <c r="F135" s="571"/>
      <c r="G135" s="845"/>
      <c r="H135" s="669"/>
      <c r="I135" s="573"/>
      <c r="J135" s="573"/>
      <c r="K135" s="574"/>
      <c r="L135" s="606">
        <f t="shared" si="35"/>
        <v>0</v>
      </c>
      <c r="M135" s="555">
        <f t="shared" si="36"/>
        <v>0</v>
      </c>
      <c r="N135" s="575"/>
      <c r="O135" s="575"/>
      <c r="P135" s="575"/>
      <c r="Q135" s="575"/>
      <c r="R135" s="575"/>
      <c r="S135" s="575"/>
      <c r="T135" s="575"/>
      <c r="U135" s="575"/>
      <c r="V135" s="575"/>
      <c r="W135" s="575"/>
      <c r="X135" s="557">
        <f t="shared" si="33"/>
        <v>0</v>
      </c>
      <c r="Y135" s="558">
        <f t="shared" si="37"/>
        <v>0</v>
      </c>
      <c r="Z135" s="559"/>
      <c r="AA135" s="576"/>
      <c r="AB135" s="577"/>
      <c r="AC135" s="577"/>
      <c r="AD135" s="577"/>
      <c r="AE135" s="577"/>
      <c r="AF135" s="578"/>
      <c r="AG135" s="579"/>
      <c r="AH135" s="579"/>
      <c r="AI135" s="579"/>
      <c r="AJ135" s="700"/>
      <c r="AK135" s="696">
        <f t="shared" si="38"/>
        <v>0</v>
      </c>
      <c r="AL135" s="604">
        <f t="shared" si="39"/>
        <v>0</v>
      </c>
      <c r="AM135" s="604">
        <f t="shared" si="40"/>
        <v>0</v>
      </c>
      <c r="AN135" s="604">
        <f t="shared" si="41"/>
        <v>0</v>
      </c>
      <c r="AO135" s="697">
        <f t="shared" si="42"/>
        <v>0</v>
      </c>
      <c r="AP135" s="701"/>
      <c r="AQ135" s="702"/>
      <c r="AR135" s="1022">
        <f t="shared" si="43"/>
        <v>0</v>
      </c>
      <c r="AS135" s="329"/>
      <c r="AT135" s="329"/>
      <c r="AU135" s="1013">
        <f t="shared" si="34"/>
        <v>0</v>
      </c>
    </row>
    <row r="136" spans="1:47" x14ac:dyDescent="0.25">
      <c r="A136" s="567"/>
      <c r="B136" s="568"/>
      <c r="C136" s="569"/>
      <c r="D136" s="569"/>
      <c r="E136" s="570">
        <f t="shared" si="32"/>
        <v>0</v>
      </c>
      <c r="F136" s="571"/>
      <c r="G136" s="845"/>
      <c r="H136" s="669"/>
      <c r="I136" s="573"/>
      <c r="J136" s="573"/>
      <c r="K136" s="574"/>
      <c r="L136" s="606">
        <f t="shared" si="35"/>
        <v>0</v>
      </c>
      <c r="M136" s="555">
        <f t="shared" si="36"/>
        <v>0</v>
      </c>
      <c r="N136" s="575"/>
      <c r="O136" s="575"/>
      <c r="P136" s="575"/>
      <c r="Q136" s="575"/>
      <c r="R136" s="575"/>
      <c r="S136" s="575"/>
      <c r="T136" s="575"/>
      <c r="U136" s="575"/>
      <c r="V136" s="575"/>
      <c r="W136" s="575"/>
      <c r="X136" s="557">
        <f t="shared" si="33"/>
        <v>0</v>
      </c>
      <c r="Y136" s="558">
        <f t="shared" si="37"/>
        <v>0</v>
      </c>
      <c r="Z136" s="559"/>
      <c r="AA136" s="576"/>
      <c r="AB136" s="577"/>
      <c r="AC136" s="577"/>
      <c r="AD136" s="577"/>
      <c r="AE136" s="577"/>
      <c r="AF136" s="578"/>
      <c r="AG136" s="579"/>
      <c r="AH136" s="579"/>
      <c r="AI136" s="579"/>
      <c r="AJ136" s="700"/>
      <c r="AK136" s="696">
        <f t="shared" si="38"/>
        <v>0</v>
      </c>
      <c r="AL136" s="604">
        <f t="shared" si="39"/>
        <v>0</v>
      </c>
      <c r="AM136" s="604">
        <f t="shared" si="40"/>
        <v>0</v>
      </c>
      <c r="AN136" s="604">
        <f t="shared" si="41"/>
        <v>0</v>
      </c>
      <c r="AO136" s="697">
        <f t="shared" si="42"/>
        <v>0</v>
      </c>
      <c r="AP136" s="701"/>
      <c r="AQ136" s="702"/>
      <c r="AR136" s="1022">
        <f t="shared" si="43"/>
        <v>0</v>
      </c>
      <c r="AS136" s="329"/>
      <c r="AT136" s="329"/>
      <c r="AU136" s="1013">
        <f t="shared" si="34"/>
        <v>0</v>
      </c>
    </row>
    <row r="137" spans="1:47" x14ac:dyDescent="0.25">
      <c r="A137" s="567"/>
      <c r="B137" s="568"/>
      <c r="C137" s="569"/>
      <c r="D137" s="569"/>
      <c r="E137" s="570">
        <f t="shared" si="32"/>
        <v>0</v>
      </c>
      <c r="F137" s="571"/>
      <c r="G137" s="845"/>
      <c r="H137" s="669"/>
      <c r="I137" s="573"/>
      <c r="J137" s="573"/>
      <c r="K137" s="574"/>
      <c r="L137" s="606">
        <f t="shared" si="35"/>
        <v>0</v>
      </c>
      <c r="M137" s="555">
        <f t="shared" si="36"/>
        <v>0</v>
      </c>
      <c r="N137" s="575"/>
      <c r="O137" s="575"/>
      <c r="P137" s="575"/>
      <c r="Q137" s="575"/>
      <c r="R137" s="575"/>
      <c r="S137" s="575"/>
      <c r="T137" s="575"/>
      <c r="U137" s="575"/>
      <c r="V137" s="575"/>
      <c r="W137" s="575"/>
      <c r="X137" s="557">
        <f t="shared" si="33"/>
        <v>0</v>
      </c>
      <c r="Y137" s="558">
        <f t="shared" si="37"/>
        <v>0</v>
      </c>
      <c r="Z137" s="559"/>
      <c r="AA137" s="576"/>
      <c r="AB137" s="577"/>
      <c r="AC137" s="577"/>
      <c r="AD137" s="577"/>
      <c r="AE137" s="577"/>
      <c r="AF137" s="578"/>
      <c r="AG137" s="579"/>
      <c r="AH137" s="579"/>
      <c r="AI137" s="579"/>
      <c r="AJ137" s="700"/>
      <c r="AK137" s="696">
        <f t="shared" si="38"/>
        <v>0</v>
      </c>
      <c r="AL137" s="604">
        <f t="shared" si="39"/>
        <v>0</v>
      </c>
      <c r="AM137" s="604">
        <f t="shared" si="40"/>
        <v>0</v>
      </c>
      <c r="AN137" s="604">
        <f t="shared" si="41"/>
        <v>0</v>
      </c>
      <c r="AO137" s="697">
        <f t="shared" si="42"/>
        <v>0</v>
      </c>
      <c r="AP137" s="701"/>
      <c r="AQ137" s="702"/>
      <c r="AR137" s="1022">
        <f t="shared" si="43"/>
        <v>0</v>
      </c>
      <c r="AS137" s="329"/>
      <c r="AT137" s="329"/>
      <c r="AU137" s="1013">
        <f t="shared" si="34"/>
        <v>0</v>
      </c>
    </row>
    <row r="138" spans="1:47" x14ac:dyDescent="0.25">
      <c r="A138" s="567"/>
      <c r="B138" s="568"/>
      <c r="C138" s="569"/>
      <c r="D138" s="569"/>
      <c r="E138" s="570">
        <f t="shared" si="32"/>
        <v>0</v>
      </c>
      <c r="F138" s="571"/>
      <c r="G138" s="845"/>
      <c r="H138" s="669"/>
      <c r="I138" s="573"/>
      <c r="J138" s="573"/>
      <c r="K138" s="574"/>
      <c r="L138" s="606">
        <f t="shared" si="35"/>
        <v>0</v>
      </c>
      <c r="M138" s="555">
        <f t="shared" si="36"/>
        <v>0</v>
      </c>
      <c r="N138" s="575"/>
      <c r="O138" s="575"/>
      <c r="P138" s="575"/>
      <c r="Q138" s="575"/>
      <c r="R138" s="575"/>
      <c r="S138" s="575"/>
      <c r="T138" s="575"/>
      <c r="U138" s="575"/>
      <c r="V138" s="575"/>
      <c r="W138" s="575"/>
      <c r="X138" s="557">
        <f t="shared" si="33"/>
        <v>0</v>
      </c>
      <c r="Y138" s="558">
        <f t="shared" si="37"/>
        <v>0</v>
      </c>
      <c r="Z138" s="559"/>
      <c r="AA138" s="576"/>
      <c r="AB138" s="577"/>
      <c r="AC138" s="577"/>
      <c r="AD138" s="577"/>
      <c r="AE138" s="577"/>
      <c r="AF138" s="578"/>
      <c r="AG138" s="579"/>
      <c r="AH138" s="579"/>
      <c r="AI138" s="579"/>
      <c r="AJ138" s="700"/>
      <c r="AK138" s="696">
        <f t="shared" si="38"/>
        <v>0</v>
      </c>
      <c r="AL138" s="604">
        <f t="shared" si="39"/>
        <v>0</v>
      </c>
      <c r="AM138" s="604">
        <f t="shared" si="40"/>
        <v>0</v>
      </c>
      <c r="AN138" s="604">
        <f t="shared" si="41"/>
        <v>0</v>
      </c>
      <c r="AO138" s="697">
        <f t="shared" si="42"/>
        <v>0</v>
      </c>
      <c r="AP138" s="701"/>
      <c r="AQ138" s="702"/>
      <c r="AR138" s="1022">
        <f t="shared" si="43"/>
        <v>0</v>
      </c>
      <c r="AS138" s="329"/>
      <c r="AT138" s="329"/>
      <c r="AU138" s="1013">
        <f t="shared" si="34"/>
        <v>0</v>
      </c>
    </row>
    <row r="139" spans="1:47" x14ac:dyDescent="0.25">
      <c r="A139" s="567"/>
      <c r="B139" s="568"/>
      <c r="C139" s="569"/>
      <c r="D139" s="569"/>
      <c r="E139" s="570">
        <f t="shared" si="32"/>
        <v>0</v>
      </c>
      <c r="F139" s="571"/>
      <c r="G139" s="845"/>
      <c r="H139" s="669"/>
      <c r="I139" s="573"/>
      <c r="J139" s="573"/>
      <c r="K139" s="574"/>
      <c r="L139" s="606">
        <f t="shared" si="35"/>
        <v>0</v>
      </c>
      <c r="M139" s="555">
        <f t="shared" si="36"/>
        <v>0</v>
      </c>
      <c r="N139" s="575"/>
      <c r="O139" s="575"/>
      <c r="P139" s="575"/>
      <c r="Q139" s="575"/>
      <c r="R139" s="575"/>
      <c r="S139" s="575"/>
      <c r="T139" s="575"/>
      <c r="U139" s="575"/>
      <c r="V139" s="575"/>
      <c r="W139" s="575"/>
      <c r="X139" s="557">
        <f t="shared" si="33"/>
        <v>0</v>
      </c>
      <c r="Y139" s="558">
        <f t="shared" si="37"/>
        <v>0</v>
      </c>
      <c r="Z139" s="559"/>
      <c r="AA139" s="576"/>
      <c r="AB139" s="577"/>
      <c r="AC139" s="577"/>
      <c r="AD139" s="577"/>
      <c r="AE139" s="577"/>
      <c r="AF139" s="578"/>
      <c r="AG139" s="579"/>
      <c r="AH139" s="579"/>
      <c r="AI139" s="579"/>
      <c r="AJ139" s="700"/>
      <c r="AK139" s="696">
        <f t="shared" si="38"/>
        <v>0</v>
      </c>
      <c r="AL139" s="604">
        <f t="shared" si="39"/>
        <v>0</v>
      </c>
      <c r="AM139" s="604">
        <f t="shared" si="40"/>
        <v>0</v>
      </c>
      <c r="AN139" s="604">
        <f t="shared" si="41"/>
        <v>0</v>
      </c>
      <c r="AO139" s="697">
        <f t="shared" si="42"/>
        <v>0</v>
      </c>
      <c r="AP139" s="701"/>
      <c r="AQ139" s="702"/>
      <c r="AR139" s="1022">
        <f t="shared" si="43"/>
        <v>0</v>
      </c>
      <c r="AS139" s="329"/>
      <c r="AT139" s="329"/>
      <c r="AU139" s="1013">
        <f t="shared" si="34"/>
        <v>0</v>
      </c>
    </row>
    <row r="140" spans="1:47" x14ac:dyDescent="0.25">
      <c r="A140" s="567"/>
      <c r="B140" s="568"/>
      <c r="C140" s="569"/>
      <c r="D140" s="569"/>
      <c r="E140" s="570">
        <f t="shared" si="32"/>
        <v>0</v>
      </c>
      <c r="F140" s="571"/>
      <c r="G140" s="845"/>
      <c r="H140" s="669"/>
      <c r="I140" s="573"/>
      <c r="J140" s="573"/>
      <c r="K140" s="574"/>
      <c r="L140" s="606">
        <f t="shared" si="35"/>
        <v>0</v>
      </c>
      <c r="M140" s="555">
        <f t="shared" si="36"/>
        <v>0</v>
      </c>
      <c r="N140" s="575"/>
      <c r="O140" s="575"/>
      <c r="P140" s="575"/>
      <c r="Q140" s="575"/>
      <c r="R140" s="575"/>
      <c r="S140" s="575"/>
      <c r="T140" s="575"/>
      <c r="U140" s="575"/>
      <c r="V140" s="575"/>
      <c r="W140" s="575"/>
      <c r="X140" s="557">
        <f t="shared" si="33"/>
        <v>0</v>
      </c>
      <c r="Y140" s="558">
        <f t="shared" si="37"/>
        <v>0</v>
      </c>
      <c r="Z140" s="559"/>
      <c r="AA140" s="576"/>
      <c r="AB140" s="577"/>
      <c r="AC140" s="577"/>
      <c r="AD140" s="577"/>
      <c r="AE140" s="577"/>
      <c r="AF140" s="578"/>
      <c r="AG140" s="579"/>
      <c r="AH140" s="579"/>
      <c r="AI140" s="579"/>
      <c r="AJ140" s="700"/>
      <c r="AK140" s="696">
        <f t="shared" si="38"/>
        <v>0</v>
      </c>
      <c r="AL140" s="604">
        <f t="shared" si="39"/>
        <v>0</v>
      </c>
      <c r="AM140" s="604">
        <f t="shared" si="40"/>
        <v>0</v>
      </c>
      <c r="AN140" s="604">
        <f t="shared" si="41"/>
        <v>0</v>
      </c>
      <c r="AO140" s="697">
        <f t="shared" si="42"/>
        <v>0</v>
      </c>
      <c r="AP140" s="701"/>
      <c r="AQ140" s="702"/>
      <c r="AR140" s="1022">
        <f t="shared" si="43"/>
        <v>0</v>
      </c>
      <c r="AS140" s="329"/>
      <c r="AT140" s="329"/>
      <c r="AU140" s="1013">
        <f t="shared" si="34"/>
        <v>0</v>
      </c>
    </row>
    <row r="141" spans="1:47" x14ac:dyDescent="0.25">
      <c r="A141" s="567"/>
      <c r="B141" s="568"/>
      <c r="C141" s="569"/>
      <c r="D141" s="569"/>
      <c r="E141" s="570">
        <f t="shared" si="32"/>
        <v>0</v>
      </c>
      <c r="F141" s="571"/>
      <c r="G141" s="845"/>
      <c r="H141" s="669"/>
      <c r="I141" s="573"/>
      <c r="J141" s="573"/>
      <c r="K141" s="574"/>
      <c r="L141" s="606">
        <f t="shared" si="35"/>
        <v>0</v>
      </c>
      <c r="M141" s="555">
        <f t="shared" si="36"/>
        <v>0</v>
      </c>
      <c r="N141" s="575"/>
      <c r="O141" s="575"/>
      <c r="P141" s="575"/>
      <c r="Q141" s="575"/>
      <c r="R141" s="575"/>
      <c r="S141" s="575"/>
      <c r="T141" s="575"/>
      <c r="U141" s="575"/>
      <c r="V141" s="575"/>
      <c r="W141" s="575"/>
      <c r="X141" s="557">
        <f t="shared" si="33"/>
        <v>0</v>
      </c>
      <c r="Y141" s="558">
        <f t="shared" si="37"/>
        <v>0</v>
      </c>
      <c r="Z141" s="559"/>
      <c r="AA141" s="576"/>
      <c r="AB141" s="577"/>
      <c r="AC141" s="577"/>
      <c r="AD141" s="577"/>
      <c r="AE141" s="577"/>
      <c r="AF141" s="578"/>
      <c r="AG141" s="579"/>
      <c r="AH141" s="579"/>
      <c r="AI141" s="579"/>
      <c r="AJ141" s="700"/>
      <c r="AK141" s="696">
        <f t="shared" si="38"/>
        <v>0</v>
      </c>
      <c r="AL141" s="604">
        <f t="shared" si="39"/>
        <v>0</v>
      </c>
      <c r="AM141" s="604">
        <f t="shared" si="40"/>
        <v>0</v>
      </c>
      <c r="AN141" s="604">
        <f t="shared" si="41"/>
        <v>0</v>
      </c>
      <c r="AO141" s="697">
        <f t="shared" si="42"/>
        <v>0</v>
      </c>
      <c r="AP141" s="701"/>
      <c r="AQ141" s="702"/>
      <c r="AR141" s="1022">
        <f t="shared" si="43"/>
        <v>0</v>
      </c>
      <c r="AS141" s="329"/>
      <c r="AT141" s="329"/>
      <c r="AU141" s="1013">
        <f t="shared" si="34"/>
        <v>0</v>
      </c>
    </row>
    <row r="142" spans="1:47" x14ac:dyDescent="0.25">
      <c r="A142" s="567"/>
      <c r="B142" s="568"/>
      <c r="C142" s="569"/>
      <c r="D142" s="569"/>
      <c r="E142" s="570">
        <f t="shared" si="32"/>
        <v>0</v>
      </c>
      <c r="F142" s="571"/>
      <c r="G142" s="845"/>
      <c r="H142" s="669"/>
      <c r="I142" s="573"/>
      <c r="J142" s="573"/>
      <c r="K142" s="574"/>
      <c r="L142" s="606">
        <f t="shared" si="35"/>
        <v>0</v>
      </c>
      <c r="M142" s="555">
        <f t="shared" si="36"/>
        <v>0</v>
      </c>
      <c r="N142" s="575"/>
      <c r="O142" s="575"/>
      <c r="P142" s="575"/>
      <c r="Q142" s="575"/>
      <c r="R142" s="575"/>
      <c r="S142" s="575"/>
      <c r="T142" s="575"/>
      <c r="U142" s="575"/>
      <c r="V142" s="575"/>
      <c r="W142" s="575"/>
      <c r="X142" s="557">
        <f t="shared" si="33"/>
        <v>0</v>
      </c>
      <c r="Y142" s="558">
        <f t="shared" si="37"/>
        <v>0</v>
      </c>
      <c r="Z142" s="559"/>
      <c r="AA142" s="576"/>
      <c r="AB142" s="577"/>
      <c r="AC142" s="577"/>
      <c r="AD142" s="577"/>
      <c r="AE142" s="577"/>
      <c r="AF142" s="578"/>
      <c r="AG142" s="579"/>
      <c r="AH142" s="579"/>
      <c r="AI142" s="579"/>
      <c r="AJ142" s="700"/>
      <c r="AK142" s="696">
        <f t="shared" si="38"/>
        <v>0</v>
      </c>
      <c r="AL142" s="604">
        <f t="shared" si="39"/>
        <v>0</v>
      </c>
      <c r="AM142" s="604">
        <f t="shared" si="40"/>
        <v>0</v>
      </c>
      <c r="AN142" s="604">
        <f t="shared" si="41"/>
        <v>0</v>
      </c>
      <c r="AO142" s="697">
        <f t="shared" si="42"/>
        <v>0</v>
      </c>
      <c r="AP142" s="701"/>
      <c r="AQ142" s="702"/>
      <c r="AR142" s="1022">
        <f t="shared" si="43"/>
        <v>0</v>
      </c>
      <c r="AS142" s="329"/>
      <c r="AT142" s="329"/>
      <c r="AU142" s="1013">
        <f t="shared" si="34"/>
        <v>0</v>
      </c>
    </row>
    <row r="143" spans="1:47" x14ac:dyDescent="0.25">
      <c r="A143" s="567"/>
      <c r="B143" s="568"/>
      <c r="C143" s="569"/>
      <c r="D143" s="569"/>
      <c r="E143" s="570">
        <f t="shared" si="32"/>
        <v>0</v>
      </c>
      <c r="F143" s="571"/>
      <c r="G143" s="845"/>
      <c r="H143" s="669"/>
      <c r="I143" s="573"/>
      <c r="J143" s="573"/>
      <c r="K143" s="574"/>
      <c r="L143" s="606">
        <f t="shared" si="35"/>
        <v>0</v>
      </c>
      <c r="M143" s="555">
        <f t="shared" si="36"/>
        <v>0</v>
      </c>
      <c r="N143" s="575"/>
      <c r="O143" s="575"/>
      <c r="P143" s="575"/>
      <c r="Q143" s="575"/>
      <c r="R143" s="575"/>
      <c r="S143" s="575"/>
      <c r="T143" s="575"/>
      <c r="U143" s="575"/>
      <c r="V143" s="575"/>
      <c r="W143" s="575"/>
      <c r="X143" s="557">
        <f t="shared" si="33"/>
        <v>0</v>
      </c>
      <c r="Y143" s="558">
        <f t="shared" si="37"/>
        <v>0</v>
      </c>
      <c r="Z143" s="559"/>
      <c r="AA143" s="576"/>
      <c r="AB143" s="577"/>
      <c r="AC143" s="577"/>
      <c r="AD143" s="577"/>
      <c r="AE143" s="577"/>
      <c r="AF143" s="578"/>
      <c r="AG143" s="579"/>
      <c r="AH143" s="579"/>
      <c r="AI143" s="579"/>
      <c r="AJ143" s="700"/>
      <c r="AK143" s="696">
        <f t="shared" si="38"/>
        <v>0</v>
      </c>
      <c r="AL143" s="604">
        <f t="shared" si="39"/>
        <v>0</v>
      </c>
      <c r="AM143" s="604">
        <f t="shared" si="40"/>
        <v>0</v>
      </c>
      <c r="AN143" s="604">
        <f t="shared" si="41"/>
        <v>0</v>
      </c>
      <c r="AO143" s="697">
        <f t="shared" si="42"/>
        <v>0</v>
      </c>
      <c r="AP143" s="701"/>
      <c r="AQ143" s="702"/>
      <c r="AR143" s="1022">
        <f t="shared" si="43"/>
        <v>0</v>
      </c>
      <c r="AS143" s="329"/>
      <c r="AT143" s="329"/>
      <c r="AU143" s="1013">
        <f t="shared" si="34"/>
        <v>0</v>
      </c>
    </row>
    <row r="144" spans="1:47" x14ac:dyDescent="0.25">
      <c r="A144" s="567"/>
      <c r="B144" s="568"/>
      <c r="C144" s="569"/>
      <c r="D144" s="569"/>
      <c r="E144" s="570">
        <f t="shared" si="32"/>
        <v>0</v>
      </c>
      <c r="F144" s="571"/>
      <c r="G144" s="845"/>
      <c r="H144" s="669"/>
      <c r="I144" s="573"/>
      <c r="J144" s="573"/>
      <c r="K144" s="574"/>
      <c r="L144" s="606">
        <f t="shared" si="35"/>
        <v>0</v>
      </c>
      <c r="M144" s="555">
        <f t="shared" si="36"/>
        <v>0</v>
      </c>
      <c r="N144" s="575"/>
      <c r="O144" s="575"/>
      <c r="P144" s="575"/>
      <c r="Q144" s="575"/>
      <c r="R144" s="575"/>
      <c r="S144" s="575"/>
      <c r="T144" s="575"/>
      <c r="U144" s="575"/>
      <c r="V144" s="575"/>
      <c r="W144" s="575"/>
      <c r="X144" s="557">
        <f t="shared" si="33"/>
        <v>0</v>
      </c>
      <c r="Y144" s="558">
        <f t="shared" si="37"/>
        <v>0</v>
      </c>
      <c r="Z144" s="559"/>
      <c r="AA144" s="576"/>
      <c r="AB144" s="577"/>
      <c r="AC144" s="577"/>
      <c r="AD144" s="577"/>
      <c r="AE144" s="577"/>
      <c r="AF144" s="578"/>
      <c r="AG144" s="579"/>
      <c r="AH144" s="579"/>
      <c r="AI144" s="579"/>
      <c r="AJ144" s="700"/>
      <c r="AK144" s="696">
        <f t="shared" si="38"/>
        <v>0</v>
      </c>
      <c r="AL144" s="604">
        <f t="shared" si="39"/>
        <v>0</v>
      </c>
      <c r="AM144" s="604">
        <f t="shared" si="40"/>
        <v>0</v>
      </c>
      <c r="AN144" s="604">
        <f t="shared" si="41"/>
        <v>0</v>
      </c>
      <c r="AO144" s="697">
        <f t="shared" si="42"/>
        <v>0</v>
      </c>
      <c r="AP144" s="701"/>
      <c r="AQ144" s="702"/>
      <c r="AR144" s="1022">
        <f t="shared" si="43"/>
        <v>0</v>
      </c>
      <c r="AS144" s="329"/>
      <c r="AT144" s="329"/>
      <c r="AU144" s="1013">
        <f t="shared" si="34"/>
        <v>0</v>
      </c>
    </row>
    <row r="145" spans="1:47" x14ac:dyDescent="0.25">
      <c r="A145" s="567"/>
      <c r="B145" s="568"/>
      <c r="C145" s="569"/>
      <c r="D145" s="569"/>
      <c r="E145" s="570">
        <f t="shared" si="32"/>
        <v>0</v>
      </c>
      <c r="F145" s="571"/>
      <c r="G145" s="845"/>
      <c r="H145" s="669"/>
      <c r="I145" s="573"/>
      <c r="J145" s="573"/>
      <c r="K145" s="574"/>
      <c r="L145" s="606">
        <f t="shared" si="35"/>
        <v>0</v>
      </c>
      <c r="M145" s="555">
        <f t="shared" si="36"/>
        <v>0</v>
      </c>
      <c r="N145" s="575"/>
      <c r="O145" s="575"/>
      <c r="P145" s="575"/>
      <c r="Q145" s="575"/>
      <c r="R145" s="575"/>
      <c r="S145" s="575"/>
      <c r="T145" s="575"/>
      <c r="U145" s="575"/>
      <c r="V145" s="575"/>
      <c r="W145" s="575"/>
      <c r="X145" s="557">
        <f t="shared" si="33"/>
        <v>0</v>
      </c>
      <c r="Y145" s="558">
        <f t="shared" si="37"/>
        <v>0</v>
      </c>
      <c r="Z145" s="559"/>
      <c r="AA145" s="576"/>
      <c r="AB145" s="577"/>
      <c r="AC145" s="577"/>
      <c r="AD145" s="577"/>
      <c r="AE145" s="577"/>
      <c r="AF145" s="578"/>
      <c r="AG145" s="579"/>
      <c r="AH145" s="579"/>
      <c r="AI145" s="579"/>
      <c r="AJ145" s="700"/>
      <c r="AK145" s="696">
        <f t="shared" si="38"/>
        <v>0</v>
      </c>
      <c r="AL145" s="604">
        <f t="shared" si="39"/>
        <v>0</v>
      </c>
      <c r="AM145" s="604">
        <f t="shared" si="40"/>
        <v>0</v>
      </c>
      <c r="AN145" s="604">
        <f t="shared" si="41"/>
        <v>0</v>
      </c>
      <c r="AO145" s="697">
        <f t="shared" si="42"/>
        <v>0</v>
      </c>
      <c r="AP145" s="701"/>
      <c r="AQ145" s="702"/>
      <c r="AR145" s="1022">
        <f t="shared" si="43"/>
        <v>0</v>
      </c>
      <c r="AS145" s="329"/>
      <c r="AT145" s="329"/>
      <c r="AU145" s="1013">
        <f t="shared" si="34"/>
        <v>0</v>
      </c>
    </row>
    <row r="146" spans="1:47" x14ac:dyDescent="0.25">
      <c r="A146" s="567"/>
      <c r="B146" s="568"/>
      <c r="C146" s="569"/>
      <c r="D146" s="569"/>
      <c r="E146" s="570">
        <f t="shared" si="32"/>
        <v>0</v>
      </c>
      <c r="F146" s="571"/>
      <c r="G146" s="845"/>
      <c r="H146" s="669"/>
      <c r="I146" s="573"/>
      <c r="J146" s="573"/>
      <c r="K146" s="574"/>
      <c r="L146" s="606">
        <f t="shared" si="35"/>
        <v>0</v>
      </c>
      <c r="M146" s="555">
        <f t="shared" si="36"/>
        <v>0</v>
      </c>
      <c r="N146" s="575"/>
      <c r="O146" s="575"/>
      <c r="P146" s="575"/>
      <c r="Q146" s="575"/>
      <c r="R146" s="575"/>
      <c r="S146" s="575"/>
      <c r="T146" s="575"/>
      <c r="U146" s="575"/>
      <c r="V146" s="575"/>
      <c r="W146" s="575"/>
      <c r="X146" s="557">
        <f t="shared" si="33"/>
        <v>0</v>
      </c>
      <c r="Y146" s="558">
        <f t="shared" si="37"/>
        <v>0</v>
      </c>
      <c r="Z146" s="559"/>
      <c r="AA146" s="576"/>
      <c r="AB146" s="577"/>
      <c r="AC146" s="577"/>
      <c r="AD146" s="577"/>
      <c r="AE146" s="577"/>
      <c r="AF146" s="578"/>
      <c r="AG146" s="579"/>
      <c r="AH146" s="579"/>
      <c r="AI146" s="579"/>
      <c r="AJ146" s="700"/>
      <c r="AK146" s="696">
        <f t="shared" si="38"/>
        <v>0</v>
      </c>
      <c r="AL146" s="604">
        <f t="shared" si="39"/>
        <v>0</v>
      </c>
      <c r="AM146" s="604">
        <f t="shared" si="40"/>
        <v>0</v>
      </c>
      <c r="AN146" s="604">
        <f t="shared" si="41"/>
        <v>0</v>
      </c>
      <c r="AO146" s="697">
        <f t="shared" si="42"/>
        <v>0</v>
      </c>
      <c r="AP146" s="701"/>
      <c r="AQ146" s="702"/>
      <c r="AR146" s="1022">
        <f t="shared" si="43"/>
        <v>0</v>
      </c>
      <c r="AS146" s="329"/>
      <c r="AT146" s="329"/>
      <c r="AU146" s="1013">
        <f t="shared" si="34"/>
        <v>0</v>
      </c>
    </row>
    <row r="147" spans="1:47" x14ac:dyDescent="0.25">
      <c r="A147" s="567"/>
      <c r="B147" s="568"/>
      <c r="C147" s="569"/>
      <c r="D147" s="569"/>
      <c r="E147" s="570">
        <f t="shared" si="32"/>
        <v>0</v>
      </c>
      <c r="F147" s="571"/>
      <c r="G147" s="845"/>
      <c r="H147" s="669"/>
      <c r="I147" s="573"/>
      <c r="J147" s="573"/>
      <c r="K147" s="574"/>
      <c r="L147" s="606">
        <f t="shared" si="35"/>
        <v>0</v>
      </c>
      <c r="M147" s="555">
        <f t="shared" si="36"/>
        <v>0</v>
      </c>
      <c r="N147" s="575"/>
      <c r="O147" s="575"/>
      <c r="P147" s="575"/>
      <c r="Q147" s="575"/>
      <c r="R147" s="575"/>
      <c r="S147" s="575"/>
      <c r="T147" s="575"/>
      <c r="U147" s="575"/>
      <c r="V147" s="575"/>
      <c r="W147" s="575"/>
      <c r="X147" s="557">
        <f t="shared" si="33"/>
        <v>0</v>
      </c>
      <c r="Y147" s="558">
        <f t="shared" si="37"/>
        <v>0</v>
      </c>
      <c r="Z147" s="559"/>
      <c r="AA147" s="576"/>
      <c r="AB147" s="577"/>
      <c r="AC147" s="577"/>
      <c r="AD147" s="577"/>
      <c r="AE147" s="577"/>
      <c r="AF147" s="578"/>
      <c r="AG147" s="579"/>
      <c r="AH147" s="579"/>
      <c r="AI147" s="579"/>
      <c r="AJ147" s="700"/>
      <c r="AK147" s="696">
        <f t="shared" si="38"/>
        <v>0</v>
      </c>
      <c r="AL147" s="604">
        <f t="shared" si="39"/>
        <v>0</v>
      </c>
      <c r="AM147" s="604">
        <f t="shared" si="40"/>
        <v>0</v>
      </c>
      <c r="AN147" s="604">
        <f t="shared" si="41"/>
        <v>0</v>
      </c>
      <c r="AO147" s="697">
        <f t="shared" si="42"/>
        <v>0</v>
      </c>
      <c r="AP147" s="701"/>
      <c r="AQ147" s="702"/>
      <c r="AR147" s="1022">
        <f t="shared" si="43"/>
        <v>0</v>
      </c>
      <c r="AS147" s="329"/>
      <c r="AT147" s="329"/>
      <c r="AU147" s="1013">
        <f t="shared" si="34"/>
        <v>0</v>
      </c>
    </row>
    <row r="148" spans="1:47" x14ac:dyDescent="0.25">
      <c r="A148" s="567"/>
      <c r="B148" s="568"/>
      <c r="C148" s="569"/>
      <c r="D148" s="569"/>
      <c r="E148" s="570">
        <f t="shared" si="32"/>
        <v>0</v>
      </c>
      <c r="F148" s="571"/>
      <c r="G148" s="845"/>
      <c r="H148" s="669"/>
      <c r="I148" s="573"/>
      <c r="J148" s="573"/>
      <c r="K148" s="574"/>
      <c r="L148" s="606">
        <f t="shared" si="35"/>
        <v>0</v>
      </c>
      <c r="M148" s="555">
        <f t="shared" si="36"/>
        <v>0</v>
      </c>
      <c r="N148" s="575"/>
      <c r="O148" s="575"/>
      <c r="P148" s="575"/>
      <c r="Q148" s="575"/>
      <c r="R148" s="575"/>
      <c r="S148" s="575"/>
      <c r="T148" s="575"/>
      <c r="U148" s="575"/>
      <c r="V148" s="575"/>
      <c r="W148" s="575"/>
      <c r="X148" s="557">
        <f t="shared" si="33"/>
        <v>0</v>
      </c>
      <c r="Y148" s="558">
        <f t="shared" si="37"/>
        <v>0</v>
      </c>
      <c r="Z148" s="559"/>
      <c r="AA148" s="576"/>
      <c r="AB148" s="577"/>
      <c r="AC148" s="577"/>
      <c r="AD148" s="577"/>
      <c r="AE148" s="577"/>
      <c r="AF148" s="578"/>
      <c r="AG148" s="579"/>
      <c r="AH148" s="579"/>
      <c r="AI148" s="579"/>
      <c r="AJ148" s="700"/>
      <c r="AK148" s="696">
        <f t="shared" si="38"/>
        <v>0</v>
      </c>
      <c r="AL148" s="604">
        <f t="shared" si="39"/>
        <v>0</v>
      </c>
      <c r="AM148" s="604">
        <f t="shared" si="40"/>
        <v>0</v>
      </c>
      <c r="AN148" s="604">
        <f t="shared" si="41"/>
        <v>0</v>
      </c>
      <c r="AO148" s="697">
        <f t="shared" si="42"/>
        <v>0</v>
      </c>
      <c r="AP148" s="701"/>
      <c r="AQ148" s="702"/>
      <c r="AR148" s="1022">
        <f t="shared" si="43"/>
        <v>0</v>
      </c>
      <c r="AS148" s="329"/>
      <c r="AT148" s="329"/>
      <c r="AU148" s="1013">
        <f t="shared" si="34"/>
        <v>0</v>
      </c>
    </row>
    <row r="149" spans="1:47" x14ac:dyDescent="0.25">
      <c r="A149" s="567"/>
      <c r="B149" s="568"/>
      <c r="C149" s="569"/>
      <c r="D149" s="569"/>
      <c r="E149" s="570">
        <f t="shared" si="32"/>
        <v>0</v>
      </c>
      <c r="F149" s="571"/>
      <c r="G149" s="845"/>
      <c r="H149" s="669"/>
      <c r="I149" s="573"/>
      <c r="J149" s="573"/>
      <c r="K149" s="574"/>
      <c r="L149" s="606">
        <f t="shared" si="35"/>
        <v>0</v>
      </c>
      <c r="M149" s="555">
        <f t="shared" si="36"/>
        <v>0</v>
      </c>
      <c r="N149" s="575"/>
      <c r="O149" s="575"/>
      <c r="P149" s="575"/>
      <c r="Q149" s="575"/>
      <c r="R149" s="575"/>
      <c r="S149" s="575"/>
      <c r="T149" s="575"/>
      <c r="U149" s="575"/>
      <c r="V149" s="575"/>
      <c r="W149" s="575"/>
      <c r="X149" s="557">
        <f t="shared" si="33"/>
        <v>0</v>
      </c>
      <c r="Y149" s="558">
        <f t="shared" si="37"/>
        <v>0</v>
      </c>
      <c r="Z149" s="559"/>
      <c r="AA149" s="576"/>
      <c r="AB149" s="577"/>
      <c r="AC149" s="577"/>
      <c r="AD149" s="577"/>
      <c r="AE149" s="577"/>
      <c r="AF149" s="578"/>
      <c r="AG149" s="579"/>
      <c r="AH149" s="579"/>
      <c r="AI149" s="579"/>
      <c r="AJ149" s="700"/>
      <c r="AK149" s="696">
        <f t="shared" si="38"/>
        <v>0</v>
      </c>
      <c r="AL149" s="604">
        <f t="shared" si="39"/>
        <v>0</v>
      </c>
      <c r="AM149" s="604">
        <f t="shared" si="40"/>
        <v>0</v>
      </c>
      <c r="AN149" s="604">
        <f t="shared" si="41"/>
        <v>0</v>
      </c>
      <c r="AO149" s="697">
        <f t="shared" si="42"/>
        <v>0</v>
      </c>
      <c r="AP149" s="701"/>
      <c r="AQ149" s="702"/>
      <c r="AR149" s="1022">
        <f t="shared" si="43"/>
        <v>0</v>
      </c>
      <c r="AS149" s="329"/>
      <c r="AT149" s="329"/>
      <c r="AU149" s="1013">
        <f t="shared" si="34"/>
        <v>0</v>
      </c>
    </row>
    <row r="150" spans="1:47" ht="14.4" thickBot="1" x14ac:dyDescent="0.3">
      <c r="A150" s="567"/>
      <c r="B150" s="568"/>
      <c r="C150" s="569"/>
      <c r="D150" s="569"/>
      <c r="E150" s="570">
        <f t="shared" ref="E150" si="44">IFERROR(D150/B150,0)</f>
        <v>0</v>
      </c>
      <c r="F150" s="571"/>
      <c r="G150" s="845"/>
      <c r="H150" s="669"/>
      <c r="I150" s="573"/>
      <c r="J150" s="573"/>
      <c r="K150" s="574"/>
      <c r="L150" s="606">
        <f t="shared" ref="L150" si="45">IFERROR(IF($K$24="VK",K150,K150/H150),0)</f>
        <v>0</v>
      </c>
      <c r="M150" s="555">
        <f>IFERROR(L150*H150,"")</f>
        <v>0</v>
      </c>
      <c r="N150" s="575"/>
      <c r="O150" s="575"/>
      <c r="P150" s="575"/>
      <c r="Q150" s="575"/>
      <c r="R150" s="575"/>
      <c r="S150" s="575"/>
      <c r="T150" s="575"/>
      <c r="U150" s="575"/>
      <c r="V150" s="575"/>
      <c r="W150" s="575"/>
      <c r="X150" s="557">
        <f t="shared" ref="X150" si="46">IF(AND(H150&gt;0,F150&lt;&gt;"GfB"),(SUM(M150:P150,R150,V150,Q150)*12+(T150+U150))*(100+$P$17+$P$18)%+((S150+W150)*12),IF(AND(H150&gt;0,F150="GfB"),(SUM(M150:P150,R150,V150,Q150)*12+(T150+U150))*(100+$P$20+$P$18)%+((S150+W150)*12),0))</f>
        <v>0</v>
      </c>
      <c r="Y150" s="558">
        <f t="shared" ref="Y150" si="47">IF(ISERROR(X150/H150),0,(X150/H150))</f>
        <v>0</v>
      </c>
      <c r="Z150" s="559"/>
      <c r="AA150" s="585"/>
      <c r="AB150" s="586"/>
      <c r="AC150" s="586"/>
      <c r="AD150" s="586"/>
      <c r="AE150" s="586"/>
      <c r="AF150" s="587"/>
      <c r="AG150" s="588"/>
      <c r="AH150" s="588"/>
      <c r="AI150" s="588"/>
      <c r="AJ150" s="703"/>
      <c r="AK150" s="696">
        <f t="shared" ref="AK150" si="48">(IF(AND($H150&gt;0,$K150&gt;0),($M150+$N150),0))</f>
        <v>0</v>
      </c>
      <c r="AL150" s="604">
        <f t="shared" ref="AL150" si="49">(IF(AND($H150&gt;0,$K150&gt;0),$O150,0))</f>
        <v>0</v>
      </c>
      <c r="AM150" s="604">
        <f t="shared" ref="AM150" si="50">(IF(AND($H150&gt;0,$K150&gt;0),$P150,0))</f>
        <v>0</v>
      </c>
      <c r="AN150" s="604">
        <f t="shared" ref="AN150" si="51">(IF(AND($H150&gt;0,$K150&gt;0),$Q150,0))</f>
        <v>0</v>
      </c>
      <c r="AO150" s="697">
        <f t="shared" ref="AO150" si="52">(IF(AND($H150&gt;0,$K150&gt;0),(($T150+$U150)/12),0))</f>
        <v>0</v>
      </c>
      <c r="AP150" s="704"/>
      <c r="AQ150" s="705"/>
      <c r="AR150" s="1022">
        <f t="shared" si="43"/>
        <v>0</v>
      </c>
      <c r="AS150" s="329"/>
      <c r="AT150" s="329"/>
      <c r="AU150" s="1013">
        <f t="shared" si="34"/>
        <v>0</v>
      </c>
    </row>
    <row r="151" spans="1:47" ht="40.200000000000003" thickBot="1" x14ac:dyDescent="0.3">
      <c r="A151" s="650" t="s">
        <v>403</v>
      </c>
      <c r="B151" s="1456">
        <f>SUM(B112:B150)</f>
        <v>0</v>
      </c>
      <c r="C151" s="593">
        <f>IFERROR(SUM(C112:C150)/B151,0)</f>
        <v>0</v>
      </c>
      <c r="D151" s="594">
        <f>SUM(D112:D150)</f>
        <v>0</v>
      </c>
      <c r="E151" s="595">
        <f>IFERROR(D151/B151,0)</f>
        <v>0</v>
      </c>
      <c r="F151" s="1784" t="s">
        <v>403</v>
      </c>
      <c r="G151" s="1785"/>
      <c r="H151" s="1459">
        <f>SUM(H112:H150)</f>
        <v>0</v>
      </c>
      <c r="I151" s="316"/>
      <c r="J151" s="316"/>
      <c r="K151" s="316"/>
      <c r="L151" s="316"/>
      <c r="M151" s="596">
        <f t="shared" ref="M151:W151" si="53">IFERROR(SUM(M112:M150)/$H$151,0)</f>
        <v>0</v>
      </c>
      <c r="N151" s="593">
        <f t="shared" si="53"/>
        <v>0</v>
      </c>
      <c r="O151" s="593">
        <f t="shared" si="53"/>
        <v>0</v>
      </c>
      <c r="P151" s="593">
        <f t="shared" si="53"/>
        <v>0</v>
      </c>
      <c r="Q151" s="593">
        <f t="shared" si="53"/>
        <v>0</v>
      </c>
      <c r="R151" s="593">
        <f t="shared" si="53"/>
        <v>0</v>
      </c>
      <c r="S151" s="593">
        <f t="shared" si="53"/>
        <v>0</v>
      </c>
      <c r="T151" s="593">
        <f t="shared" si="53"/>
        <v>0</v>
      </c>
      <c r="U151" s="593">
        <f t="shared" si="53"/>
        <v>0</v>
      </c>
      <c r="V151" s="593">
        <f t="shared" si="53"/>
        <v>0</v>
      </c>
      <c r="W151" s="593">
        <f t="shared" si="53"/>
        <v>0</v>
      </c>
      <c r="X151" s="597">
        <f>SUM(X112:X150)</f>
        <v>0</v>
      </c>
      <c r="Y151" s="598">
        <f>IFERROR(SUM(X151/H151),0)</f>
        <v>0</v>
      </c>
      <c r="Z151" s="653"/>
      <c r="AA151" s="654"/>
      <c r="AB151" s="654"/>
      <c r="AC151" s="654"/>
      <c r="AD151" s="654"/>
      <c r="AE151" s="654"/>
      <c r="AF151" s="654"/>
      <c r="AG151" s="654"/>
      <c r="AH151" s="654"/>
      <c r="AI151" s="654"/>
      <c r="AJ151" s="654"/>
      <c r="AK151" s="654"/>
      <c r="AL151" s="654"/>
      <c r="AM151" s="654"/>
      <c r="AN151" s="654"/>
      <c r="AO151" s="654"/>
      <c r="AP151" s="655"/>
      <c r="AQ151" s="655"/>
    </row>
    <row r="152" spans="1:47" x14ac:dyDescent="0.25">
      <c r="F152" s="538"/>
      <c r="G152" s="254"/>
      <c r="M152" s="494"/>
      <c r="N152" s="494"/>
      <c r="X152" s="687"/>
      <c r="Y152" s="706"/>
      <c r="Z152" s="707"/>
      <c r="AA152" s="708"/>
      <c r="AB152" s="708"/>
      <c r="AC152" s="708"/>
      <c r="AD152" s="708"/>
      <c r="AE152" s="708"/>
      <c r="AF152" s="708"/>
      <c r="AG152" s="708"/>
      <c r="AH152" s="708"/>
      <c r="AI152" s="708"/>
      <c r="AJ152" s="708"/>
      <c r="AK152" s="708"/>
      <c r="AL152" s="708"/>
      <c r="AM152" s="708"/>
      <c r="AN152" s="708"/>
      <c r="AO152" s="708"/>
      <c r="AP152" s="709"/>
      <c r="AQ152" s="709"/>
    </row>
    <row r="153" spans="1:47" ht="14.4" thickBot="1" x14ac:dyDescent="0.3">
      <c r="F153" s="538"/>
      <c r="G153" s="254"/>
      <c r="M153" s="494"/>
      <c r="N153" s="494"/>
      <c r="X153" s="332"/>
      <c r="Y153" s="710"/>
      <c r="Z153" s="707"/>
      <c r="AA153" s="708"/>
      <c r="AB153" s="708"/>
      <c r="AC153" s="708"/>
      <c r="AD153" s="708"/>
      <c r="AE153" s="708"/>
      <c r="AF153" s="708"/>
      <c r="AG153" s="708"/>
      <c r="AH153" s="708"/>
      <c r="AI153" s="708"/>
      <c r="AJ153" s="708"/>
      <c r="AK153" s="708"/>
      <c r="AL153" s="708"/>
      <c r="AM153" s="708"/>
      <c r="AN153" s="708"/>
      <c r="AO153" s="708"/>
      <c r="AP153" s="709"/>
      <c r="AQ153" s="709"/>
    </row>
    <row r="154" spans="1:47" ht="14.4" thickBot="1" x14ac:dyDescent="0.3">
      <c r="A154" s="711" t="s">
        <v>404</v>
      </c>
      <c r="B154" s="1458">
        <f>B151+B109+B75</f>
        <v>0</v>
      </c>
      <c r="C154" s="1364">
        <f>IFERROR(SUM(C112:C150,C78:C108,C38:C69)/(B154-SUM(B70:B74)),0)</f>
        <v>0</v>
      </c>
      <c r="D154" s="712">
        <f>D151+D109+D75</f>
        <v>0</v>
      </c>
      <c r="E154" s="598">
        <f>IFERROR(D154/B154,0)</f>
        <v>0</v>
      </c>
      <c r="F154" s="1705" t="s">
        <v>404</v>
      </c>
      <c r="G154" s="1706"/>
      <c r="H154" s="1458">
        <f>H151+H109+H75</f>
        <v>0</v>
      </c>
      <c r="I154" s="713"/>
      <c r="J154" s="713"/>
      <c r="K154" s="713"/>
      <c r="L154" s="713"/>
      <c r="M154" s="714">
        <f t="shared" ref="M154:W154" si="54">IFERROR(SUM(M112:M150,M78:M108,M38:M69)/($H$154-SUM($H$70:$H$74)),0)</f>
        <v>0</v>
      </c>
      <c r="N154" s="1364">
        <f t="shared" si="54"/>
        <v>0</v>
      </c>
      <c r="O154" s="1364">
        <f t="shared" si="54"/>
        <v>0</v>
      </c>
      <c r="P154" s="1364">
        <f t="shared" si="54"/>
        <v>0</v>
      </c>
      <c r="Q154" s="1364">
        <f t="shared" si="54"/>
        <v>0</v>
      </c>
      <c r="R154" s="1364">
        <f t="shared" si="54"/>
        <v>0</v>
      </c>
      <c r="S154" s="1364">
        <f t="shared" si="54"/>
        <v>0</v>
      </c>
      <c r="T154" s="1364">
        <f t="shared" si="54"/>
        <v>0</v>
      </c>
      <c r="U154" s="1364">
        <f t="shared" si="54"/>
        <v>0</v>
      </c>
      <c r="V154" s="1364">
        <f t="shared" si="54"/>
        <v>0</v>
      </c>
      <c r="W154" s="1364">
        <f t="shared" si="54"/>
        <v>0</v>
      </c>
      <c r="X154" s="597">
        <f>X151+X109+X75</f>
        <v>0</v>
      </c>
      <c r="Y154" s="598">
        <f>IFERROR(SUM(X154/H154),0)</f>
        <v>0</v>
      </c>
      <c r="Z154" s="707"/>
      <c r="AA154" s="708"/>
      <c r="AB154" s="708"/>
      <c r="AC154" s="708"/>
      <c r="AD154" s="708"/>
      <c r="AE154" s="708"/>
      <c r="AF154" s="708"/>
      <c r="AG154" s="708"/>
      <c r="AH154" s="708"/>
      <c r="AI154" s="708"/>
      <c r="AJ154" s="708"/>
      <c r="AK154" s="708"/>
      <c r="AL154" s="708"/>
      <c r="AM154" s="708"/>
      <c r="AN154" s="708"/>
      <c r="AO154" s="708"/>
      <c r="AP154" s="709"/>
      <c r="AQ154" s="709"/>
    </row>
    <row r="155" spans="1:47" x14ac:dyDescent="0.25">
      <c r="F155" s="538"/>
      <c r="G155" s="254"/>
      <c r="H155" s="43"/>
      <c r="J155" s="43"/>
      <c r="M155" s="494"/>
      <c r="N155" s="494"/>
      <c r="X155" s="332"/>
      <c r="Y155" s="710"/>
      <c r="Z155" s="707"/>
      <c r="AA155" s="708"/>
      <c r="AB155" s="708"/>
      <c r="AC155" s="708"/>
      <c r="AD155" s="708"/>
      <c r="AE155" s="708"/>
      <c r="AF155" s="708"/>
      <c r="AG155" s="708"/>
      <c r="AH155" s="708"/>
      <c r="AI155" s="708"/>
      <c r="AJ155" s="708"/>
      <c r="AK155" s="708"/>
      <c r="AL155" s="708"/>
      <c r="AM155" s="708"/>
      <c r="AN155" s="708"/>
      <c r="AO155" s="708"/>
      <c r="AP155" s="709"/>
      <c r="AQ155" s="709"/>
    </row>
    <row r="156" spans="1:47" ht="24.75" customHeight="1" x14ac:dyDescent="0.25">
      <c r="F156" s="657"/>
      <c r="H156" s="1716" t="str">
        <f>IF(H154&gt;KAT!C13,"Geforderte Personalausstattung liegt über der max. möglichen Personalausstattung lt. Rahmenvertrag, bitte begründen.","")</f>
        <v/>
      </c>
      <c r="I156" s="1717"/>
      <c r="J156" s="1717"/>
      <c r="K156" s="1717"/>
      <c r="L156" s="1718"/>
      <c r="M156" s="717"/>
      <c r="O156" s="718"/>
      <c r="Y156" s="716"/>
      <c r="Z156" s="617"/>
      <c r="AA156" s="618"/>
      <c r="AB156" s="618"/>
      <c r="AC156" s="618"/>
      <c r="AD156" s="618"/>
      <c r="AE156" s="618"/>
      <c r="AF156" s="618"/>
      <c r="AG156" s="618"/>
      <c r="AH156" s="618"/>
      <c r="AI156" s="618"/>
      <c r="AJ156" s="618"/>
      <c r="AK156" s="618"/>
      <c r="AL156" s="618"/>
      <c r="AM156" s="618"/>
      <c r="AN156" s="618"/>
      <c r="AO156" s="618"/>
      <c r="AP156" s="619"/>
      <c r="AQ156" s="619"/>
    </row>
    <row r="157" spans="1:47" x14ac:dyDescent="0.25">
      <c r="A157" s="719" t="s">
        <v>405</v>
      </c>
      <c r="F157" s="719" t="s">
        <v>405</v>
      </c>
      <c r="G157" s="144"/>
      <c r="M157" s="494"/>
      <c r="N157" s="494"/>
      <c r="P157" s="1788"/>
      <c r="Q157" s="1788"/>
      <c r="R157" s="1788"/>
      <c r="S157" s="1788"/>
      <c r="T157" s="1788"/>
      <c r="U157" s="1788"/>
      <c r="V157" s="1788"/>
      <c r="W157" s="1788"/>
      <c r="X157" s="1788"/>
      <c r="Y157" s="1789"/>
      <c r="Z157" s="694"/>
      <c r="AA157" s="626"/>
      <c r="AB157" s="626"/>
      <c r="AC157" s="626"/>
      <c r="AD157" s="626"/>
      <c r="AE157" s="626"/>
      <c r="AF157" s="626"/>
      <c r="AG157" s="626"/>
      <c r="AH157" s="626"/>
      <c r="AI157" s="626"/>
      <c r="AJ157" s="626"/>
      <c r="AK157" s="626"/>
      <c r="AL157" s="626"/>
      <c r="AM157" s="626"/>
      <c r="AN157" s="626"/>
      <c r="AO157" s="626"/>
      <c r="AP157" s="629"/>
      <c r="AQ157" s="629"/>
    </row>
    <row r="158" spans="1:47" x14ac:dyDescent="0.25">
      <c r="A158" s="719" t="s">
        <v>488</v>
      </c>
      <c r="E158" s="716"/>
      <c r="F158" s="538" t="s">
        <v>487</v>
      </c>
      <c r="G158" s="729"/>
      <c r="H158" s="494"/>
      <c r="I158" s="494"/>
      <c r="J158" s="494"/>
      <c r="K158" s="315"/>
      <c r="L158" s="315"/>
      <c r="M158" s="494"/>
      <c r="N158" s="494"/>
      <c r="O158" s="494"/>
      <c r="P158" s="999"/>
      <c r="Q158" s="999"/>
      <c r="R158" s="999"/>
      <c r="S158" s="999"/>
      <c r="T158" s="999"/>
      <c r="U158" s="999"/>
      <c r="V158" s="999"/>
      <c r="W158" s="999"/>
      <c r="X158" s="999"/>
      <c r="Y158" s="1000"/>
      <c r="Z158" s="625"/>
      <c r="AA158" s="626" t="s">
        <v>397</v>
      </c>
      <c r="AB158" s="626"/>
      <c r="AC158" s="626"/>
      <c r="AD158" s="626"/>
      <c r="AE158" s="626"/>
      <c r="AF158" s="627"/>
      <c r="AG158" s="627"/>
      <c r="AH158" s="627"/>
      <c r="AI158" s="627"/>
      <c r="AJ158" s="627"/>
      <c r="AK158" s="628"/>
      <c r="AL158" s="628"/>
      <c r="AM158" s="628"/>
      <c r="AN158" s="628"/>
      <c r="AO158" s="628"/>
      <c r="AP158" s="629"/>
      <c r="AQ158" s="630"/>
    </row>
    <row r="159" spans="1:47" x14ac:dyDescent="0.25">
      <c r="A159" s="567"/>
      <c r="B159" s="568"/>
      <c r="C159" s="569"/>
      <c r="D159" s="569"/>
      <c r="E159" s="1001">
        <f t="shared" ref="E159" si="55">IFERROR(D159/B159,0)</f>
        <v>0</v>
      </c>
      <c r="F159" s="571"/>
      <c r="G159" s="573"/>
      <c r="H159" s="572"/>
      <c r="I159" s="573"/>
      <c r="J159" s="573"/>
      <c r="K159" s="574"/>
      <c r="L159" s="1002">
        <f t="shared" ref="L159" si="56">IFERROR(IF($K$24="VK",K159,K159/H159),0)</f>
        <v>0</v>
      </c>
      <c r="M159" s="671">
        <f t="shared" ref="M159" si="57">IFERROR(L159*H159,"")</f>
        <v>0</v>
      </c>
      <c r="N159" s="575"/>
      <c r="O159" s="575"/>
      <c r="P159" s="575"/>
      <c r="Q159" s="575"/>
      <c r="R159" s="575"/>
      <c r="S159" s="575"/>
      <c r="T159" s="575"/>
      <c r="U159" s="575"/>
      <c r="V159" s="575"/>
      <c r="W159" s="575"/>
      <c r="X159" s="672">
        <f t="shared" ref="X159" si="58">IF(AND(H159&gt;0,F159&lt;&gt;"GfB"),(SUM(M159:P159,R159,V159,Q159)*12+(T159+U159))*(100+$P$17+$P$18)%+((S159+W159)*12),IF(AND(H159&gt;0,F159="GfB"),(SUM(M159:P159,R159,V159,Q159)*12+(T159+U159))*(100+$P$20+$P$18)%+((S159+W159)*12),0))</f>
        <v>0</v>
      </c>
      <c r="Y159" s="673">
        <f t="shared" ref="Y159" si="59">IF(ISERROR(X159/H159),0,(X159/H159))</f>
        <v>0</v>
      </c>
      <c r="Z159" s="559"/>
      <c r="AA159" s="601">
        <f>IF(OR(G159="PDL",G159="stellv. PDL"),0,(IF(AND($H159&gt;0,$K159&gt;0),($M159+$N159),0)))</f>
        <v>0</v>
      </c>
      <c r="AB159" s="602">
        <f>IF(OR(G159="PDL",G159="stellv. PDL"),0,(IF(AND($H159&gt;0,$K159&gt;0),$O159,0)))</f>
        <v>0</v>
      </c>
      <c r="AC159" s="602">
        <f>IF(OR(G159="PDL",G159="stellv. PDL"),0,(IF(AND($H159&gt;0,$K159&gt;0),($P159),0)))</f>
        <v>0</v>
      </c>
      <c r="AD159" s="602">
        <f>IF(OR(G159="PDL",G159="stellv. PDL"),0,(IF(AND($H159&gt;0,$K159&gt;0),$Q159,0)))</f>
        <v>0</v>
      </c>
      <c r="AE159" s="631">
        <f>IF(OR(G159="PDL",G159="stellv. PDL"),0,(IF(AND($H159&gt;0,$K159&gt;0),(($T159+$U159)/12),0)))</f>
        <v>0</v>
      </c>
      <c r="AF159" s="635"/>
      <c r="AG159" s="579"/>
      <c r="AH159" s="579"/>
      <c r="AI159" s="579"/>
      <c r="AJ159" s="579"/>
      <c r="AK159" s="580"/>
      <c r="AL159" s="581"/>
      <c r="AM159" s="581"/>
      <c r="AN159" s="581"/>
      <c r="AO159" s="636"/>
      <c r="AP159" s="1020">
        <f>IF(OR(G159="PDL",G159="stellv. PDL"),0,IF(AND($H159&gt;0,$K159&gt;0),$H159,0))</f>
        <v>0</v>
      </c>
      <c r="AQ159" s="637"/>
      <c r="AR159" s="329"/>
      <c r="AS159" s="1023">
        <f t="shared" ref="AS159:AS164" si="60">IF(OR(G159="PDL",G159="stellv. PDL"),0,IF(AND($H159&gt;0,$K159&gt;0),$X159,0))</f>
        <v>0</v>
      </c>
      <c r="AT159" s="329"/>
      <c r="AU159" s="329"/>
    </row>
    <row r="160" spans="1:47" x14ac:dyDescent="0.25">
      <c r="A160" s="567"/>
      <c r="B160" s="568"/>
      <c r="C160" s="569"/>
      <c r="D160" s="569"/>
      <c r="E160" s="570">
        <f t="shared" ref="E160:E162" si="61">IFERROR(D160/B160,0)</f>
        <v>0</v>
      </c>
      <c r="F160" s="571"/>
      <c r="G160" s="551"/>
      <c r="H160" s="572"/>
      <c r="I160" s="573"/>
      <c r="J160" s="573"/>
      <c r="K160" s="574"/>
      <c r="L160" s="606">
        <f t="shared" ref="L160:L162" si="62">IFERROR(IF($K$24="VK",K160,K160/H160),0)</f>
        <v>0</v>
      </c>
      <c r="M160" s="555">
        <f t="shared" ref="M160:M162" si="63">IFERROR(L160*H160,"")</f>
        <v>0</v>
      </c>
      <c r="N160" s="575"/>
      <c r="O160" s="575"/>
      <c r="P160" s="575"/>
      <c r="Q160" s="575"/>
      <c r="R160" s="575"/>
      <c r="S160" s="575"/>
      <c r="T160" s="575"/>
      <c r="U160" s="575"/>
      <c r="V160" s="575"/>
      <c r="W160" s="575"/>
      <c r="X160" s="557">
        <f t="shared" ref="X160:X162" si="64">IF(AND(H160&gt;0,F160&lt;&gt;"GfB"),(SUM(M160:P160,R160,V160,Q160)*12+(T160+U160))*(100+$P$17+$P$18)%+((S160+W160)*12),IF(AND(H160&gt;0,F160="GfB"),(SUM(M160:P160,R160,V160,Q160)*12+(T160+U160))*(100+$P$20+$P$18)%+((S160+W160)*12),0))</f>
        <v>0</v>
      </c>
      <c r="Y160" s="558">
        <f t="shared" ref="Y160:Y162" si="65">IF(ISERROR(X160/H160),0,(X160/H160))</f>
        <v>0</v>
      </c>
      <c r="Z160" s="559"/>
      <c r="AA160" s="601">
        <f t="shared" ref="AA160:AA161" si="66">IF(OR(G160="PDL",G160="stellv. PDL"),0,(IF(AND($H160&gt;0,$K160&gt;0),($M160+$N160),0)))</f>
        <v>0</v>
      </c>
      <c r="AB160" s="602">
        <f t="shared" ref="AB160:AB161" si="67">IF(OR(G160="PDL",G160="stellv. PDL"),0,(IF(AND($H160&gt;0,$K160&gt;0),$O160,0)))</f>
        <v>0</v>
      </c>
      <c r="AC160" s="602">
        <f t="shared" ref="AC160:AC161" si="68">IF(OR(G160="PDL",G160="stellv. PDL"),0,(IF(AND($H160&gt;0,$K160&gt;0),($P160),0)))</f>
        <v>0</v>
      </c>
      <c r="AD160" s="602">
        <f t="shared" ref="AD160:AD161" si="69">IF(OR(G160="PDL",G160="stellv. PDL"),0,(IF(AND($H160&gt;0,$K160&gt;0),$Q160,0)))</f>
        <v>0</v>
      </c>
      <c r="AE160" s="631">
        <f t="shared" ref="AE160:AE161" si="70">IF(OR(G160="PDL",G160="stellv. PDL"),0,(IF(AND($H160&gt;0,$K160&gt;0),(($T160+$U160)/12),0)))</f>
        <v>0</v>
      </c>
      <c r="AF160" s="635"/>
      <c r="AG160" s="579"/>
      <c r="AH160" s="579"/>
      <c r="AI160" s="579"/>
      <c r="AJ160" s="579"/>
      <c r="AK160" s="580"/>
      <c r="AL160" s="581"/>
      <c r="AM160" s="581"/>
      <c r="AN160" s="581"/>
      <c r="AO160" s="636"/>
      <c r="AP160" s="1020">
        <f t="shared" ref="AP160:AP161" si="71">IF(OR(G160="PDL",G160="stellv. PDL"),0,IF(AND($H160&gt;0,$K160&gt;0),$H160,0))</f>
        <v>0</v>
      </c>
      <c r="AQ160" s="637"/>
      <c r="AR160" s="329"/>
      <c r="AS160" s="1023">
        <f t="shared" si="60"/>
        <v>0</v>
      </c>
      <c r="AT160" s="329"/>
      <c r="AU160" s="329"/>
    </row>
    <row r="161" spans="1:47" x14ac:dyDescent="0.25">
      <c r="A161" s="567"/>
      <c r="B161" s="568"/>
      <c r="C161" s="569"/>
      <c r="D161" s="569"/>
      <c r="E161" s="570">
        <f t="shared" si="61"/>
        <v>0</v>
      </c>
      <c r="F161" s="571"/>
      <c r="G161" s="551"/>
      <c r="H161" s="572"/>
      <c r="I161" s="573"/>
      <c r="J161" s="573"/>
      <c r="K161" s="574"/>
      <c r="L161" s="606">
        <f t="shared" si="62"/>
        <v>0</v>
      </c>
      <c r="M161" s="555">
        <f t="shared" si="63"/>
        <v>0</v>
      </c>
      <c r="N161" s="575"/>
      <c r="O161" s="575"/>
      <c r="P161" s="575"/>
      <c r="Q161" s="575"/>
      <c r="R161" s="575"/>
      <c r="S161" s="575"/>
      <c r="T161" s="575"/>
      <c r="U161" s="575"/>
      <c r="V161" s="575"/>
      <c r="W161" s="575"/>
      <c r="X161" s="557">
        <f t="shared" si="64"/>
        <v>0</v>
      </c>
      <c r="Y161" s="558">
        <f t="shared" si="65"/>
        <v>0</v>
      </c>
      <c r="Z161" s="559"/>
      <c r="AA161" s="601">
        <f t="shared" si="66"/>
        <v>0</v>
      </c>
      <c r="AB161" s="602">
        <f t="shared" si="67"/>
        <v>0</v>
      </c>
      <c r="AC161" s="602">
        <f t="shared" si="68"/>
        <v>0</v>
      </c>
      <c r="AD161" s="602">
        <f t="shared" si="69"/>
        <v>0</v>
      </c>
      <c r="AE161" s="631">
        <f t="shared" si="70"/>
        <v>0</v>
      </c>
      <c r="AF161" s="635"/>
      <c r="AG161" s="579"/>
      <c r="AH161" s="579"/>
      <c r="AI161" s="579"/>
      <c r="AJ161" s="579"/>
      <c r="AK161" s="580"/>
      <c r="AL161" s="581"/>
      <c r="AM161" s="581"/>
      <c r="AN161" s="581"/>
      <c r="AO161" s="636"/>
      <c r="AP161" s="1020">
        <f t="shared" si="71"/>
        <v>0</v>
      </c>
      <c r="AQ161" s="637"/>
      <c r="AR161" s="329"/>
      <c r="AS161" s="1023">
        <f t="shared" si="60"/>
        <v>0</v>
      </c>
      <c r="AT161" s="329"/>
      <c r="AU161" s="329"/>
    </row>
    <row r="162" spans="1:47" x14ac:dyDescent="0.25">
      <c r="A162" s="567"/>
      <c r="B162" s="568"/>
      <c r="C162" s="569"/>
      <c r="D162" s="569"/>
      <c r="E162" s="570">
        <f t="shared" si="61"/>
        <v>0</v>
      </c>
      <c r="F162" s="571"/>
      <c r="G162" s="551"/>
      <c r="H162" s="572"/>
      <c r="I162" s="573"/>
      <c r="J162" s="573"/>
      <c r="K162" s="574"/>
      <c r="L162" s="606">
        <f t="shared" si="62"/>
        <v>0</v>
      </c>
      <c r="M162" s="555">
        <f t="shared" si="63"/>
        <v>0</v>
      </c>
      <c r="N162" s="575"/>
      <c r="O162" s="575"/>
      <c r="P162" s="575"/>
      <c r="Q162" s="575"/>
      <c r="R162" s="575"/>
      <c r="S162" s="575"/>
      <c r="T162" s="575"/>
      <c r="U162" s="575"/>
      <c r="V162" s="575"/>
      <c r="W162" s="575"/>
      <c r="X162" s="557">
        <f t="shared" si="64"/>
        <v>0</v>
      </c>
      <c r="Y162" s="558">
        <f t="shared" si="65"/>
        <v>0</v>
      </c>
      <c r="Z162" s="559"/>
      <c r="AA162" s="601">
        <f>IF(OR(G162="PDL",G162="stellv. PDL"),0,(IF(AND($H162&gt;0,$K162&gt;0),($M162+$N162),0)))</f>
        <v>0</v>
      </c>
      <c r="AB162" s="602">
        <f>IF(OR(G162="PDL",G162="stellv. PDL"),0,(IF(AND($H162&gt;0,$K162&gt;0),$O162,0)))</f>
        <v>0</v>
      </c>
      <c r="AC162" s="602">
        <f>IF(OR(G162="PDL",G162="stellv. PDL"),0,(IF(AND($H162&gt;0,$K162&gt;0),($P162),0)))</f>
        <v>0</v>
      </c>
      <c r="AD162" s="602">
        <f>IF(OR(G162="PDL",G162="stellv. PDL"),0,(IF(AND($H162&gt;0,$K162&gt;0),$Q162,0)))</f>
        <v>0</v>
      </c>
      <c r="AE162" s="631">
        <f>IF(OR(G162="PDL",G162="stellv. PDL"),0,(IF(AND($H162&gt;0,$K162&gt;0),(($T162+$U162)/12),0)))</f>
        <v>0</v>
      </c>
      <c r="AF162" s="635"/>
      <c r="AG162" s="579"/>
      <c r="AH162" s="579"/>
      <c r="AI162" s="579"/>
      <c r="AJ162" s="579"/>
      <c r="AK162" s="580"/>
      <c r="AL162" s="581"/>
      <c r="AM162" s="581"/>
      <c r="AN162" s="581"/>
      <c r="AO162" s="636"/>
      <c r="AP162" s="1020">
        <f>IF(OR(G162="PDL",G162="stellv. PDL"),0,IF(AND($H162&gt;0,$K162&gt;0),$H162,0))</f>
        <v>0</v>
      </c>
      <c r="AQ162" s="637"/>
      <c r="AR162" s="329"/>
      <c r="AS162" s="1023">
        <f t="shared" si="60"/>
        <v>0</v>
      </c>
      <c r="AT162" s="329"/>
      <c r="AU162" s="329"/>
    </row>
    <row r="163" spans="1:47" x14ac:dyDescent="0.25">
      <c r="A163" s="567"/>
      <c r="B163" s="568"/>
      <c r="C163" s="569"/>
      <c r="D163" s="569"/>
      <c r="E163" s="570">
        <f t="shared" ref="E163:E164" si="72">IFERROR(D163/B163,0)</f>
        <v>0</v>
      </c>
      <c r="F163" s="571"/>
      <c r="G163" s="551"/>
      <c r="H163" s="572"/>
      <c r="I163" s="573"/>
      <c r="J163" s="573"/>
      <c r="K163" s="574"/>
      <c r="L163" s="606">
        <f t="shared" ref="L163:L164" si="73">IFERROR(IF($K$24="VK",K163,K163/H163),0)</f>
        <v>0</v>
      </c>
      <c r="M163" s="555">
        <f t="shared" ref="M163:M164" si="74">IFERROR(L163*H163,"")</f>
        <v>0</v>
      </c>
      <c r="N163" s="575"/>
      <c r="O163" s="575"/>
      <c r="P163" s="575"/>
      <c r="Q163" s="575"/>
      <c r="R163" s="575"/>
      <c r="S163" s="575"/>
      <c r="T163" s="575"/>
      <c r="U163" s="575"/>
      <c r="V163" s="575"/>
      <c r="W163" s="575"/>
      <c r="X163" s="557">
        <f t="shared" ref="X163:X164" si="75">IF(AND(H163&gt;0,F163&lt;&gt;"GfB"),(SUM(M163:P163,R163,V163,Q163)*12+(T163+U163))*(100+$P$17+$P$18)%+((S163+W163)*12),IF(AND(H163&gt;0,F163="GfB"),(SUM(M163:P163,R163,V163,Q163)*12+(T163+U163))*(100+$P$20+$P$18)%+((S163+W163)*12),0))</f>
        <v>0</v>
      </c>
      <c r="Y163" s="558">
        <f t="shared" ref="Y163:Y164" si="76">IF(ISERROR(X163/H163),0,(X163/H163))</f>
        <v>0</v>
      </c>
      <c r="Z163" s="559"/>
      <c r="AA163" s="601">
        <f t="shared" ref="AA163:AA164" si="77">IF(OR(G163="PDL",G163="stellv. PDL"),0,(IF(AND($H163&gt;0,$K163&gt;0),($M163+$N163),0)))</f>
        <v>0</v>
      </c>
      <c r="AB163" s="602">
        <f t="shared" ref="AB163:AB164" si="78">IF(OR(G163="PDL",G163="stellv. PDL"),0,(IF(AND($H163&gt;0,$K163&gt;0),$O163,0)))</f>
        <v>0</v>
      </c>
      <c r="AC163" s="602">
        <f t="shared" ref="AC163:AC164" si="79">IF(OR(G163="PDL",G163="stellv. PDL"),0,(IF(AND($H163&gt;0,$K163&gt;0),($P163),0)))</f>
        <v>0</v>
      </c>
      <c r="AD163" s="602">
        <f t="shared" ref="AD163:AD164" si="80">IF(OR(G163="PDL",G163="stellv. PDL"),0,(IF(AND($H163&gt;0,$K163&gt;0),$Q163,0)))</f>
        <v>0</v>
      </c>
      <c r="AE163" s="631">
        <f t="shared" ref="AE163:AE164" si="81">IF(OR(G163="PDL",G163="stellv. PDL"),0,(IF(AND($H163&gt;0,$K163&gt;0),(($T163+$U163)/12),0)))</f>
        <v>0</v>
      </c>
      <c r="AF163" s="635"/>
      <c r="AG163" s="579"/>
      <c r="AH163" s="579"/>
      <c r="AI163" s="579"/>
      <c r="AJ163" s="579"/>
      <c r="AK163" s="580"/>
      <c r="AL163" s="581"/>
      <c r="AM163" s="581"/>
      <c r="AN163" s="581"/>
      <c r="AO163" s="636"/>
      <c r="AP163" s="1020">
        <f t="shared" ref="AP163:AP164" si="82">IF(OR(G163="PDL",G163="stellv. PDL"),0,IF(AND($H163&gt;0,$K163&gt;0),$H163,0))</f>
        <v>0</v>
      </c>
      <c r="AQ163" s="637"/>
      <c r="AR163" s="329"/>
      <c r="AS163" s="1023">
        <f t="shared" si="60"/>
        <v>0</v>
      </c>
      <c r="AT163" s="329"/>
      <c r="AU163" s="329"/>
    </row>
    <row r="164" spans="1:47" ht="14.4" thickBot="1" x14ac:dyDescent="0.3">
      <c r="A164" s="567"/>
      <c r="B164" s="568"/>
      <c r="C164" s="569"/>
      <c r="D164" s="569"/>
      <c r="E164" s="570">
        <f t="shared" si="72"/>
        <v>0</v>
      </c>
      <c r="F164" s="571"/>
      <c r="G164" s="551"/>
      <c r="H164" s="572"/>
      <c r="I164" s="573"/>
      <c r="J164" s="573"/>
      <c r="K164" s="574"/>
      <c r="L164" s="606">
        <f t="shared" si="73"/>
        <v>0</v>
      </c>
      <c r="M164" s="555">
        <f t="shared" si="74"/>
        <v>0</v>
      </c>
      <c r="N164" s="575"/>
      <c r="O164" s="575"/>
      <c r="P164" s="575"/>
      <c r="Q164" s="575"/>
      <c r="R164" s="575"/>
      <c r="S164" s="575"/>
      <c r="T164" s="575"/>
      <c r="U164" s="575"/>
      <c r="V164" s="575"/>
      <c r="W164" s="575"/>
      <c r="X164" s="557">
        <f t="shared" si="75"/>
        <v>0</v>
      </c>
      <c r="Y164" s="558">
        <f t="shared" si="76"/>
        <v>0</v>
      </c>
      <c r="Z164" s="559"/>
      <c r="AA164" s="601">
        <f t="shared" si="77"/>
        <v>0</v>
      </c>
      <c r="AB164" s="602">
        <f t="shared" si="78"/>
        <v>0</v>
      </c>
      <c r="AC164" s="602">
        <f t="shared" si="79"/>
        <v>0</v>
      </c>
      <c r="AD164" s="602">
        <f t="shared" si="80"/>
        <v>0</v>
      </c>
      <c r="AE164" s="631">
        <f t="shared" si="81"/>
        <v>0</v>
      </c>
      <c r="AF164" s="635"/>
      <c r="AG164" s="579"/>
      <c r="AH164" s="579"/>
      <c r="AI164" s="579"/>
      <c r="AJ164" s="579"/>
      <c r="AK164" s="580"/>
      <c r="AL164" s="581"/>
      <c r="AM164" s="581"/>
      <c r="AN164" s="581"/>
      <c r="AO164" s="636"/>
      <c r="AP164" s="1020">
        <f t="shared" si="82"/>
        <v>0</v>
      </c>
      <c r="AQ164" s="637"/>
      <c r="AR164" s="329"/>
      <c r="AS164" s="1023">
        <f t="shared" si="60"/>
        <v>0</v>
      </c>
      <c r="AT164" s="329"/>
      <c r="AU164" s="329"/>
    </row>
    <row r="165" spans="1:47" ht="40.200000000000003" thickBot="1" x14ac:dyDescent="0.3">
      <c r="A165" s="650" t="s">
        <v>496</v>
      </c>
      <c r="B165" s="1456">
        <f>SUM(B159:B164)</f>
        <v>0</v>
      </c>
      <c r="C165" s="593">
        <f>IFERROR(SUM(C159:C164)/B165,0)</f>
        <v>0</v>
      </c>
      <c r="D165" s="594">
        <f>SUM(D159:D164)</f>
        <v>0</v>
      </c>
      <c r="E165" s="595">
        <f>IFERROR(D165/B165,0)</f>
        <v>0</v>
      </c>
      <c r="F165" s="1784" t="s">
        <v>496</v>
      </c>
      <c r="G165" s="1785"/>
      <c r="H165" s="1459">
        <f>SUM(H159:H164)</f>
        <v>0</v>
      </c>
      <c r="I165" s="316"/>
      <c r="J165" s="316"/>
      <c r="K165" s="316"/>
      <c r="L165" s="316"/>
      <c r="M165" s="596">
        <f>IFERROR(SUM(M159:M164)/H165,0)</f>
        <v>0</v>
      </c>
      <c r="N165" s="596">
        <f>IFERROR(SUM(N159:N164)/H165,0)</f>
        <v>0</v>
      </c>
      <c r="O165" s="596">
        <f>IFERROR(SUM(O159:O164)/H165,0)</f>
        <v>0</v>
      </c>
      <c r="P165" s="596">
        <f>IFERROR(SUM(P159:P164)/H165,0)</f>
        <v>0</v>
      </c>
      <c r="Q165" s="596">
        <f>IFERROR(SUM(Q159:Q164)/H165,0)</f>
        <v>0</v>
      </c>
      <c r="R165" s="596">
        <f>IFERROR(SUM(R159:R164)/H165,0)</f>
        <v>0</v>
      </c>
      <c r="S165" s="596">
        <f>IFERROR(SUM(S159:S164)/H165,0)</f>
        <v>0</v>
      </c>
      <c r="T165" s="596">
        <f>IFERROR(SUM(T159:T164)/H165,0)</f>
        <v>0</v>
      </c>
      <c r="U165" s="596">
        <f>IFERROR(SUM(U159:U164)/H165,0)</f>
        <v>0</v>
      </c>
      <c r="V165" s="596">
        <f>IFERROR(SUM(V159:V164)/H165,0)</f>
        <v>0</v>
      </c>
      <c r="W165" s="596">
        <f>IFERROR(SUM(W159:W164)/H165,0)</f>
        <v>0</v>
      </c>
      <c r="X165" s="597">
        <f>SUM(X159:X164)</f>
        <v>0</v>
      </c>
      <c r="Y165" s="598">
        <f>IFERROR(SUM(X165/H165),0)</f>
        <v>0</v>
      </c>
      <c r="Z165" s="653"/>
      <c r="AA165" s="654"/>
      <c r="AB165" s="654"/>
      <c r="AC165" s="654"/>
      <c r="AD165" s="654"/>
      <c r="AE165" s="654"/>
      <c r="AF165" s="654"/>
      <c r="AG165" s="654"/>
      <c r="AH165" s="654"/>
      <c r="AI165" s="654"/>
      <c r="AJ165" s="654"/>
      <c r="AK165" s="654"/>
      <c r="AL165" s="654"/>
      <c r="AM165" s="654"/>
      <c r="AN165" s="654"/>
      <c r="AO165" s="654"/>
      <c r="AP165" s="655"/>
      <c r="AQ165" s="655"/>
    </row>
    <row r="166" spans="1:47" x14ac:dyDescent="0.25">
      <c r="A166" s="719"/>
      <c r="F166" s="719"/>
      <c r="G166" s="144"/>
      <c r="M166" s="494"/>
      <c r="N166" s="494"/>
      <c r="P166" s="996"/>
      <c r="Q166" s="996"/>
      <c r="R166" s="996"/>
      <c r="S166" s="996"/>
      <c r="T166" s="996"/>
      <c r="U166" s="996"/>
      <c r="V166" s="996"/>
      <c r="W166" s="996"/>
      <c r="X166" s="996"/>
      <c r="Y166" s="997"/>
      <c r="Z166" s="694"/>
      <c r="AA166" s="626"/>
      <c r="AB166" s="626"/>
      <c r="AC166" s="626"/>
      <c r="AD166" s="626"/>
      <c r="AE166" s="626"/>
      <c r="AF166" s="626"/>
      <c r="AG166" s="626"/>
      <c r="AH166" s="626"/>
      <c r="AI166" s="626"/>
      <c r="AJ166" s="626"/>
      <c r="AK166" s="626"/>
      <c r="AL166" s="626"/>
      <c r="AM166" s="626"/>
      <c r="AN166" s="626"/>
      <c r="AO166" s="626"/>
      <c r="AP166" s="629"/>
      <c r="AQ166" s="629"/>
    </row>
    <row r="167" spans="1:47" x14ac:dyDescent="0.25">
      <c r="A167" s="719"/>
      <c r="F167" s="719"/>
      <c r="G167" s="144"/>
      <c r="M167" s="494"/>
      <c r="N167" s="494"/>
      <c r="P167" s="996"/>
      <c r="Q167" s="996"/>
      <c r="R167" s="996"/>
      <c r="S167" s="996"/>
      <c r="T167" s="996"/>
      <c r="U167" s="996"/>
      <c r="V167" s="996"/>
      <c r="W167" s="996"/>
      <c r="X167" s="996"/>
      <c r="Y167" s="997"/>
      <c r="Z167" s="694"/>
      <c r="AA167" s="626"/>
      <c r="AB167" s="626"/>
      <c r="AC167" s="626"/>
      <c r="AD167" s="626"/>
      <c r="AE167" s="626"/>
      <c r="AF167" s="626"/>
      <c r="AG167" s="626"/>
      <c r="AH167" s="626"/>
      <c r="AI167" s="626"/>
      <c r="AJ167" s="626"/>
      <c r="AK167" s="626"/>
      <c r="AL167" s="626"/>
      <c r="AM167" s="626"/>
      <c r="AN167" s="626"/>
      <c r="AO167" s="626"/>
      <c r="AP167" s="629"/>
      <c r="AQ167" s="629"/>
    </row>
    <row r="168" spans="1:47" x14ac:dyDescent="0.25">
      <c r="A168" s="719"/>
      <c r="F168" s="719"/>
      <c r="G168" s="144"/>
      <c r="M168" s="494"/>
      <c r="N168" s="494"/>
      <c r="P168" s="996"/>
      <c r="Q168" s="996"/>
      <c r="R168" s="996"/>
      <c r="S168" s="996"/>
      <c r="T168" s="996"/>
      <c r="U168" s="996"/>
      <c r="V168" s="996"/>
      <c r="W168" s="996"/>
      <c r="X168" s="996"/>
      <c r="Y168" s="997"/>
      <c r="Z168" s="694"/>
      <c r="AA168" s="626"/>
      <c r="AB168" s="626"/>
      <c r="AC168" s="626"/>
      <c r="AD168" s="626"/>
      <c r="AE168" s="626"/>
      <c r="AF168" s="626"/>
      <c r="AG168" s="626"/>
      <c r="AH168" s="626"/>
      <c r="AI168" s="626"/>
      <c r="AJ168" s="626"/>
      <c r="AK168" s="626"/>
      <c r="AL168" s="626"/>
      <c r="AM168" s="626"/>
      <c r="AN168" s="626"/>
      <c r="AO168" s="626"/>
      <c r="AP168" s="629"/>
      <c r="AQ168" s="629"/>
    </row>
    <row r="169" spans="1:47" x14ac:dyDescent="0.25">
      <c r="A169" s="719" t="s">
        <v>489</v>
      </c>
      <c r="F169" s="719" t="s">
        <v>489</v>
      </c>
      <c r="G169" s="144"/>
      <c r="M169" s="494"/>
      <c r="N169" s="494"/>
      <c r="P169" s="692"/>
      <c r="Q169" s="692"/>
      <c r="R169" s="692"/>
      <c r="S169" s="692"/>
      <c r="T169" s="692"/>
      <c r="U169" s="692"/>
      <c r="V169" s="692"/>
      <c r="W169" s="692"/>
      <c r="X169" s="692"/>
      <c r="Y169" s="693"/>
      <c r="Z169" s="694"/>
      <c r="AA169" s="626"/>
      <c r="AB169" s="626"/>
      <c r="AC169" s="626"/>
      <c r="AD169" s="626"/>
      <c r="AE169" s="626"/>
      <c r="AF169" s="626"/>
      <c r="AG169" s="626"/>
      <c r="AH169" s="626"/>
      <c r="AI169" s="626"/>
      <c r="AJ169" s="626"/>
      <c r="AK169" s="626"/>
      <c r="AL169" s="626"/>
      <c r="AM169" s="626"/>
      <c r="AN169" s="626"/>
      <c r="AO169" s="626"/>
      <c r="AP169" s="629"/>
      <c r="AQ169" s="629"/>
    </row>
    <row r="170" spans="1:47" x14ac:dyDescent="0.25">
      <c r="A170" s="567"/>
      <c r="B170" s="568"/>
      <c r="C170" s="569"/>
      <c r="D170" s="569"/>
      <c r="E170" s="570">
        <f t="shared" ref="E170:E189" si="83">IFERROR(D170/B170,0)</f>
        <v>0</v>
      </c>
      <c r="F170" s="571"/>
      <c r="G170" s="845"/>
      <c r="H170" s="669"/>
      <c r="I170" s="573"/>
      <c r="J170" s="573"/>
      <c r="K170" s="574"/>
      <c r="L170" s="670">
        <f>IFERROR(IF($K$24="VK",K170,K170/H170),0)</f>
        <v>0</v>
      </c>
      <c r="M170" s="671">
        <f>IFERROR(L170*H170,"")</f>
        <v>0</v>
      </c>
      <c r="N170" s="575"/>
      <c r="O170" s="575"/>
      <c r="P170" s="575"/>
      <c r="Q170" s="575"/>
      <c r="R170" s="575"/>
      <c r="S170" s="575"/>
      <c r="T170" s="575"/>
      <c r="U170" s="575"/>
      <c r="V170" s="575"/>
      <c r="W170" s="575"/>
      <c r="X170" s="557">
        <f t="shared" ref="X170:X189" si="84">IF(AND(H170&gt;0,F170&lt;&gt;"GfB"),(SUM(M170:P170,R170,V170,Q170)*12+(T170+U170))*(100+$P$17+$P$18)%+((S170+W170)*12),IF(AND(H170&gt;0,F170="GfB"),(SUM(M170:P170,R170,V170,Q170)*12+(T170+U170))*(100+$P$20+$P$18)%+((S170+W170)*12),0))</f>
        <v>0</v>
      </c>
      <c r="Y170" s="558">
        <f>IF(ISERROR(X170/H170),0,(X170/H170))</f>
        <v>0</v>
      </c>
      <c r="Z170" s="559"/>
      <c r="AA170" s="560"/>
      <c r="AB170" s="561"/>
      <c r="AC170" s="561"/>
      <c r="AD170" s="561"/>
      <c r="AE170" s="674"/>
      <c r="AF170" s="675">
        <f>(IF(AND($H170&gt;0,$K170&gt;0),($M170+$N170),0))</f>
        <v>0</v>
      </c>
      <c r="AG170" s="603">
        <f>(IF(AND($H170&gt;0,$K170&gt;0),$O170,0))</f>
        <v>0</v>
      </c>
      <c r="AH170" s="603">
        <f>(IF(AND($H170&gt;0,$K170&gt;0),$P170,0))</f>
        <v>0</v>
      </c>
      <c r="AI170" s="603">
        <f>(IF(AND($H170&gt;0,$K170&gt;0),$Q170,0))</f>
        <v>0</v>
      </c>
      <c r="AJ170" s="676">
        <f>(IF(AND($H170&gt;0,$K170&gt;0),(($T170+$U170)/12),0))</f>
        <v>0</v>
      </c>
      <c r="AK170" s="677"/>
      <c r="AL170" s="565"/>
      <c r="AM170" s="565"/>
      <c r="AN170" s="565"/>
      <c r="AO170" s="565"/>
      <c r="AP170" s="678"/>
      <c r="AQ170" s="1014">
        <f>IF(AND($H170&gt;0,$K170&gt;0),$H170,0)</f>
        <v>0</v>
      </c>
      <c r="AR170" s="329"/>
      <c r="AS170" s="329"/>
      <c r="AT170" s="1021">
        <f t="shared" ref="AT170:AT189" si="85">IF(AND($H170&gt;0,$K170&gt;0),$X170,0)</f>
        <v>0</v>
      </c>
      <c r="AU170" s="329"/>
    </row>
    <row r="171" spans="1:47" x14ac:dyDescent="0.25">
      <c r="A171" s="567"/>
      <c r="B171" s="568"/>
      <c r="C171" s="569"/>
      <c r="D171" s="569"/>
      <c r="E171" s="570">
        <f t="shared" si="83"/>
        <v>0</v>
      </c>
      <c r="F171" s="571"/>
      <c r="G171" s="845"/>
      <c r="H171" s="669"/>
      <c r="I171" s="573"/>
      <c r="J171" s="573"/>
      <c r="K171" s="574"/>
      <c r="L171" s="606">
        <f t="shared" ref="L171:L189" si="86">IFERROR(IF($K$24="VK",K171,K171/H171),0)</f>
        <v>0</v>
      </c>
      <c r="M171" s="555">
        <f t="shared" ref="M171:M189" si="87">IFERROR(L171*H171,"")</f>
        <v>0</v>
      </c>
      <c r="N171" s="575"/>
      <c r="O171" s="575"/>
      <c r="P171" s="575"/>
      <c r="Q171" s="575"/>
      <c r="R171" s="575"/>
      <c r="S171" s="575"/>
      <c r="T171" s="575"/>
      <c r="U171" s="575"/>
      <c r="V171" s="575"/>
      <c r="W171" s="575"/>
      <c r="X171" s="557">
        <f t="shared" si="84"/>
        <v>0</v>
      </c>
      <c r="Y171" s="558">
        <f t="shared" ref="Y171:Y189" si="88">IF(ISERROR(X171/H171),0,(X171/H171))</f>
        <v>0</v>
      </c>
      <c r="Z171" s="559"/>
      <c r="AA171" s="576"/>
      <c r="AB171" s="577"/>
      <c r="AC171" s="577"/>
      <c r="AD171" s="577"/>
      <c r="AE171" s="679"/>
      <c r="AF171" s="675">
        <f t="shared" ref="AF171:AF189" si="89">(IF(AND($H171&gt;0,$K171&gt;0),($M171+$N171),0))</f>
        <v>0</v>
      </c>
      <c r="AG171" s="603">
        <f t="shared" ref="AG171:AG189" si="90">(IF(AND($H171&gt;0,$K171&gt;0),$O171,0))</f>
        <v>0</v>
      </c>
      <c r="AH171" s="603">
        <f t="shared" ref="AH171:AH189" si="91">(IF(AND($H171&gt;0,$K171&gt;0),$P171,0))</f>
        <v>0</v>
      </c>
      <c r="AI171" s="603">
        <f t="shared" ref="AI171:AI189" si="92">(IF(AND($H171&gt;0,$K171&gt;0),$Q171,0))</f>
        <v>0</v>
      </c>
      <c r="AJ171" s="676">
        <f t="shared" ref="AJ171:AJ189" si="93">(IF(AND($H171&gt;0,$K171&gt;0),(($T171+$U171)/12),0))</f>
        <v>0</v>
      </c>
      <c r="AK171" s="680"/>
      <c r="AL171" s="581"/>
      <c r="AM171" s="581"/>
      <c r="AN171" s="581"/>
      <c r="AO171" s="581"/>
      <c r="AP171" s="681"/>
      <c r="AQ171" s="1014">
        <f t="shared" ref="AQ171:AQ189" si="94">IF(AND($H171&gt;0,$K171&gt;0),$H171,0)</f>
        <v>0</v>
      </c>
      <c r="AR171" s="329"/>
      <c r="AS171" s="329"/>
      <c r="AT171" s="1021">
        <f t="shared" si="85"/>
        <v>0</v>
      </c>
      <c r="AU171" s="329"/>
    </row>
    <row r="172" spans="1:47" x14ac:dyDescent="0.25">
      <c r="A172" s="567"/>
      <c r="B172" s="568"/>
      <c r="C172" s="569"/>
      <c r="D172" s="569"/>
      <c r="E172" s="570">
        <f t="shared" si="83"/>
        <v>0</v>
      </c>
      <c r="F172" s="571"/>
      <c r="G172" s="845"/>
      <c r="H172" s="669"/>
      <c r="I172" s="573"/>
      <c r="J172" s="573"/>
      <c r="K172" s="574"/>
      <c r="L172" s="606">
        <f t="shared" si="86"/>
        <v>0</v>
      </c>
      <c r="M172" s="555">
        <f t="shared" si="87"/>
        <v>0</v>
      </c>
      <c r="N172" s="575"/>
      <c r="O172" s="575"/>
      <c r="P172" s="575"/>
      <c r="Q172" s="575"/>
      <c r="R172" s="575"/>
      <c r="S172" s="575"/>
      <c r="T172" s="575"/>
      <c r="U172" s="575"/>
      <c r="V172" s="575"/>
      <c r="W172" s="575"/>
      <c r="X172" s="557">
        <f t="shared" si="84"/>
        <v>0</v>
      </c>
      <c r="Y172" s="558">
        <f t="shared" si="88"/>
        <v>0</v>
      </c>
      <c r="Z172" s="559"/>
      <c r="AA172" s="576"/>
      <c r="AB172" s="577"/>
      <c r="AC172" s="577"/>
      <c r="AD172" s="577"/>
      <c r="AE172" s="679"/>
      <c r="AF172" s="675">
        <f t="shared" si="89"/>
        <v>0</v>
      </c>
      <c r="AG172" s="603">
        <f t="shared" si="90"/>
        <v>0</v>
      </c>
      <c r="AH172" s="603">
        <f t="shared" si="91"/>
        <v>0</v>
      </c>
      <c r="AI172" s="603">
        <f t="shared" si="92"/>
        <v>0</v>
      </c>
      <c r="AJ172" s="676">
        <f t="shared" si="93"/>
        <v>0</v>
      </c>
      <c r="AK172" s="680"/>
      <c r="AL172" s="581"/>
      <c r="AM172" s="581"/>
      <c r="AN172" s="581"/>
      <c r="AO172" s="581"/>
      <c r="AP172" s="681"/>
      <c r="AQ172" s="1014">
        <f t="shared" si="94"/>
        <v>0</v>
      </c>
      <c r="AR172" s="329"/>
      <c r="AS172" s="329"/>
      <c r="AT172" s="1021">
        <f t="shared" si="85"/>
        <v>0</v>
      </c>
      <c r="AU172" s="329"/>
    </row>
    <row r="173" spans="1:47" ht="18" x14ac:dyDescent="0.35">
      <c r="A173" s="567"/>
      <c r="B173" s="568"/>
      <c r="C173" s="569"/>
      <c r="D173" s="569"/>
      <c r="E173" s="570">
        <f t="shared" si="83"/>
        <v>0</v>
      </c>
      <c r="F173" s="888"/>
      <c r="G173" s="845"/>
      <c r="H173" s="669"/>
      <c r="I173" s="573"/>
      <c r="J173" s="573"/>
      <c r="K173" s="574"/>
      <c r="L173" s="606">
        <f t="shared" si="86"/>
        <v>0</v>
      </c>
      <c r="M173" s="555">
        <f t="shared" si="87"/>
        <v>0</v>
      </c>
      <c r="N173" s="575"/>
      <c r="O173" s="575"/>
      <c r="P173" s="575"/>
      <c r="Q173" s="575"/>
      <c r="R173" s="575"/>
      <c r="S173" s="575"/>
      <c r="T173" s="575"/>
      <c r="U173" s="575"/>
      <c r="V173" s="575"/>
      <c r="W173" s="575"/>
      <c r="X173" s="557">
        <f t="shared" si="84"/>
        <v>0</v>
      </c>
      <c r="Y173" s="558">
        <f t="shared" si="88"/>
        <v>0</v>
      </c>
      <c r="Z173" s="559"/>
      <c r="AA173" s="576"/>
      <c r="AB173" s="577"/>
      <c r="AC173" s="577"/>
      <c r="AD173" s="577"/>
      <c r="AE173" s="679"/>
      <c r="AF173" s="675">
        <f t="shared" si="89"/>
        <v>0</v>
      </c>
      <c r="AG173" s="603">
        <f t="shared" si="90"/>
        <v>0</v>
      </c>
      <c r="AH173" s="603">
        <f t="shared" si="91"/>
        <v>0</v>
      </c>
      <c r="AI173" s="603">
        <f t="shared" si="92"/>
        <v>0</v>
      </c>
      <c r="AJ173" s="676">
        <f t="shared" si="93"/>
        <v>0</v>
      </c>
      <c r="AK173" s="680"/>
      <c r="AL173" s="581"/>
      <c r="AM173" s="581"/>
      <c r="AN173" s="581"/>
      <c r="AO173" s="581"/>
      <c r="AP173" s="681"/>
      <c r="AQ173" s="1014">
        <f t="shared" si="94"/>
        <v>0</v>
      </c>
      <c r="AR173" s="329"/>
      <c r="AS173" s="329"/>
      <c r="AT173" s="1021">
        <f t="shared" si="85"/>
        <v>0</v>
      </c>
      <c r="AU173" s="329"/>
    </row>
    <row r="174" spans="1:47" x14ac:dyDescent="0.25">
      <c r="A174" s="567"/>
      <c r="B174" s="568"/>
      <c r="C174" s="569"/>
      <c r="D174" s="569"/>
      <c r="E174" s="570">
        <f t="shared" si="83"/>
        <v>0</v>
      </c>
      <c r="F174" s="571"/>
      <c r="G174" s="845"/>
      <c r="H174" s="669"/>
      <c r="I174" s="573"/>
      <c r="J174" s="573"/>
      <c r="K174" s="574"/>
      <c r="L174" s="606">
        <f t="shared" si="86"/>
        <v>0</v>
      </c>
      <c r="M174" s="555">
        <f t="shared" si="87"/>
        <v>0</v>
      </c>
      <c r="N174" s="575"/>
      <c r="O174" s="575"/>
      <c r="P174" s="575"/>
      <c r="Q174" s="575"/>
      <c r="R174" s="575"/>
      <c r="S174" s="575"/>
      <c r="T174" s="575"/>
      <c r="U174" s="575"/>
      <c r="V174" s="575"/>
      <c r="W174" s="575"/>
      <c r="X174" s="557">
        <f t="shared" si="84"/>
        <v>0</v>
      </c>
      <c r="Y174" s="558">
        <f t="shared" si="88"/>
        <v>0</v>
      </c>
      <c r="Z174" s="559"/>
      <c r="AA174" s="576"/>
      <c r="AB174" s="577"/>
      <c r="AC174" s="577"/>
      <c r="AD174" s="577"/>
      <c r="AE174" s="679"/>
      <c r="AF174" s="675">
        <f t="shared" si="89"/>
        <v>0</v>
      </c>
      <c r="AG174" s="603">
        <f t="shared" si="90"/>
        <v>0</v>
      </c>
      <c r="AH174" s="603">
        <f t="shared" si="91"/>
        <v>0</v>
      </c>
      <c r="AI174" s="603">
        <f t="shared" si="92"/>
        <v>0</v>
      </c>
      <c r="AJ174" s="676">
        <f t="shared" si="93"/>
        <v>0</v>
      </c>
      <c r="AK174" s="680"/>
      <c r="AL174" s="581"/>
      <c r="AM174" s="581"/>
      <c r="AN174" s="581"/>
      <c r="AO174" s="581"/>
      <c r="AP174" s="681"/>
      <c r="AQ174" s="1014">
        <f t="shared" si="94"/>
        <v>0</v>
      </c>
      <c r="AR174" s="329"/>
      <c r="AS174" s="329"/>
      <c r="AT174" s="1021">
        <f t="shared" si="85"/>
        <v>0</v>
      </c>
      <c r="AU174" s="329"/>
    </row>
    <row r="175" spans="1:47" x14ac:dyDescent="0.25">
      <c r="A175" s="567"/>
      <c r="B175" s="568"/>
      <c r="C175" s="569"/>
      <c r="D175" s="569"/>
      <c r="E175" s="570">
        <f t="shared" si="83"/>
        <v>0</v>
      </c>
      <c r="F175" s="571"/>
      <c r="G175" s="845"/>
      <c r="H175" s="669"/>
      <c r="I175" s="573"/>
      <c r="J175" s="573"/>
      <c r="K175" s="574"/>
      <c r="L175" s="606">
        <f t="shared" si="86"/>
        <v>0</v>
      </c>
      <c r="M175" s="555">
        <f t="shared" si="87"/>
        <v>0</v>
      </c>
      <c r="N175" s="575"/>
      <c r="O175" s="575"/>
      <c r="P175" s="575"/>
      <c r="Q175" s="575"/>
      <c r="R175" s="575"/>
      <c r="S175" s="575"/>
      <c r="T175" s="575"/>
      <c r="U175" s="575"/>
      <c r="V175" s="575"/>
      <c r="W175" s="575"/>
      <c r="X175" s="557">
        <f t="shared" si="84"/>
        <v>0</v>
      </c>
      <c r="Y175" s="558">
        <f t="shared" si="88"/>
        <v>0</v>
      </c>
      <c r="Z175" s="559"/>
      <c r="AA175" s="576"/>
      <c r="AB175" s="577"/>
      <c r="AC175" s="577"/>
      <c r="AD175" s="577"/>
      <c r="AE175" s="679"/>
      <c r="AF175" s="675">
        <f t="shared" si="89"/>
        <v>0</v>
      </c>
      <c r="AG175" s="603">
        <f t="shared" si="90"/>
        <v>0</v>
      </c>
      <c r="AH175" s="603">
        <f t="shared" si="91"/>
        <v>0</v>
      </c>
      <c r="AI175" s="603">
        <f t="shared" si="92"/>
        <v>0</v>
      </c>
      <c r="AJ175" s="676">
        <f t="shared" si="93"/>
        <v>0</v>
      </c>
      <c r="AK175" s="680"/>
      <c r="AL175" s="581"/>
      <c r="AM175" s="581"/>
      <c r="AN175" s="581"/>
      <c r="AO175" s="581"/>
      <c r="AP175" s="681"/>
      <c r="AQ175" s="1014">
        <f t="shared" si="94"/>
        <v>0</v>
      </c>
      <c r="AR175" s="329"/>
      <c r="AS175" s="329"/>
      <c r="AT175" s="1021">
        <f t="shared" si="85"/>
        <v>0</v>
      </c>
      <c r="AU175" s="329"/>
    </row>
    <row r="176" spans="1:47" x14ac:dyDescent="0.25">
      <c r="A176" s="567"/>
      <c r="B176" s="568"/>
      <c r="C176" s="569"/>
      <c r="D176" s="569"/>
      <c r="E176" s="570">
        <f t="shared" si="83"/>
        <v>0</v>
      </c>
      <c r="F176" s="571"/>
      <c r="G176" s="845"/>
      <c r="H176" s="669"/>
      <c r="I176" s="573"/>
      <c r="J176" s="573"/>
      <c r="K176" s="574"/>
      <c r="L176" s="606">
        <f t="shared" si="86"/>
        <v>0</v>
      </c>
      <c r="M176" s="555">
        <f t="shared" si="87"/>
        <v>0</v>
      </c>
      <c r="N176" s="575"/>
      <c r="O176" s="575"/>
      <c r="P176" s="575"/>
      <c r="Q176" s="575"/>
      <c r="R176" s="575"/>
      <c r="S176" s="575"/>
      <c r="T176" s="575"/>
      <c r="U176" s="575"/>
      <c r="V176" s="575"/>
      <c r="W176" s="575"/>
      <c r="X176" s="557">
        <f t="shared" si="84"/>
        <v>0</v>
      </c>
      <c r="Y176" s="558">
        <f t="shared" si="88"/>
        <v>0</v>
      </c>
      <c r="Z176" s="559"/>
      <c r="AA176" s="576"/>
      <c r="AB176" s="577"/>
      <c r="AC176" s="577"/>
      <c r="AD176" s="577"/>
      <c r="AE176" s="679"/>
      <c r="AF176" s="675">
        <f t="shared" si="89"/>
        <v>0</v>
      </c>
      <c r="AG176" s="603">
        <f t="shared" si="90"/>
        <v>0</v>
      </c>
      <c r="AH176" s="603">
        <f t="shared" si="91"/>
        <v>0</v>
      </c>
      <c r="AI176" s="603">
        <f t="shared" si="92"/>
        <v>0</v>
      </c>
      <c r="AJ176" s="676">
        <f t="shared" si="93"/>
        <v>0</v>
      </c>
      <c r="AK176" s="680"/>
      <c r="AL176" s="581"/>
      <c r="AM176" s="581"/>
      <c r="AN176" s="581"/>
      <c r="AO176" s="581"/>
      <c r="AP176" s="681"/>
      <c r="AQ176" s="1014">
        <f t="shared" si="94"/>
        <v>0</v>
      </c>
      <c r="AR176" s="329"/>
      <c r="AS176" s="329"/>
      <c r="AT176" s="1021">
        <f t="shared" si="85"/>
        <v>0</v>
      </c>
      <c r="AU176" s="329"/>
    </row>
    <row r="177" spans="1:47" x14ac:dyDescent="0.25">
      <c r="A177" s="567"/>
      <c r="B177" s="568"/>
      <c r="C177" s="569"/>
      <c r="D177" s="569"/>
      <c r="E177" s="570">
        <f t="shared" si="83"/>
        <v>0</v>
      </c>
      <c r="F177" s="571"/>
      <c r="G177" s="845"/>
      <c r="H177" s="669"/>
      <c r="I177" s="573"/>
      <c r="J177" s="573"/>
      <c r="K177" s="574"/>
      <c r="L177" s="606">
        <f t="shared" si="86"/>
        <v>0</v>
      </c>
      <c r="M177" s="555">
        <f t="shared" si="87"/>
        <v>0</v>
      </c>
      <c r="N177" s="575"/>
      <c r="O177" s="575"/>
      <c r="P177" s="575"/>
      <c r="Q177" s="575"/>
      <c r="R177" s="575"/>
      <c r="S177" s="575"/>
      <c r="T177" s="575"/>
      <c r="U177" s="575"/>
      <c r="V177" s="575"/>
      <c r="W177" s="575"/>
      <c r="X177" s="557">
        <f t="shared" si="84"/>
        <v>0</v>
      </c>
      <c r="Y177" s="558">
        <f t="shared" si="88"/>
        <v>0</v>
      </c>
      <c r="Z177" s="559"/>
      <c r="AA177" s="576"/>
      <c r="AB177" s="577"/>
      <c r="AC177" s="577"/>
      <c r="AD177" s="577"/>
      <c r="AE177" s="679"/>
      <c r="AF177" s="675">
        <f t="shared" si="89"/>
        <v>0</v>
      </c>
      <c r="AG177" s="603">
        <f t="shared" si="90"/>
        <v>0</v>
      </c>
      <c r="AH177" s="603">
        <f t="shared" si="91"/>
        <v>0</v>
      </c>
      <c r="AI177" s="603">
        <f t="shared" si="92"/>
        <v>0</v>
      </c>
      <c r="AJ177" s="676">
        <f t="shared" si="93"/>
        <v>0</v>
      </c>
      <c r="AK177" s="680"/>
      <c r="AL177" s="581"/>
      <c r="AM177" s="581"/>
      <c r="AN177" s="581"/>
      <c r="AO177" s="581"/>
      <c r="AP177" s="681"/>
      <c r="AQ177" s="1014">
        <f t="shared" si="94"/>
        <v>0</v>
      </c>
      <c r="AR177" s="329"/>
      <c r="AS177" s="329"/>
      <c r="AT177" s="1021">
        <f t="shared" si="85"/>
        <v>0</v>
      </c>
      <c r="AU177" s="329"/>
    </row>
    <row r="178" spans="1:47" x14ac:dyDescent="0.25">
      <c r="A178" s="567"/>
      <c r="B178" s="568"/>
      <c r="C178" s="569"/>
      <c r="D178" s="569"/>
      <c r="E178" s="570">
        <f t="shared" si="83"/>
        <v>0</v>
      </c>
      <c r="F178" s="571"/>
      <c r="G178" s="845"/>
      <c r="H178" s="669"/>
      <c r="I178" s="573"/>
      <c r="J178" s="573"/>
      <c r="K178" s="574"/>
      <c r="L178" s="606">
        <f t="shared" si="86"/>
        <v>0</v>
      </c>
      <c r="M178" s="555">
        <f t="shared" si="87"/>
        <v>0</v>
      </c>
      <c r="N178" s="575"/>
      <c r="O178" s="575"/>
      <c r="P178" s="575"/>
      <c r="Q178" s="575"/>
      <c r="R178" s="575"/>
      <c r="S178" s="575"/>
      <c r="T178" s="575"/>
      <c r="U178" s="575"/>
      <c r="V178" s="575"/>
      <c r="W178" s="575"/>
      <c r="X178" s="557">
        <f t="shared" si="84"/>
        <v>0</v>
      </c>
      <c r="Y178" s="558">
        <f t="shared" si="88"/>
        <v>0</v>
      </c>
      <c r="Z178" s="559"/>
      <c r="AA178" s="576"/>
      <c r="AB178" s="577"/>
      <c r="AC178" s="577"/>
      <c r="AD178" s="577"/>
      <c r="AE178" s="679"/>
      <c r="AF178" s="675">
        <f t="shared" si="89"/>
        <v>0</v>
      </c>
      <c r="AG178" s="603">
        <f t="shared" si="90"/>
        <v>0</v>
      </c>
      <c r="AH178" s="603">
        <f t="shared" si="91"/>
        <v>0</v>
      </c>
      <c r="AI178" s="603">
        <f t="shared" si="92"/>
        <v>0</v>
      </c>
      <c r="AJ178" s="676">
        <f t="shared" si="93"/>
        <v>0</v>
      </c>
      <c r="AK178" s="680"/>
      <c r="AL178" s="581"/>
      <c r="AM178" s="581"/>
      <c r="AN178" s="581"/>
      <c r="AO178" s="581"/>
      <c r="AP178" s="681"/>
      <c r="AQ178" s="1014">
        <f t="shared" si="94"/>
        <v>0</v>
      </c>
      <c r="AR178" s="329"/>
      <c r="AS178" s="329"/>
      <c r="AT178" s="1021">
        <f t="shared" si="85"/>
        <v>0</v>
      </c>
      <c r="AU178" s="329"/>
    </row>
    <row r="179" spans="1:47" x14ac:dyDescent="0.25">
      <c r="A179" s="567"/>
      <c r="B179" s="568"/>
      <c r="C179" s="569"/>
      <c r="D179" s="569"/>
      <c r="E179" s="570">
        <f t="shared" si="83"/>
        <v>0</v>
      </c>
      <c r="F179" s="571"/>
      <c r="G179" s="845"/>
      <c r="H179" s="669"/>
      <c r="I179" s="573"/>
      <c r="J179" s="573"/>
      <c r="K179" s="574"/>
      <c r="L179" s="606">
        <f t="shared" si="86"/>
        <v>0</v>
      </c>
      <c r="M179" s="555">
        <f t="shared" si="87"/>
        <v>0</v>
      </c>
      <c r="N179" s="575"/>
      <c r="O179" s="575"/>
      <c r="P179" s="575"/>
      <c r="Q179" s="575"/>
      <c r="R179" s="575"/>
      <c r="S179" s="575"/>
      <c r="T179" s="575"/>
      <c r="U179" s="575"/>
      <c r="V179" s="575"/>
      <c r="W179" s="575"/>
      <c r="X179" s="557">
        <f t="shared" si="84"/>
        <v>0</v>
      </c>
      <c r="Y179" s="558">
        <f t="shared" si="88"/>
        <v>0</v>
      </c>
      <c r="Z179" s="559"/>
      <c r="AA179" s="576"/>
      <c r="AB179" s="577"/>
      <c r="AC179" s="577"/>
      <c r="AD179" s="577"/>
      <c r="AE179" s="679"/>
      <c r="AF179" s="675">
        <f t="shared" si="89"/>
        <v>0</v>
      </c>
      <c r="AG179" s="603">
        <f t="shared" si="90"/>
        <v>0</v>
      </c>
      <c r="AH179" s="603">
        <f t="shared" si="91"/>
        <v>0</v>
      </c>
      <c r="AI179" s="603">
        <f t="shared" si="92"/>
        <v>0</v>
      </c>
      <c r="AJ179" s="676">
        <f t="shared" si="93"/>
        <v>0</v>
      </c>
      <c r="AK179" s="680"/>
      <c r="AL179" s="581"/>
      <c r="AM179" s="581"/>
      <c r="AN179" s="581"/>
      <c r="AO179" s="581"/>
      <c r="AP179" s="681"/>
      <c r="AQ179" s="1014">
        <f t="shared" si="94"/>
        <v>0</v>
      </c>
      <c r="AR179" s="329"/>
      <c r="AS179" s="329"/>
      <c r="AT179" s="1021">
        <f t="shared" si="85"/>
        <v>0</v>
      </c>
      <c r="AU179" s="329"/>
    </row>
    <row r="180" spans="1:47" x14ac:dyDescent="0.25">
      <c r="A180" s="567"/>
      <c r="B180" s="568"/>
      <c r="C180" s="569"/>
      <c r="D180" s="569"/>
      <c r="E180" s="570">
        <f t="shared" si="83"/>
        <v>0</v>
      </c>
      <c r="F180" s="571"/>
      <c r="G180" s="845"/>
      <c r="H180" s="669"/>
      <c r="I180" s="573"/>
      <c r="J180" s="573"/>
      <c r="K180" s="574"/>
      <c r="L180" s="606">
        <f t="shared" si="86"/>
        <v>0</v>
      </c>
      <c r="M180" s="555">
        <f t="shared" si="87"/>
        <v>0</v>
      </c>
      <c r="N180" s="575"/>
      <c r="O180" s="575"/>
      <c r="P180" s="575"/>
      <c r="Q180" s="575"/>
      <c r="R180" s="575"/>
      <c r="S180" s="575"/>
      <c r="T180" s="575"/>
      <c r="U180" s="575"/>
      <c r="V180" s="575"/>
      <c r="W180" s="575"/>
      <c r="X180" s="557">
        <f t="shared" si="84"/>
        <v>0</v>
      </c>
      <c r="Y180" s="558">
        <f t="shared" si="88"/>
        <v>0</v>
      </c>
      <c r="Z180" s="559"/>
      <c r="AA180" s="576"/>
      <c r="AB180" s="577"/>
      <c r="AC180" s="577"/>
      <c r="AD180" s="577"/>
      <c r="AE180" s="679"/>
      <c r="AF180" s="675">
        <f t="shared" si="89"/>
        <v>0</v>
      </c>
      <c r="AG180" s="603">
        <f t="shared" si="90"/>
        <v>0</v>
      </c>
      <c r="AH180" s="603">
        <f t="shared" si="91"/>
        <v>0</v>
      </c>
      <c r="AI180" s="603">
        <f t="shared" si="92"/>
        <v>0</v>
      </c>
      <c r="AJ180" s="676">
        <f t="shared" si="93"/>
        <v>0</v>
      </c>
      <c r="AK180" s="680"/>
      <c r="AL180" s="581"/>
      <c r="AM180" s="581"/>
      <c r="AN180" s="581"/>
      <c r="AO180" s="581"/>
      <c r="AP180" s="681"/>
      <c r="AQ180" s="1014">
        <f t="shared" si="94"/>
        <v>0</v>
      </c>
      <c r="AR180" s="329"/>
      <c r="AS180" s="329"/>
      <c r="AT180" s="1021">
        <f t="shared" si="85"/>
        <v>0</v>
      </c>
      <c r="AU180" s="329"/>
    </row>
    <row r="181" spans="1:47" x14ac:dyDescent="0.25">
      <c r="A181" s="567"/>
      <c r="B181" s="568"/>
      <c r="C181" s="569"/>
      <c r="D181" s="569"/>
      <c r="E181" s="570">
        <f t="shared" si="83"/>
        <v>0</v>
      </c>
      <c r="F181" s="571"/>
      <c r="G181" s="845"/>
      <c r="H181" s="669"/>
      <c r="I181" s="573"/>
      <c r="J181" s="573"/>
      <c r="K181" s="574"/>
      <c r="L181" s="606">
        <f t="shared" si="86"/>
        <v>0</v>
      </c>
      <c r="M181" s="555">
        <f t="shared" si="87"/>
        <v>0</v>
      </c>
      <c r="N181" s="575"/>
      <c r="O181" s="575"/>
      <c r="P181" s="575"/>
      <c r="Q181" s="575"/>
      <c r="R181" s="575"/>
      <c r="S181" s="575"/>
      <c r="T181" s="575"/>
      <c r="U181" s="575"/>
      <c r="V181" s="575"/>
      <c r="W181" s="575"/>
      <c r="X181" s="557">
        <f t="shared" si="84"/>
        <v>0</v>
      </c>
      <c r="Y181" s="558">
        <f t="shared" si="88"/>
        <v>0</v>
      </c>
      <c r="Z181" s="559"/>
      <c r="AA181" s="576"/>
      <c r="AB181" s="577"/>
      <c r="AC181" s="577"/>
      <c r="AD181" s="577"/>
      <c r="AE181" s="679"/>
      <c r="AF181" s="675">
        <f t="shared" si="89"/>
        <v>0</v>
      </c>
      <c r="AG181" s="603">
        <f t="shared" si="90"/>
        <v>0</v>
      </c>
      <c r="AH181" s="603">
        <f t="shared" si="91"/>
        <v>0</v>
      </c>
      <c r="AI181" s="603">
        <f t="shared" si="92"/>
        <v>0</v>
      </c>
      <c r="AJ181" s="676">
        <f t="shared" si="93"/>
        <v>0</v>
      </c>
      <c r="AK181" s="680"/>
      <c r="AL181" s="581"/>
      <c r="AM181" s="581"/>
      <c r="AN181" s="581"/>
      <c r="AO181" s="581"/>
      <c r="AP181" s="681"/>
      <c r="AQ181" s="1014">
        <f t="shared" si="94"/>
        <v>0</v>
      </c>
      <c r="AR181" s="329"/>
      <c r="AS181" s="329"/>
      <c r="AT181" s="1021">
        <f t="shared" si="85"/>
        <v>0</v>
      </c>
      <c r="AU181" s="329"/>
    </row>
    <row r="182" spans="1:47" x14ac:dyDescent="0.25">
      <c r="A182" s="567"/>
      <c r="B182" s="568"/>
      <c r="C182" s="569"/>
      <c r="D182" s="569"/>
      <c r="E182" s="570">
        <f t="shared" si="83"/>
        <v>0</v>
      </c>
      <c r="F182" s="571"/>
      <c r="G182" s="845"/>
      <c r="H182" s="669"/>
      <c r="I182" s="573"/>
      <c r="J182" s="573"/>
      <c r="K182" s="574"/>
      <c r="L182" s="606">
        <f t="shared" si="86"/>
        <v>0</v>
      </c>
      <c r="M182" s="555">
        <f t="shared" si="87"/>
        <v>0</v>
      </c>
      <c r="N182" s="575"/>
      <c r="O182" s="575"/>
      <c r="P182" s="575"/>
      <c r="Q182" s="575"/>
      <c r="R182" s="575"/>
      <c r="S182" s="575"/>
      <c r="T182" s="575"/>
      <c r="U182" s="575"/>
      <c r="V182" s="575"/>
      <c r="W182" s="575"/>
      <c r="X182" s="557">
        <f t="shared" si="84"/>
        <v>0</v>
      </c>
      <c r="Y182" s="558">
        <f t="shared" si="88"/>
        <v>0</v>
      </c>
      <c r="Z182" s="559"/>
      <c r="AA182" s="576"/>
      <c r="AB182" s="577"/>
      <c r="AC182" s="577"/>
      <c r="AD182" s="577"/>
      <c r="AE182" s="679"/>
      <c r="AF182" s="675">
        <f t="shared" si="89"/>
        <v>0</v>
      </c>
      <c r="AG182" s="603">
        <f t="shared" si="90"/>
        <v>0</v>
      </c>
      <c r="AH182" s="603">
        <f t="shared" si="91"/>
        <v>0</v>
      </c>
      <c r="AI182" s="603">
        <f t="shared" si="92"/>
        <v>0</v>
      </c>
      <c r="AJ182" s="676">
        <f t="shared" si="93"/>
        <v>0</v>
      </c>
      <c r="AK182" s="680"/>
      <c r="AL182" s="581"/>
      <c r="AM182" s="581"/>
      <c r="AN182" s="581"/>
      <c r="AO182" s="581"/>
      <c r="AP182" s="681"/>
      <c r="AQ182" s="1014">
        <f t="shared" si="94"/>
        <v>0</v>
      </c>
      <c r="AR182" s="329"/>
      <c r="AS182" s="329"/>
      <c r="AT182" s="1021">
        <f t="shared" si="85"/>
        <v>0</v>
      </c>
      <c r="AU182" s="329"/>
    </row>
    <row r="183" spans="1:47" x14ac:dyDescent="0.25">
      <c r="A183" s="567"/>
      <c r="B183" s="568"/>
      <c r="C183" s="569"/>
      <c r="D183" s="569"/>
      <c r="E183" s="570">
        <f t="shared" si="83"/>
        <v>0</v>
      </c>
      <c r="F183" s="571"/>
      <c r="G183" s="845"/>
      <c r="H183" s="669"/>
      <c r="I183" s="573"/>
      <c r="J183" s="573"/>
      <c r="K183" s="574"/>
      <c r="L183" s="606">
        <f t="shared" si="86"/>
        <v>0</v>
      </c>
      <c r="M183" s="555">
        <f t="shared" si="87"/>
        <v>0</v>
      </c>
      <c r="N183" s="575"/>
      <c r="O183" s="575"/>
      <c r="P183" s="575"/>
      <c r="Q183" s="575"/>
      <c r="R183" s="575"/>
      <c r="S183" s="575"/>
      <c r="T183" s="575"/>
      <c r="U183" s="575"/>
      <c r="V183" s="575"/>
      <c r="W183" s="575"/>
      <c r="X183" s="557">
        <f t="shared" si="84"/>
        <v>0</v>
      </c>
      <c r="Y183" s="558">
        <f t="shared" si="88"/>
        <v>0</v>
      </c>
      <c r="Z183" s="559"/>
      <c r="AA183" s="576"/>
      <c r="AB183" s="577"/>
      <c r="AC183" s="577"/>
      <c r="AD183" s="577"/>
      <c r="AE183" s="679"/>
      <c r="AF183" s="675">
        <f t="shared" si="89"/>
        <v>0</v>
      </c>
      <c r="AG183" s="603">
        <f t="shared" si="90"/>
        <v>0</v>
      </c>
      <c r="AH183" s="603">
        <f t="shared" si="91"/>
        <v>0</v>
      </c>
      <c r="AI183" s="603">
        <f t="shared" si="92"/>
        <v>0</v>
      </c>
      <c r="AJ183" s="676">
        <f t="shared" si="93"/>
        <v>0</v>
      </c>
      <c r="AK183" s="680"/>
      <c r="AL183" s="581"/>
      <c r="AM183" s="581"/>
      <c r="AN183" s="581"/>
      <c r="AO183" s="581"/>
      <c r="AP183" s="681"/>
      <c r="AQ183" s="1014">
        <f t="shared" si="94"/>
        <v>0</v>
      </c>
      <c r="AR183" s="329"/>
      <c r="AS183" s="329"/>
      <c r="AT183" s="1021">
        <f t="shared" si="85"/>
        <v>0</v>
      </c>
      <c r="AU183" s="329"/>
    </row>
    <row r="184" spans="1:47" x14ac:dyDescent="0.25">
      <c r="A184" s="567"/>
      <c r="B184" s="568"/>
      <c r="C184" s="569"/>
      <c r="D184" s="569"/>
      <c r="E184" s="570">
        <f t="shared" si="83"/>
        <v>0</v>
      </c>
      <c r="F184" s="571"/>
      <c r="G184" s="845"/>
      <c r="H184" s="669"/>
      <c r="I184" s="573"/>
      <c r="J184" s="573"/>
      <c r="K184" s="574"/>
      <c r="L184" s="606">
        <f t="shared" si="86"/>
        <v>0</v>
      </c>
      <c r="M184" s="555">
        <f t="shared" si="87"/>
        <v>0</v>
      </c>
      <c r="N184" s="575"/>
      <c r="O184" s="575"/>
      <c r="P184" s="575"/>
      <c r="Q184" s="575"/>
      <c r="R184" s="575"/>
      <c r="S184" s="575"/>
      <c r="T184" s="575"/>
      <c r="U184" s="575"/>
      <c r="V184" s="575"/>
      <c r="W184" s="575"/>
      <c r="X184" s="557">
        <f t="shared" si="84"/>
        <v>0</v>
      </c>
      <c r="Y184" s="558">
        <f t="shared" si="88"/>
        <v>0</v>
      </c>
      <c r="Z184" s="559"/>
      <c r="AA184" s="576"/>
      <c r="AB184" s="577"/>
      <c r="AC184" s="577"/>
      <c r="AD184" s="577"/>
      <c r="AE184" s="679"/>
      <c r="AF184" s="675">
        <f t="shared" si="89"/>
        <v>0</v>
      </c>
      <c r="AG184" s="603">
        <f t="shared" si="90"/>
        <v>0</v>
      </c>
      <c r="AH184" s="603">
        <f t="shared" si="91"/>
        <v>0</v>
      </c>
      <c r="AI184" s="603">
        <f t="shared" si="92"/>
        <v>0</v>
      </c>
      <c r="AJ184" s="676">
        <f t="shared" si="93"/>
        <v>0</v>
      </c>
      <c r="AK184" s="680"/>
      <c r="AL184" s="581"/>
      <c r="AM184" s="581"/>
      <c r="AN184" s="581"/>
      <c r="AO184" s="581"/>
      <c r="AP184" s="681"/>
      <c r="AQ184" s="1014">
        <f t="shared" si="94"/>
        <v>0</v>
      </c>
      <c r="AR184" s="329"/>
      <c r="AS184" s="329"/>
      <c r="AT184" s="1021">
        <f t="shared" si="85"/>
        <v>0</v>
      </c>
      <c r="AU184" s="329"/>
    </row>
    <row r="185" spans="1:47" x14ac:dyDescent="0.25">
      <c r="A185" s="567"/>
      <c r="B185" s="568"/>
      <c r="C185" s="569"/>
      <c r="D185" s="569"/>
      <c r="E185" s="570">
        <f t="shared" si="83"/>
        <v>0</v>
      </c>
      <c r="F185" s="571"/>
      <c r="G185" s="845"/>
      <c r="H185" s="669"/>
      <c r="I185" s="573"/>
      <c r="J185" s="573"/>
      <c r="K185" s="574"/>
      <c r="L185" s="606">
        <f t="shared" si="86"/>
        <v>0</v>
      </c>
      <c r="M185" s="555">
        <f t="shared" si="87"/>
        <v>0</v>
      </c>
      <c r="N185" s="575"/>
      <c r="O185" s="575"/>
      <c r="P185" s="575"/>
      <c r="Q185" s="575"/>
      <c r="R185" s="575"/>
      <c r="S185" s="575"/>
      <c r="T185" s="575"/>
      <c r="U185" s="575"/>
      <c r="V185" s="575"/>
      <c r="W185" s="575"/>
      <c r="X185" s="557">
        <f t="shared" si="84"/>
        <v>0</v>
      </c>
      <c r="Y185" s="558">
        <f t="shared" si="88"/>
        <v>0</v>
      </c>
      <c r="Z185" s="559"/>
      <c r="AA185" s="576"/>
      <c r="AB185" s="577"/>
      <c r="AC185" s="577"/>
      <c r="AD185" s="577"/>
      <c r="AE185" s="679"/>
      <c r="AF185" s="675">
        <f t="shared" si="89"/>
        <v>0</v>
      </c>
      <c r="AG185" s="603">
        <f t="shared" si="90"/>
        <v>0</v>
      </c>
      <c r="AH185" s="603">
        <f t="shared" si="91"/>
        <v>0</v>
      </c>
      <c r="AI185" s="603">
        <f t="shared" si="92"/>
        <v>0</v>
      </c>
      <c r="AJ185" s="676">
        <f t="shared" si="93"/>
        <v>0</v>
      </c>
      <c r="AK185" s="680"/>
      <c r="AL185" s="581"/>
      <c r="AM185" s="581"/>
      <c r="AN185" s="581"/>
      <c r="AO185" s="581"/>
      <c r="AP185" s="681"/>
      <c r="AQ185" s="1014">
        <f t="shared" si="94"/>
        <v>0</v>
      </c>
      <c r="AR185" s="329"/>
      <c r="AS185" s="329"/>
      <c r="AT185" s="1021">
        <f t="shared" si="85"/>
        <v>0</v>
      </c>
      <c r="AU185" s="329"/>
    </row>
    <row r="186" spans="1:47" x14ac:dyDescent="0.25">
      <c r="A186" s="567"/>
      <c r="B186" s="568"/>
      <c r="C186" s="569"/>
      <c r="D186" s="569"/>
      <c r="E186" s="570">
        <f t="shared" si="83"/>
        <v>0</v>
      </c>
      <c r="F186" s="571"/>
      <c r="G186" s="845"/>
      <c r="H186" s="669"/>
      <c r="I186" s="573"/>
      <c r="J186" s="573"/>
      <c r="K186" s="574"/>
      <c r="L186" s="606">
        <f t="shared" si="86"/>
        <v>0</v>
      </c>
      <c r="M186" s="555">
        <f t="shared" si="87"/>
        <v>0</v>
      </c>
      <c r="N186" s="575"/>
      <c r="O186" s="575"/>
      <c r="P186" s="575"/>
      <c r="Q186" s="575"/>
      <c r="R186" s="575"/>
      <c r="S186" s="575"/>
      <c r="T186" s="575"/>
      <c r="U186" s="575"/>
      <c r="V186" s="575"/>
      <c r="W186" s="575"/>
      <c r="X186" s="557">
        <f t="shared" si="84"/>
        <v>0</v>
      </c>
      <c r="Y186" s="558">
        <f t="shared" si="88"/>
        <v>0</v>
      </c>
      <c r="Z186" s="559"/>
      <c r="AA186" s="576"/>
      <c r="AB186" s="577"/>
      <c r="AC186" s="577"/>
      <c r="AD186" s="577"/>
      <c r="AE186" s="679"/>
      <c r="AF186" s="675">
        <f t="shared" si="89"/>
        <v>0</v>
      </c>
      <c r="AG186" s="603">
        <f t="shared" si="90"/>
        <v>0</v>
      </c>
      <c r="AH186" s="603">
        <f t="shared" si="91"/>
        <v>0</v>
      </c>
      <c r="AI186" s="603">
        <f t="shared" si="92"/>
        <v>0</v>
      </c>
      <c r="AJ186" s="676">
        <f t="shared" si="93"/>
        <v>0</v>
      </c>
      <c r="AK186" s="680"/>
      <c r="AL186" s="581"/>
      <c r="AM186" s="581"/>
      <c r="AN186" s="581"/>
      <c r="AO186" s="581"/>
      <c r="AP186" s="681"/>
      <c r="AQ186" s="1014">
        <f t="shared" si="94"/>
        <v>0</v>
      </c>
      <c r="AR186" s="329"/>
      <c r="AS186" s="329"/>
      <c r="AT186" s="1021">
        <f t="shared" si="85"/>
        <v>0</v>
      </c>
      <c r="AU186" s="329"/>
    </row>
    <row r="187" spans="1:47" x14ac:dyDescent="0.25">
      <c r="A187" s="567"/>
      <c r="B187" s="568"/>
      <c r="C187" s="569"/>
      <c r="D187" s="569"/>
      <c r="E187" s="570">
        <f t="shared" si="83"/>
        <v>0</v>
      </c>
      <c r="F187" s="571"/>
      <c r="G187" s="845"/>
      <c r="H187" s="669"/>
      <c r="I187" s="573"/>
      <c r="J187" s="573"/>
      <c r="K187" s="574"/>
      <c r="L187" s="606">
        <f t="shared" si="86"/>
        <v>0</v>
      </c>
      <c r="M187" s="555">
        <f t="shared" si="87"/>
        <v>0</v>
      </c>
      <c r="N187" s="575"/>
      <c r="O187" s="575"/>
      <c r="P187" s="575"/>
      <c r="Q187" s="575"/>
      <c r="R187" s="575"/>
      <c r="S187" s="575"/>
      <c r="T187" s="575"/>
      <c r="U187" s="575"/>
      <c r="V187" s="575"/>
      <c r="W187" s="575"/>
      <c r="X187" s="557">
        <f t="shared" si="84"/>
        <v>0</v>
      </c>
      <c r="Y187" s="558">
        <f t="shared" si="88"/>
        <v>0</v>
      </c>
      <c r="Z187" s="559"/>
      <c r="AA187" s="576"/>
      <c r="AB187" s="577"/>
      <c r="AC187" s="577"/>
      <c r="AD187" s="577"/>
      <c r="AE187" s="679"/>
      <c r="AF187" s="675">
        <f t="shared" si="89"/>
        <v>0</v>
      </c>
      <c r="AG187" s="603">
        <f t="shared" si="90"/>
        <v>0</v>
      </c>
      <c r="AH187" s="603">
        <f t="shared" si="91"/>
        <v>0</v>
      </c>
      <c r="AI187" s="603">
        <f t="shared" si="92"/>
        <v>0</v>
      </c>
      <c r="AJ187" s="676">
        <f t="shared" si="93"/>
        <v>0</v>
      </c>
      <c r="AK187" s="680"/>
      <c r="AL187" s="581"/>
      <c r="AM187" s="581"/>
      <c r="AN187" s="581"/>
      <c r="AO187" s="581"/>
      <c r="AP187" s="681"/>
      <c r="AQ187" s="1014">
        <f t="shared" si="94"/>
        <v>0</v>
      </c>
      <c r="AR187" s="329"/>
      <c r="AS187" s="329"/>
      <c r="AT187" s="1021">
        <f t="shared" si="85"/>
        <v>0</v>
      </c>
      <c r="AU187" s="329"/>
    </row>
    <row r="188" spans="1:47" x14ac:dyDescent="0.25">
      <c r="A188" s="567"/>
      <c r="B188" s="568"/>
      <c r="C188" s="569"/>
      <c r="D188" s="569"/>
      <c r="E188" s="570">
        <f t="shared" si="83"/>
        <v>0</v>
      </c>
      <c r="F188" s="571"/>
      <c r="G188" s="845"/>
      <c r="H188" s="669"/>
      <c r="I188" s="573"/>
      <c r="J188" s="573"/>
      <c r="K188" s="574"/>
      <c r="L188" s="606">
        <f t="shared" si="86"/>
        <v>0</v>
      </c>
      <c r="M188" s="555">
        <f t="shared" si="87"/>
        <v>0</v>
      </c>
      <c r="N188" s="575"/>
      <c r="O188" s="575"/>
      <c r="P188" s="575"/>
      <c r="Q188" s="575"/>
      <c r="R188" s="575"/>
      <c r="S188" s="575"/>
      <c r="T188" s="575"/>
      <c r="U188" s="575"/>
      <c r="V188" s="575"/>
      <c r="W188" s="575"/>
      <c r="X188" s="557">
        <f t="shared" si="84"/>
        <v>0</v>
      </c>
      <c r="Y188" s="558">
        <f t="shared" si="88"/>
        <v>0</v>
      </c>
      <c r="Z188" s="559"/>
      <c r="AA188" s="576"/>
      <c r="AB188" s="577"/>
      <c r="AC188" s="577"/>
      <c r="AD188" s="577"/>
      <c r="AE188" s="679"/>
      <c r="AF188" s="675">
        <f t="shared" si="89"/>
        <v>0</v>
      </c>
      <c r="AG188" s="603">
        <f t="shared" si="90"/>
        <v>0</v>
      </c>
      <c r="AH188" s="603">
        <f t="shared" si="91"/>
        <v>0</v>
      </c>
      <c r="AI188" s="603">
        <f t="shared" si="92"/>
        <v>0</v>
      </c>
      <c r="AJ188" s="676">
        <f t="shared" si="93"/>
        <v>0</v>
      </c>
      <c r="AK188" s="680"/>
      <c r="AL188" s="581"/>
      <c r="AM188" s="581"/>
      <c r="AN188" s="581"/>
      <c r="AO188" s="581"/>
      <c r="AP188" s="681"/>
      <c r="AQ188" s="1014">
        <f t="shared" si="94"/>
        <v>0</v>
      </c>
      <c r="AR188" s="329"/>
      <c r="AS188" s="329"/>
      <c r="AT188" s="1021">
        <f t="shared" si="85"/>
        <v>0</v>
      </c>
      <c r="AU188" s="329"/>
    </row>
    <row r="189" spans="1:47" ht="14.4" thickBot="1" x14ac:dyDescent="0.3">
      <c r="A189" s="567"/>
      <c r="B189" s="568"/>
      <c r="C189" s="569"/>
      <c r="D189" s="569"/>
      <c r="E189" s="570">
        <f t="shared" si="83"/>
        <v>0</v>
      </c>
      <c r="F189" s="571"/>
      <c r="G189" s="845"/>
      <c r="H189" s="669"/>
      <c r="I189" s="573"/>
      <c r="J189" s="573"/>
      <c r="K189" s="574"/>
      <c r="L189" s="606">
        <f t="shared" si="86"/>
        <v>0</v>
      </c>
      <c r="M189" s="555">
        <f t="shared" si="87"/>
        <v>0</v>
      </c>
      <c r="N189" s="575"/>
      <c r="O189" s="575"/>
      <c r="P189" s="575"/>
      <c r="Q189" s="575"/>
      <c r="R189" s="575"/>
      <c r="S189" s="575"/>
      <c r="T189" s="575"/>
      <c r="U189" s="575"/>
      <c r="V189" s="575"/>
      <c r="W189" s="575"/>
      <c r="X189" s="557">
        <f t="shared" si="84"/>
        <v>0</v>
      </c>
      <c r="Y189" s="558">
        <f t="shared" si="88"/>
        <v>0</v>
      </c>
      <c r="Z189" s="559"/>
      <c r="AA189" s="576"/>
      <c r="AB189" s="577"/>
      <c r="AC189" s="577"/>
      <c r="AD189" s="577"/>
      <c r="AE189" s="679"/>
      <c r="AF189" s="675">
        <f t="shared" si="89"/>
        <v>0</v>
      </c>
      <c r="AG189" s="603">
        <f t="shared" si="90"/>
        <v>0</v>
      </c>
      <c r="AH189" s="603">
        <f t="shared" si="91"/>
        <v>0</v>
      </c>
      <c r="AI189" s="603">
        <f t="shared" si="92"/>
        <v>0</v>
      </c>
      <c r="AJ189" s="676">
        <f t="shared" si="93"/>
        <v>0</v>
      </c>
      <c r="AK189" s="680"/>
      <c r="AL189" s="581"/>
      <c r="AM189" s="581"/>
      <c r="AN189" s="581"/>
      <c r="AO189" s="581"/>
      <c r="AP189" s="681"/>
      <c r="AQ189" s="1014">
        <f t="shared" si="94"/>
        <v>0</v>
      </c>
      <c r="AR189" s="329"/>
      <c r="AS189" s="329"/>
      <c r="AT189" s="1021">
        <f t="shared" si="85"/>
        <v>0</v>
      </c>
      <c r="AU189" s="329"/>
    </row>
    <row r="190" spans="1:47" ht="40.200000000000003" thickBot="1" x14ac:dyDescent="0.3">
      <c r="A190" s="651" t="s">
        <v>494</v>
      </c>
      <c r="B190" s="1456">
        <f>SUM(B170:B189)</f>
        <v>0</v>
      </c>
      <c r="C190" s="593">
        <f>IF(ISERROR(SUM(C170:C189)/B190),0,(SUM(C170:C189)/B190))</f>
        <v>0</v>
      </c>
      <c r="D190" s="594">
        <f>SUM(D170:D189)</f>
        <v>0</v>
      </c>
      <c r="E190" s="595">
        <f>IFERROR(D190/B190,0)</f>
        <v>0</v>
      </c>
      <c r="F190" s="1784" t="s">
        <v>490</v>
      </c>
      <c r="G190" s="1785"/>
      <c r="H190" s="1459">
        <f>SUM(H170:H189)</f>
        <v>0</v>
      </c>
      <c r="I190" s="316"/>
      <c r="J190" s="316"/>
      <c r="K190" s="316"/>
      <c r="L190" s="316"/>
      <c r="M190" s="593">
        <f>IF(ISERROR(SUM(M170:M189)/H190),0,(SUM(M170:M189)/H190))</f>
        <v>0</v>
      </c>
      <c r="N190" s="593">
        <f>IFERROR((SUM(N170:N189)/H190),0)</f>
        <v>0</v>
      </c>
      <c r="O190" s="593">
        <f>IFERROR((SUM(O170:O189)/H190),0)</f>
        <v>0</v>
      </c>
      <c r="P190" s="593">
        <f>IFERROR((SUM(P170:P189)/H190),0)</f>
        <v>0</v>
      </c>
      <c r="Q190" s="593">
        <f>IFERROR((SUM(Q170:Q189)/H190),0)</f>
        <v>0</v>
      </c>
      <c r="R190" s="593">
        <f>IFERROR((SUM(R170:R189)/H190),0)</f>
        <v>0</v>
      </c>
      <c r="S190" s="593">
        <f>IFERROR((SUM(S170:S189)/H190),0)</f>
        <v>0</v>
      </c>
      <c r="T190" s="593">
        <f>IFERROR((SUM(T170:T189)/H190),0)</f>
        <v>0</v>
      </c>
      <c r="U190" s="593">
        <f>IFERROR((SUM(U170:U189)/H190),0)</f>
        <v>0</v>
      </c>
      <c r="V190" s="593">
        <f>IFERROR((SUM(V170:V189)/H190),0)</f>
        <v>0</v>
      </c>
      <c r="W190" s="593">
        <f>IFERROR((SUM(W170:W189)/H190),0)</f>
        <v>0</v>
      </c>
      <c r="X190" s="597">
        <f>SUM(X170:X189)</f>
        <v>0</v>
      </c>
      <c r="Y190" s="598">
        <f>IFERROR(SUM(X190/H190),0)</f>
        <v>0</v>
      </c>
      <c r="Z190" s="653"/>
      <c r="AA190" s="654"/>
      <c r="AB190" s="654"/>
      <c r="AC190" s="654"/>
      <c r="AD190" s="654"/>
      <c r="AE190" s="654"/>
      <c r="AF190" s="654"/>
      <c r="AG190" s="654"/>
      <c r="AH190" s="654"/>
      <c r="AI190" s="654"/>
      <c r="AJ190" s="654"/>
      <c r="AK190" s="654"/>
      <c r="AL190" s="654"/>
      <c r="AM190" s="654"/>
      <c r="AN190" s="654"/>
      <c r="AO190" s="654"/>
      <c r="AP190" s="655"/>
      <c r="AQ190" s="655"/>
    </row>
    <row r="191" spans="1:47" x14ac:dyDescent="0.25">
      <c r="F191" s="538"/>
      <c r="G191" s="254"/>
      <c r="X191" s="687"/>
      <c r="Y191" s="706"/>
      <c r="Z191" s="707"/>
      <c r="AA191" s="708"/>
      <c r="AB191" s="708"/>
      <c r="AC191" s="708"/>
      <c r="AD191" s="708"/>
      <c r="AE191" s="708"/>
      <c r="AF191" s="708"/>
      <c r="AG191" s="708"/>
      <c r="AH191" s="708"/>
      <c r="AI191" s="708"/>
      <c r="AJ191" s="708"/>
      <c r="AK191" s="708"/>
      <c r="AL191" s="708"/>
      <c r="AM191" s="708"/>
      <c r="AN191" s="708"/>
      <c r="AO191" s="708"/>
      <c r="AP191" s="709"/>
      <c r="AQ191" s="709"/>
    </row>
    <row r="192" spans="1:47" x14ac:dyDescent="0.25">
      <c r="A192" s="719" t="s">
        <v>495</v>
      </c>
      <c r="F192" s="719" t="s">
        <v>491</v>
      </c>
      <c r="G192" s="144"/>
      <c r="M192" s="494"/>
      <c r="N192" s="494"/>
      <c r="P192" s="692"/>
      <c r="Q192" s="692"/>
      <c r="R192" s="692"/>
      <c r="S192" s="692"/>
      <c r="T192" s="692"/>
      <c r="U192" s="692"/>
      <c r="V192" s="692"/>
      <c r="W192" s="692"/>
      <c r="X192" s="692"/>
      <c r="Y192" s="693"/>
      <c r="Z192" s="694"/>
      <c r="AA192" s="626"/>
      <c r="AB192" s="626"/>
      <c r="AC192" s="626"/>
      <c r="AD192" s="626"/>
      <c r="AE192" s="626"/>
      <c r="AF192" s="626"/>
      <c r="AG192" s="626"/>
      <c r="AH192" s="626"/>
      <c r="AI192" s="626"/>
      <c r="AJ192" s="626"/>
      <c r="AK192" s="626"/>
      <c r="AL192" s="626"/>
      <c r="AM192" s="626"/>
      <c r="AN192" s="626"/>
      <c r="AO192" s="626"/>
      <c r="AP192" s="629"/>
      <c r="AQ192" s="629"/>
    </row>
    <row r="193" spans="1:47" x14ac:dyDescent="0.25">
      <c r="A193" s="567"/>
      <c r="B193" s="568"/>
      <c r="C193" s="569"/>
      <c r="D193" s="569"/>
      <c r="E193" s="570">
        <f t="shared" ref="E193:E213" si="95">IFERROR(D193/B193,0)</f>
        <v>0</v>
      </c>
      <c r="F193" s="571"/>
      <c r="G193" s="845"/>
      <c r="H193" s="669"/>
      <c r="I193" s="573"/>
      <c r="J193" s="573"/>
      <c r="K193" s="574"/>
      <c r="L193" s="670">
        <f>IFERROR(IF($K$24="VK",K193,K193/H193),0)</f>
        <v>0</v>
      </c>
      <c r="M193" s="671">
        <f>IFERROR(L193*H193,"")</f>
        <v>0</v>
      </c>
      <c r="N193" s="575"/>
      <c r="O193" s="575"/>
      <c r="P193" s="575"/>
      <c r="Q193" s="575"/>
      <c r="R193" s="575"/>
      <c r="S193" s="575"/>
      <c r="T193" s="575"/>
      <c r="U193" s="575"/>
      <c r="V193" s="575"/>
      <c r="W193" s="575"/>
      <c r="X193" s="557">
        <f t="shared" ref="X193:X213" si="96">IF(AND(H193&gt;0,F193&lt;&gt;"GfB"),(SUM(M193:P193,R193,V193,Q193)*12+(T193+U193))*(100+$P$17+$P$18)%+((S193+W193)*12),IF(AND(H193&gt;0,F193="GfB"),(SUM(M193:P193,R193,V193,Q193)*12+(T193+U193))*(100+$P$20+$P$18)%+((S193+W193)*12),0))</f>
        <v>0</v>
      </c>
      <c r="Y193" s="558">
        <f>IF(ISERROR(X193/H193),0,(X193/H193))</f>
        <v>0</v>
      </c>
      <c r="Z193" s="559"/>
      <c r="AA193" s="560"/>
      <c r="AB193" s="561"/>
      <c r="AC193" s="561"/>
      <c r="AD193" s="561"/>
      <c r="AE193" s="561"/>
      <c r="AF193" s="562"/>
      <c r="AG193" s="563"/>
      <c r="AH193" s="563"/>
      <c r="AI193" s="563"/>
      <c r="AJ193" s="695"/>
      <c r="AK193" s="696">
        <f>(IF(AND($H193&gt;0,$K193&gt;0),($M193+$N193),0))</f>
        <v>0</v>
      </c>
      <c r="AL193" s="604">
        <f>(IF(AND($H193&gt;0,$K193&gt;0),$O193,0))</f>
        <v>0</v>
      </c>
      <c r="AM193" s="604">
        <f>(IF(AND($H193&gt;0,$K193&gt;0),$P193,0))</f>
        <v>0</v>
      </c>
      <c r="AN193" s="604">
        <f>(IF(AND($H193&gt;0,$K193&gt;0),$Q193,0))</f>
        <v>0</v>
      </c>
      <c r="AO193" s="697">
        <f>(IF(AND($H193&gt;0,$K193&gt;0),(($T193+$U193)/12),0))</f>
        <v>0</v>
      </c>
      <c r="AP193" s="698"/>
      <c r="AQ193" s="699"/>
      <c r="AR193" s="1022">
        <f t="shared" ref="AR193:AR213" si="97">IF(AND($H193&gt;0,$K193&gt;0),$H193,0)</f>
        <v>0</v>
      </c>
      <c r="AS193" s="329"/>
      <c r="AT193" s="329"/>
      <c r="AU193" s="1013">
        <f t="shared" ref="AU193:AU213" si="98">IF(AND($H193&gt;0,$K193&gt;0),$X193,0)</f>
        <v>0</v>
      </c>
    </row>
    <row r="194" spans="1:47" x14ac:dyDescent="0.25">
      <c r="A194" s="567"/>
      <c r="B194" s="568"/>
      <c r="C194" s="569"/>
      <c r="D194" s="569"/>
      <c r="E194" s="570">
        <f t="shared" si="95"/>
        <v>0</v>
      </c>
      <c r="F194" s="571"/>
      <c r="G194" s="845"/>
      <c r="H194" s="669"/>
      <c r="I194" s="573"/>
      <c r="J194" s="573"/>
      <c r="K194" s="574"/>
      <c r="L194" s="606">
        <f t="shared" ref="L194:L213" si="99">IFERROR(IF($K$24="VK",K194,K194/H194),0)</f>
        <v>0</v>
      </c>
      <c r="M194" s="555">
        <f t="shared" ref="M194:M213" si="100">IFERROR(L194*H194,"")</f>
        <v>0</v>
      </c>
      <c r="N194" s="575"/>
      <c r="O194" s="575"/>
      <c r="P194" s="575"/>
      <c r="Q194" s="575"/>
      <c r="R194" s="575"/>
      <c r="S194" s="575"/>
      <c r="T194" s="575"/>
      <c r="U194" s="575"/>
      <c r="V194" s="575"/>
      <c r="W194" s="575"/>
      <c r="X194" s="557">
        <f t="shared" si="96"/>
        <v>0</v>
      </c>
      <c r="Y194" s="558">
        <f t="shared" ref="Y194:Y213" si="101">IF(ISERROR(X194/H194),0,(X194/H194))</f>
        <v>0</v>
      </c>
      <c r="Z194" s="559"/>
      <c r="AA194" s="576"/>
      <c r="AB194" s="577"/>
      <c r="AC194" s="577"/>
      <c r="AD194" s="577"/>
      <c r="AE194" s="577"/>
      <c r="AF194" s="578"/>
      <c r="AG194" s="579"/>
      <c r="AH194" s="579"/>
      <c r="AI194" s="579"/>
      <c r="AJ194" s="700"/>
      <c r="AK194" s="696">
        <f t="shared" ref="AK194:AK213" si="102">(IF(AND($H194&gt;0,$K194&gt;0),($M194+$N194),0))</f>
        <v>0</v>
      </c>
      <c r="AL194" s="604">
        <f t="shared" ref="AL194:AL213" si="103">(IF(AND($H194&gt;0,$K194&gt;0),$O194,0))</f>
        <v>0</v>
      </c>
      <c r="AM194" s="604">
        <f t="shared" ref="AM194:AM213" si="104">(IF(AND($H194&gt;0,$K194&gt;0),$P194,0))</f>
        <v>0</v>
      </c>
      <c r="AN194" s="604">
        <f t="shared" ref="AN194:AN213" si="105">(IF(AND($H194&gt;0,$K194&gt;0),$Q194,0))</f>
        <v>0</v>
      </c>
      <c r="AO194" s="697">
        <f t="shared" ref="AO194:AO213" si="106">(IF(AND($H194&gt;0,$K194&gt;0),(($T194+$U194)/12),0))</f>
        <v>0</v>
      </c>
      <c r="AP194" s="701"/>
      <c r="AQ194" s="702"/>
      <c r="AR194" s="1022">
        <f t="shared" si="97"/>
        <v>0</v>
      </c>
      <c r="AS194" s="329"/>
      <c r="AT194" s="329"/>
      <c r="AU194" s="1013">
        <f t="shared" si="98"/>
        <v>0</v>
      </c>
    </row>
    <row r="195" spans="1:47" x14ac:dyDescent="0.25">
      <c r="A195" s="567"/>
      <c r="B195" s="568"/>
      <c r="C195" s="569"/>
      <c r="D195" s="569"/>
      <c r="E195" s="570">
        <f t="shared" si="95"/>
        <v>0</v>
      </c>
      <c r="F195" s="571"/>
      <c r="G195" s="845"/>
      <c r="H195" s="669"/>
      <c r="I195" s="573"/>
      <c r="J195" s="573"/>
      <c r="K195" s="574"/>
      <c r="L195" s="606">
        <f t="shared" si="99"/>
        <v>0</v>
      </c>
      <c r="M195" s="555">
        <f t="shared" si="100"/>
        <v>0</v>
      </c>
      <c r="N195" s="575"/>
      <c r="O195" s="575"/>
      <c r="P195" s="575"/>
      <c r="Q195" s="575"/>
      <c r="R195" s="575"/>
      <c r="S195" s="575"/>
      <c r="T195" s="575"/>
      <c r="U195" s="575"/>
      <c r="V195" s="575"/>
      <c r="W195" s="575"/>
      <c r="X195" s="557">
        <f t="shared" si="96"/>
        <v>0</v>
      </c>
      <c r="Y195" s="558">
        <f t="shared" si="101"/>
        <v>0</v>
      </c>
      <c r="Z195" s="559"/>
      <c r="AA195" s="576"/>
      <c r="AB195" s="577"/>
      <c r="AC195" s="577"/>
      <c r="AD195" s="577"/>
      <c r="AE195" s="577"/>
      <c r="AF195" s="578"/>
      <c r="AG195" s="579"/>
      <c r="AH195" s="579"/>
      <c r="AI195" s="579"/>
      <c r="AJ195" s="700"/>
      <c r="AK195" s="696">
        <f t="shared" si="102"/>
        <v>0</v>
      </c>
      <c r="AL195" s="604">
        <f t="shared" si="103"/>
        <v>0</v>
      </c>
      <c r="AM195" s="604">
        <f t="shared" si="104"/>
        <v>0</v>
      </c>
      <c r="AN195" s="604">
        <f t="shared" si="105"/>
        <v>0</v>
      </c>
      <c r="AO195" s="697">
        <f t="shared" si="106"/>
        <v>0</v>
      </c>
      <c r="AP195" s="701"/>
      <c r="AQ195" s="702"/>
      <c r="AR195" s="1022">
        <f t="shared" si="97"/>
        <v>0</v>
      </c>
      <c r="AS195" s="329"/>
      <c r="AT195" s="329"/>
      <c r="AU195" s="1013">
        <f t="shared" si="98"/>
        <v>0</v>
      </c>
    </row>
    <row r="196" spans="1:47" x14ac:dyDescent="0.25">
      <c r="A196" s="567"/>
      <c r="B196" s="568"/>
      <c r="C196" s="569"/>
      <c r="D196" s="569"/>
      <c r="E196" s="570">
        <f t="shared" si="95"/>
        <v>0</v>
      </c>
      <c r="F196" s="571"/>
      <c r="G196" s="845"/>
      <c r="H196" s="669"/>
      <c r="I196" s="573"/>
      <c r="J196" s="573"/>
      <c r="K196" s="574"/>
      <c r="L196" s="606">
        <f t="shared" si="99"/>
        <v>0</v>
      </c>
      <c r="M196" s="555">
        <f t="shared" si="100"/>
        <v>0</v>
      </c>
      <c r="N196" s="575"/>
      <c r="O196" s="575"/>
      <c r="P196" s="575"/>
      <c r="Q196" s="575"/>
      <c r="R196" s="575"/>
      <c r="S196" s="575"/>
      <c r="T196" s="575"/>
      <c r="U196" s="575"/>
      <c r="V196" s="575"/>
      <c r="W196" s="575"/>
      <c r="X196" s="557">
        <f t="shared" si="96"/>
        <v>0</v>
      </c>
      <c r="Y196" s="558">
        <f t="shared" si="101"/>
        <v>0</v>
      </c>
      <c r="Z196" s="559"/>
      <c r="AA196" s="576"/>
      <c r="AB196" s="577"/>
      <c r="AC196" s="577"/>
      <c r="AD196" s="577"/>
      <c r="AE196" s="577"/>
      <c r="AF196" s="578"/>
      <c r="AG196" s="579"/>
      <c r="AH196" s="579"/>
      <c r="AI196" s="579"/>
      <c r="AJ196" s="700"/>
      <c r="AK196" s="696">
        <f t="shared" si="102"/>
        <v>0</v>
      </c>
      <c r="AL196" s="604">
        <f t="shared" si="103"/>
        <v>0</v>
      </c>
      <c r="AM196" s="604">
        <f t="shared" si="104"/>
        <v>0</v>
      </c>
      <c r="AN196" s="604">
        <f t="shared" si="105"/>
        <v>0</v>
      </c>
      <c r="AO196" s="697">
        <f t="shared" si="106"/>
        <v>0</v>
      </c>
      <c r="AP196" s="701"/>
      <c r="AQ196" s="702"/>
      <c r="AR196" s="1022">
        <f t="shared" si="97"/>
        <v>0</v>
      </c>
      <c r="AS196" s="329"/>
      <c r="AT196" s="329"/>
      <c r="AU196" s="1013">
        <f t="shared" si="98"/>
        <v>0</v>
      </c>
    </row>
    <row r="197" spans="1:47" x14ac:dyDescent="0.25">
      <c r="A197" s="567"/>
      <c r="B197" s="568"/>
      <c r="C197" s="569"/>
      <c r="D197" s="569"/>
      <c r="E197" s="570">
        <f t="shared" si="95"/>
        <v>0</v>
      </c>
      <c r="F197" s="571"/>
      <c r="G197" s="845"/>
      <c r="H197" s="669"/>
      <c r="I197" s="573"/>
      <c r="J197" s="573"/>
      <c r="K197" s="574"/>
      <c r="L197" s="606">
        <f t="shared" si="99"/>
        <v>0</v>
      </c>
      <c r="M197" s="555">
        <f t="shared" si="100"/>
        <v>0</v>
      </c>
      <c r="N197" s="575"/>
      <c r="O197" s="575"/>
      <c r="P197" s="575"/>
      <c r="Q197" s="575"/>
      <c r="R197" s="575"/>
      <c r="S197" s="575"/>
      <c r="T197" s="575"/>
      <c r="U197" s="575"/>
      <c r="V197" s="575"/>
      <c r="W197" s="575"/>
      <c r="X197" s="557">
        <f t="shared" si="96"/>
        <v>0</v>
      </c>
      <c r="Y197" s="558">
        <f t="shared" si="101"/>
        <v>0</v>
      </c>
      <c r="Z197" s="559"/>
      <c r="AA197" s="576"/>
      <c r="AB197" s="577"/>
      <c r="AC197" s="577"/>
      <c r="AD197" s="577"/>
      <c r="AE197" s="577"/>
      <c r="AF197" s="578"/>
      <c r="AG197" s="579"/>
      <c r="AH197" s="579"/>
      <c r="AI197" s="579"/>
      <c r="AJ197" s="700"/>
      <c r="AK197" s="696">
        <f t="shared" si="102"/>
        <v>0</v>
      </c>
      <c r="AL197" s="604">
        <f t="shared" si="103"/>
        <v>0</v>
      </c>
      <c r="AM197" s="604">
        <f t="shared" si="104"/>
        <v>0</v>
      </c>
      <c r="AN197" s="604">
        <f t="shared" si="105"/>
        <v>0</v>
      </c>
      <c r="AO197" s="697">
        <f t="shared" si="106"/>
        <v>0</v>
      </c>
      <c r="AP197" s="701"/>
      <c r="AQ197" s="702"/>
      <c r="AR197" s="1022">
        <f t="shared" si="97"/>
        <v>0</v>
      </c>
      <c r="AS197" s="329"/>
      <c r="AT197" s="329"/>
      <c r="AU197" s="1013">
        <f t="shared" si="98"/>
        <v>0</v>
      </c>
    </row>
    <row r="198" spans="1:47" x14ac:dyDescent="0.25">
      <c r="A198" s="567"/>
      <c r="B198" s="568"/>
      <c r="C198" s="569"/>
      <c r="D198" s="569"/>
      <c r="E198" s="570">
        <f t="shared" si="95"/>
        <v>0</v>
      </c>
      <c r="F198" s="571"/>
      <c r="G198" s="845"/>
      <c r="H198" s="669"/>
      <c r="I198" s="573"/>
      <c r="J198" s="573"/>
      <c r="K198" s="574"/>
      <c r="L198" s="606">
        <f t="shared" si="99"/>
        <v>0</v>
      </c>
      <c r="M198" s="555">
        <f t="shared" si="100"/>
        <v>0</v>
      </c>
      <c r="N198" s="575"/>
      <c r="O198" s="575"/>
      <c r="P198" s="575"/>
      <c r="Q198" s="575"/>
      <c r="R198" s="575"/>
      <c r="S198" s="575"/>
      <c r="T198" s="575"/>
      <c r="U198" s="575"/>
      <c r="V198" s="575"/>
      <c r="W198" s="575"/>
      <c r="X198" s="557">
        <f t="shared" si="96"/>
        <v>0</v>
      </c>
      <c r="Y198" s="558">
        <f t="shared" si="101"/>
        <v>0</v>
      </c>
      <c r="Z198" s="559"/>
      <c r="AA198" s="576"/>
      <c r="AB198" s="577"/>
      <c r="AC198" s="577"/>
      <c r="AD198" s="577"/>
      <c r="AE198" s="577"/>
      <c r="AF198" s="578"/>
      <c r="AG198" s="579"/>
      <c r="AH198" s="579"/>
      <c r="AI198" s="579"/>
      <c r="AJ198" s="700"/>
      <c r="AK198" s="696">
        <f t="shared" si="102"/>
        <v>0</v>
      </c>
      <c r="AL198" s="604">
        <f t="shared" si="103"/>
        <v>0</v>
      </c>
      <c r="AM198" s="604">
        <f t="shared" si="104"/>
        <v>0</v>
      </c>
      <c r="AN198" s="604">
        <f t="shared" si="105"/>
        <v>0</v>
      </c>
      <c r="AO198" s="697">
        <f t="shared" si="106"/>
        <v>0</v>
      </c>
      <c r="AP198" s="701"/>
      <c r="AQ198" s="702"/>
      <c r="AR198" s="1022">
        <f t="shared" si="97"/>
        <v>0</v>
      </c>
      <c r="AS198" s="329"/>
      <c r="AT198" s="329"/>
      <c r="AU198" s="1013">
        <f t="shared" si="98"/>
        <v>0</v>
      </c>
    </row>
    <row r="199" spans="1:47" x14ac:dyDescent="0.25">
      <c r="A199" s="567"/>
      <c r="B199" s="568"/>
      <c r="C199" s="569"/>
      <c r="D199" s="569"/>
      <c r="E199" s="570">
        <f t="shared" si="95"/>
        <v>0</v>
      </c>
      <c r="F199" s="571"/>
      <c r="G199" s="845"/>
      <c r="H199" s="669"/>
      <c r="I199" s="573"/>
      <c r="J199" s="573"/>
      <c r="K199" s="574"/>
      <c r="L199" s="606">
        <f t="shared" si="99"/>
        <v>0</v>
      </c>
      <c r="M199" s="555">
        <f t="shared" si="100"/>
        <v>0</v>
      </c>
      <c r="N199" s="575"/>
      <c r="O199" s="575"/>
      <c r="P199" s="575"/>
      <c r="Q199" s="575"/>
      <c r="R199" s="575"/>
      <c r="S199" s="575"/>
      <c r="T199" s="575"/>
      <c r="U199" s="575"/>
      <c r="V199" s="575"/>
      <c r="W199" s="575"/>
      <c r="X199" s="557">
        <f t="shared" si="96"/>
        <v>0</v>
      </c>
      <c r="Y199" s="558">
        <f t="shared" si="101"/>
        <v>0</v>
      </c>
      <c r="Z199" s="559"/>
      <c r="AA199" s="576"/>
      <c r="AB199" s="577"/>
      <c r="AC199" s="577"/>
      <c r="AD199" s="577"/>
      <c r="AE199" s="577"/>
      <c r="AF199" s="578"/>
      <c r="AG199" s="579"/>
      <c r="AH199" s="579"/>
      <c r="AI199" s="579"/>
      <c r="AJ199" s="700"/>
      <c r="AK199" s="696">
        <f t="shared" si="102"/>
        <v>0</v>
      </c>
      <c r="AL199" s="604">
        <f t="shared" si="103"/>
        <v>0</v>
      </c>
      <c r="AM199" s="604">
        <f t="shared" si="104"/>
        <v>0</v>
      </c>
      <c r="AN199" s="604">
        <f t="shared" si="105"/>
        <v>0</v>
      </c>
      <c r="AO199" s="697">
        <f t="shared" si="106"/>
        <v>0</v>
      </c>
      <c r="AP199" s="701"/>
      <c r="AQ199" s="702"/>
      <c r="AR199" s="1022">
        <f t="shared" si="97"/>
        <v>0</v>
      </c>
      <c r="AS199" s="329"/>
      <c r="AT199" s="329"/>
      <c r="AU199" s="1013">
        <f t="shared" si="98"/>
        <v>0</v>
      </c>
    </row>
    <row r="200" spans="1:47" x14ac:dyDescent="0.25">
      <c r="A200" s="567"/>
      <c r="B200" s="568"/>
      <c r="C200" s="569"/>
      <c r="D200" s="569"/>
      <c r="E200" s="570">
        <f t="shared" si="95"/>
        <v>0</v>
      </c>
      <c r="F200" s="571"/>
      <c r="G200" s="845"/>
      <c r="H200" s="669"/>
      <c r="I200" s="573"/>
      <c r="J200" s="573"/>
      <c r="K200" s="574"/>
      <c r="L200" s="606">
        <f t="shared" si="99"/>
        <v>0</v>
      </c>
      <c r="M200" s="555">
        <f t="shared" si="100"/>
        <v>0</v>
      </c>
      <c r="N200" s="575"/>
      <c r="O200" s="575"/>
      <c r="P200" s="575"/>
      <c r="Q200" s="575"/>
      <c r="R200" s="575"/>
      <c r="S200" s="575"/>
      <c r="T200" s="575"/>
      <c r="U200" s="575"/>
      <c r="V200" s="575"/>
      <c r="W200" s="575"/>
      <c r="X200" s="557">
        <f t="shared" si="96"/>
        <v>0</v>
      </c>
      <c r="Y200" s="558">
        <f t="shared" si="101"/>
        <v>0</v>
      </c>
      <c r="Z200" s="559"/>
      <c r="AA200" s="576"/>
      <c r="AB200" s="577"/>
      <c r="AC200" s="577"/>
      <c r="AD200" s="577"/>
      <c r="AE200" s="577"/>
      <c r="AF200" s="578"/>
      <c r="AG200" s="579"/>
      <c r="AH200" s="579"/>
      <c r="AI200" s="579"/>
      <c r="AJ200" s="700"/>
      <c r="AK200" s="696">
        <f t="shared" si="102"/>
        <v>0</v>
      </c>
      <c r="AL200" s="604">
        <f t="shared" si="103"/>
        <v>0</v>
      </c>
      <c r="AM200" s="604">
        <f t="shared" si="104"/>
        <v>0</v>
      </c>
      <c r="AN200" s="604">
        <f t="shared" si="105"/>
        <v>0</v>
      </c>
      <c r="AO200" s="697">
        <f t="shared" si="106"/>
        <v>0</v>
      </c>
      <c r="AP200" s="701"/>
      <c r="AQ200" s="702"/>
      <c r="AR200" s="1022">
        <f t="shared" si="97"/>
        <v>0</v>
      </c>
      <c r="AS200" s="329"/>
      <c r="AT200" s="329"/>
      <c r="AU200" s="1013">
        <f t="shared" si="98"/>
        <v>0</v>
      </c>
    </row>
    <row r="201" spans="1:47" x14ac:dyDescent="0.25">
      <c r="A201" s="567"/>
      <c r="B201" s="568"/>
      <c r="C201" s="569"/>
      <c r="D201" s="569"/>
      <c r="E201" s="570">
        <f t="shared" si="95"/>
        <v>0</v>
      </c>
      <c r="F201" s="571"/>
      <c r="G201" s="845"/>
      <c r="H201" s="669"/>
      <c r="I201" s="573"/>
      <c r="J201" s="573"/>
      <c r="K201" s="574"/>
      <c r="L201" s="606">
        <f t="shared" si="99"/>
        <v>0</v>
      </c>
      <c r="M201" s="555">
        <f t="shared" si="100"/>
        <v>0</v>
      </c>
      <c r="N201" s="575"/>
      <c r="O201" s="575"/>
      <c r="P201" s="575"/>
      <c r="Q201" s="575"/>
      <c r="R201" s="575"/>
      <c r="S201" s="575"/>
      <c r="T201" s="575"/>
      <c r="U201" s="575"/>
      <c r="V201" s="575"/>
      <c r="W201" s="575"/>
      <c r="X201" s="557">
        <f t="shared" si="96"/>
        <v>0</v>
      </c>
      <c r="Y201" s="558">
        <f t="shared" si="101"/>
        <v>0</v>
      </c>
      <c r="Z201" s="559"/>
      <c r="AA201" s="576"/>
      <c r="AB201" s="577"/>
      <c r="AC201" s="577"/>
      <c r="AD201" s="577"/>
      <c r="AE201" s="577"/>
      <c r="AF201" s="578"/>
      <c r="AG201" s="579"/>
      <c r="AH201" s="579"/>
      <c r="AI201" s="579"/>
      <c r="AJ201" s="700"/>
      <c r="AK201" s="696">
        <f t="shared" si="102"/>
        <v>0</v>
      </c>
      <c r="AL201" s="604">
        <f t="shared" si="103"/>
        <v>0</v>
      </c>
      <c r="AM201" s="604">
        <f t="shared" si="104"/>
        <v>0</v>
      </c>
      <c r="AN201" s="604">
        <f t="shared" si="105"/>
        <v>0</v>
      </c>
      <c r="AO201" s="697">
        <f t="shared" si="106"/>
        <v>0</v>
      </c>
      <c r="AP201" s="701"/>
      <c r="AQ201" s="702"/>
      <c r="AR201" s="1022">
        <f t="shared" si="97"/>
        <v>0</v>
      </c>
      <c r="AS201" s="329"/>
      <c r="AT201" s="329"/>
      <c r="AU201" s="1013">
        <f t="shared" si="98"/>
        <v>0</v>
      </c>
    </row>
    <row r="202" spans="1:47" x14ac:dyDescent="0.25">
      <c r="A202" s="567"/>
      <c r="B202" s="568"/>
      <c r="C202" s="569"/>
      <c r="D202" s="569"/>
      <c r="E202" s="570">
        <f t="shared" si="95"/>
        <v>0</v>
      </c>
      <c r="F202" s="571"/>
      <c r="G202" s="845"/>
      <c r="H202" s="669"/>
      <c r="I202" s="573"/>
      <c r="J202" s="573"/>
      <c r="K202" s="574"/>
      <c r="L202" s="606">
        <f t="shared" si="99"/>
        <v>0</v>
      </c>
      <c r="M202" s="555">
        <f t="shared" si="100"/>
        <v>0</v>
      </c>
      <c r="N202" s="575"/>
      <c r="O202" s="575"/>
      <c r="P202" s="575"/>
      <c r="Q202" s="575"/>
      <c r="R202" s="575"/>
      <c r="S202" s="575"/>
      <c r="T202" s="575"/>
      <c r="U202" s="575"/>
      <c r="V202" s="575"/>
      <c r="W202" s="575"/>
      <c r="X202" s="557">
        <f t="shared" si="96"/>
        <v>0</v>
      </c>
      <c r="Y202" s="558">
        <f t="shared" si="101"/>
        <v>0</v>
      </c>
      <c r="Z202" s="559"/>
      <c r="AA202" s="576"/>
      <c r="AB202" s="577"/>
      <c r="AC202" s="577"/>
      <c r="AD202" s="577"/>
      <c r="AE202" s="577"/>
      <c r="AF202" s="578"/>
      <c r="AG202" s="579"/>
      <c r="AH202" s="579"/>
      <c r="AI202" s="579"/>
      <c r="AJ202" s="700"/>
      <c r="AK202" s="696">
        <f t="shared" si="102"/>
        <v>0</v>
      </c>
      <c r="AL202" s="604">
        <f t="shared" si="103"/>
        <v>0</v>
      </c>
      <c r="AM202" s="604">
        <f t="shared" si="104"/>
        <v>0</v>
      </c>
      <c r="AN202" s="604">
        <f t="shared" si="105"/>
        <v>0</v>
      </c>
      <c r="AO202" s="697">
        <f t="shared" si="106"/>
        <v>0</v>
      </c>
      <c r="AP202" s="701"/>
      <c r="AQ202" s="702"/>
      <c r="AR202" s="1022">
        <f t="shared" si="97"/>
        <v>0</v>
      </c>
      <c r="AS202" s="329"/>
      <c r="AT202" s="329"/>
      <c r="AU202" s="1013">
        <f t="shared" si="98"/>
        <v>0</v>
      </c>
    </row>
    <row r="203" spans="1:47" x14ac:dyDescent="0.25">
      <c r="A203" s="567"/>
      <c r="B203" s="568"/>
      <c r="C203" s="569"/>
      <c r="D203" s="569"/>
      <c r="E203" s="570">
        <f t="shared" si="95"/>
        <v>0</v>
      </c>
      <c r="F203" s="571"/>
      <c r="G203" s="845"/>
      <c r="H203" s="669"/>
      <c r="I203" s="573"/>
      <c r="J203" s="573"/>
      <c r="K203" s="574"/>
      <c r="L203" s="606">
        <f t="shared" si="99"/>
        <v>0</v>
      </c>
      <c r="M203" s="555">
        <f t="shared" si="100"/>
        <v>0</v>
      </c>
      <c r="N203" s="575"/>
      <c r="O203" s="575"/>
      <c r="P203" s="575"/>
      <c r="Q203" s="575"/>
      <c r="R203" s="575"/>
      <c r="S203" s="575"/>
      <c r="T203" s="575"/>
      <c r="U203" s="575"/>
      <c r="V203" s="575"/>
      <c r="W203" s="575"/>
      <c r="X203" s="557">
        <f t="shared" si="96"/>
        <v>0</v>
      </c>
      <c r="Y203" s="558">
        <f t="shared" si="101"/>
        <v>0</v>
      </c>
      <c r="Z203" s="559"/>
      <c r="AA203" s="576"/>
      <c r="AB203" s="577"/>
      <c r="AC203" s="577"/>
      <c r="AD203" s="577"/>
      <c r="AE203" s="577"/>
      <c r="AF203" s="578"/>
      <c r="AG203" s="579"/>
      <c r="AH203" s="579"/>
      <c r="AI203" s="579"/>
      <c r="AJ203" s="700"/>
      <c r="AK203" s="696">
        <f t="shared" si="102"/>
        <v>0</v>
      </c>
      <c r="AL203" s="604">
        <f t="shared" si="103"/>
        <v>0</v>
      </c>
      <c r="AM203" s="604">
        <f t="shared" si="104"/>
        <v>0</v>
      </c>
      <c r="AN203" s="604">
        <f t="shared" si="105"/>
        <v>0</v>
      </c>
      <c r="AO203" s="697">
        <f t="shared" si="106"/>
        <v>0</v>
      </c>
      <c r="AP203" s="701"/>
      <c r="AQ203" s="702"/>
      <c r="AR203" s="1022">
        <f t="shared" si="97"/>
        <v>0</v>
      </c>
      <c r="AS203" s="329"/>
      <c r="AT203" s="329"/>
      <c r="AU203" s="1013">
        <f t="shared" si="98"/>
        <v>0</v>
      </c>
    </row>
    <row r="204" spans="1:47" x14ac:dyDescent="0.25">
      <c r="A204" s="567"/>
      <c r="B204" s="568"/>
      <c r="C204" s="569"/>
      <c r="D204" s="569"/>
      <c r="E204" s="570">
        <f t="shared" si="95"/>
        <v>0</v>
      </c>
      <c r="F204" s="571"/>
      <c r="G204" s="845"/>
      <c r="H204" s="669"/>
      <c r="I204" s="573"/>
      <c r="J204" s="573"/>
      <c r="K204" s="574"/>
      <c r="L204" s="606">
        <f t="shared" si="99"/>
        <v>0</v>
      </c>
      <c r="M204" s="555">
        <f t="shared" si="100"/>
        <v>0</v>
      </c>
      <c r="N204" s="575"/>
      <c r="O204" s="575"/>
      <c r="P204" s="575"/>
      <c r="Q204" s="575"/>
      <c r="R204" s="575"/>
      <c r="S204" s="575"/>
      <c r="T204" s="575"/>
      <c r="U204" s="575"/>
      <c r="V204" s="575"/>
      <c r="W204" s="575"/>
      <c r="X204" s="557">
        <f t="shared" si="96"/>
        <v>0</v>
      </c>
      <c r="Y204" s="558">
        <f t="shared" si="101"/>
        <v>0</v>
      </c>
      <c r="Z204" s="559"/>
      <c r="AA204" s="576"/>
      <c r="AB204" s="577"/>
      <c r="AC204" s="577"/>
      <c r="AD204" s="577"/>
      <c r="AE204" s="577"/>
      <c r="AF204" s="578"/>
      <c r="AG204" s="579"/>
      <c r="AH204" s="579"/>
      <c r="AI204" s="579"/>
      <c r="AJ204" s="700"/>
      <c r="AK204" s="696">
        <f t="shared" si="102"/>
        <v>0</v>
      </c>
      <c r="AL204" s="604">
        <f t="shared" si="103"/>
        <v>0</v>
      </c>
      <c r="AM204" s="604">
        <f t="shared" si="104"/>
        <v>0</v>
      </c>
      <c r="AN204" s="604">
        <f t="shared" si="105"/>
        <v>0</v>
      </c>
      <c r="AO204" s="697">
        <f t="shared" si="106"/>
        <v>0</v>
      </c>
      <c r="AP204" s="701"/>
      <c r="AQ204" s="702"/>
      <c r="AR204" s="1022">
        <f t="shared" si="97"/>
        <v>0</v>
      </c>
      <c r="AS204" s="329"/>
      <c r="AT204" s="329"/>
      <c r="AU204" s="1013">
        <f t="shared" si="98"/>
        <v>0</v>
      </c>
    </row>
    <row r="205" spans="1:47" x14ac:dyDescent="0.25">
      <c r="A205" s="567"/>
      <c r="B205" s="568"/>
      <c r="C205" s="569"/>
      <c r="D205" s="569"/>
      <c r="E205" s="570">
        <f t="shared" si="95"/>
        <v>0</v>
      </c>
      <c r="F205" s="571"/>
      <c r="G205" s="845"/>
      <c r="H205" s="669"/>
      <c r="I205" s="573"/>
      <c r="J205" s="573"/>
      <c r="K205" s="574"/>
      <c r="L205" s="606">
        <f t="shared" si="99"/>
        <v>0</v>
      </c>
      <c r="M205" s="555">
        <f t="shared" si="100"/>
        <v>0</v>
      </c>
      <c r="N205" s="575"/>
      <c r="O205" s="575"/>
      <c r="P205" s="575"/>
      <c r="Q205" s="575"/>
      <c r="R205" s="575"/>
      <c r="S205" s="575"/>
      <c r="T205" s="575"/>
      <c r="U205" s="575"/>
      <c r="V205" s="575"/>
      <c r="W205" s="575"/>
      <c r="X205" s="557">
        <f t="shared" si="96"/>
        <v>0</v>
      </c>
      <c r="Y205" s="558">
        <f t="shared" si="101"/>
        <v>0</v>
      </c>
      <c r="Z205" s="559"/>
      <c r="AA205" s="576"/>
      <c r="AB205" s="577"/>
      <c r="AC205" s="577"/>
      <c r="AD205" s="577"/>
      <c r="AE205" s="577"/>
      <c r="AF205" s="578"/>
      <c r="AG205" s="579"/>
      <c r="AH205" s="579"/>
      <c r="AI205" s="579"/>
      <c r="AJ205" s="700"/>
      <c r="AK205" s="696">
        <f t="shared" si="102"/>
        <v>0</v>
      </c>
      <c r="AL205" s="604">
        <f t="shared" si="103"/>
        <v>0</v>
      </c>
      <c r="AM205" s="604">
        <f t="shared" si="104"/>
        <v>0</v>
      </c>
      <c r="AN205" s="604">
        <f t="shared" si="105"/>
        <v>0</v>
      </c>
      <c r="AO205" s="697">
        <f t="shared" si="106"/>
        <v>0</v>
      </c>
      <c r="AP205" s="701"/>
      <c r="AQ205" s="702"/>
      <c r="AR205" s="1022">
        <f t="shared" si="97"/>
        <v>0</v>
      </c>
      <c r="AS205" s="329"/>
      <c r="AT205" s="329"/>
      <c r="AU205" s="1013">
        <f t="shared" si="98"/>
        <v>0</v>
      </c>
    </row>
    <row r="206" spans="1:47" x14ac:dyDescent="0.25">
      <c r="A206" s="567"/>
      <c r="B206" s="568"/>
      <c r="C206" s="569"/>
      <c r="D206" s="569"/>
      <c r="E206" s="570">
        <f t="shared" si="95"/>
        <v>0</v>
      </c>
      <c r="F206" s="571"/>
      <c r="G206" s="845"/>
      <c r="H206" s="669"/>
      <c r="I206" s="573"/>
      <c r="J206" s="573"/>
      <c r="K206" s="574"/>
      <c r="L206" s="606">
        <f t="shared" si="99"/>
        <v>0</v>
      </c>
      <c r="M206" s="555">
        <f t="shared" si="100"/>
        <v>0</v>
      </c>
      <c r="N206" s="575"/>
      <c r="O206" s="575"/>
      <c r="P206" s="575"/>
      <c r="Q206" s="575"/>
      <c r="R206" s="575"/>
      <c r="S206" s="575"/>
      <c r="T206" s="575"/>
      <c r="U206" s="575"/>
      <c r="V206" s="575"/>
      <c r="W206" s="575"/>
      <c r="X206" s="557">
        <f t="shared" si="96"/>
        <v>0</v>
      </c>
      <c r="Y206" s="558">
        <f t="shared" si="101"/>
        <v>0</v>
      </c>
      <c r="Z206" s="559"/>
      <c r="AA206" s="576"/>
      <c r="AB206" s="577"/>
      <c r="AC206" s="577"/>
      <c r="AD206" s="577"/>
      <c r="AE206" s="577"/>
      <c r="AF206" s="578"/>
      <c r="AG206" s="579"/>
      <c r="AH206" s="579"/>
      <c r="AI206" s="579"/>
      <c r="AJ206" s="700"/>
      <c r="AK206" s="696">
        <f t="shared" si="102"/>
        <v>0</v>
      </c>
      <c r="AL206" s="604">
        <f t="shared" si="103"/>
        <v>0</v>
      </c>
      <c r="AM206" s="604">
        <f t="shared" si="104"/>
        <v>0</v>
      </c>
      <c r="AN206" s="604">
        <f t="shared" si="105"/>
        <v>0</v>
      </c>
      <c r="AO206" s="697">
        <f t="shared" si="106"/>
        <v>0</v>
      </c>
      <c r="AP206" s="701"/>
      <c r="AQ206" s="702"/>
      <c r="AR206" s="1022">
        <f t="shared" si="97"/>
        <v>0</v>
      </c>
      <c r="AS206" s="329"/>
      <c r="AT206" s="329"/>
      <c r="AU206" s="1013">
        <f t="shared" si="98"/>
        <v>0</v>
      </c>
    </row>
    <row r="207" spans="1:47" x14ac:dyDescent="0.25">
      <c r="A207" s="567"/>
      <c r="B207" s="568"/>
      <c r="C207" s="569"/>
      <c r="D207" s="569"/>
      <c r="E207" s="570">
        <f t="shared" si="95"/>
        <v>0</v>
      </c>
      <c r="F207" s="571"/>
      <c r="G207" s="845"/>
      <c r="H207" s="669"/>
      <c r="I207" s="573"/>
      <c r="J207" s="573"/>
      <c r="K207" s="574"/>
      <c r="L207" s="606">
        <f t="shared" si="99"/>
        <v>0</v>
      </c>
      <c r="M207" s="555">
        <f t="shared" si="100"/>
        <v>0</v>
      </c>
      <c r="N207" s="575"/>
      <c r="O207" s="575"/>
      <c r="P207" s="575"/>
      <c r="Q207" s="575"/>
      <c r="R207" s="575"/>
      <c r="S207" s="575"/>
      <c r="T207" s="575"/>
      <c r="U207" s="575"/>
      <c r="V207" s="575"/>
      <c r="W207" s="575"/>
      <c r="X207" s="557">
        <f t="shared" si="96"/>
        <v>0</v>
      </c>
      <c r="Y207" s="558">
        <f t="shared" si="101"/>
        <v>0</v>
      </c>
      <c r="Z207" s="559"/>
      <c r="AA207" s="576"/>
      <c r="AB207" s="577"/>
      <c r="AC207" s="577"/>
      <c r="AD207" s="577"/>
      <c r="AE207" s="577"/>
      <c r="AF207" s="578"/>
      <c r="AG207" s="579"/>
      <c r="AH207" s="579"/>
      <c r="AI207" s="579"/>
      <c r="AJ207" s="700"/>
      <c r="AK207" s="696">
        <f t="shared" si="102"/>
        <v>0</v>
      </c>
      <c r="AL207" s="604">
        <f t="shared" si="103"/>
        <v>0</v>
      </c>
      <c r="AM207" s="604">
        <f t="shared" si="104"/>
        <v>0</v>
      </c>
      <c r="AN207" s="604">
        <f t="shared" si="105"/>
        <v>0</v>
      </c>
      <c r="AO207" s="697">
        <f t="shared" si="106"/>
        <v>0</v>
      </c>
      <c r="AP207" s="701"/>
      <c r="AQ207" s="702"/>
      <c r="AR207" s="1022">
        <f t="shared" si="97"/>
        <v>0</v>
      </c>
      <c r="AS207" s="329"/>
      <c r="AT207" s="329"/>
      <c r="AU207" s="1013">
        <f t="shared" si="98"/>
        <v>0</v>
      </c>
    </row>
    <row r="208" spans="1:47" x14ac:dyDescent="0.25">
      <c r="A208" s="567"/>
      <c r="B208" s="568"/>
      <c r="C208" s="569"/>
      <c r="D208" s="569"/>
      <c r="E208" s="570">
        <f t="shared" si="95"/>
        <v>0</v>
      </c>
      <c r="F208" s="571"/>
      <c r="G208" s="845"/>
      <c r="H208" s="669"/>
      <c r="I208" s="573"/>
      <c r="J208" s="573"/>
      <c r="K208" s="574"/>
      <c r="L208" s="606">
        <f t="shared" si="99"/>
        <v>0</v>
      </c>
      <c r="M208" s="555">
        <f t="shared" si="100"/>
        <v>0</v>
      </c>
      <c r="N208" s="575"/>
      <c r="O208" s="575"/>
      <c r="P208" s="575"/>
      <c r="Q208" s="575"/>
      <c r="R208" s="575"/>
      <c r="S208" s="575"/>
      <c r="T208" s="575"/>
      <c r="U208" s="575"/>
      <c r="V208" s="575"/>
      <c r="W208" s="575"/>
      <c r="X208" s="557">
        <f t="shared" si="96"/>
        <v>0</v>
      </c>
      <c r="Y208" s="558">
        <f t="shared" si="101"/>
        <v>0</v>
      </c>
      <c r="Z208" s="559"/>
      <c r="AA208" s="576"/>
      <c r="AB208" s="577"/>
      <c r="AC208" s="577"/>
      <c r="AD208" s="577"/>
      <c r="AE208" s="577"/>
      <c r="AF208" s="578"/>
      <c r="AG208" s="579"/>
      <c r="AH208" s="579"/>
      <c r="AI208" s="579"/>
      <c r="AJ208" s="700"/>
      <c r="AK208" s="696">
        <f t="shared" si="102"/>
        <v>0</v>
      </c>
      <c r="AL208" s="604">
        <f t="shared" si="103"/>
        <v>0</v>
      </c>
      <c r="AM208" s="604">
        <f t="shared" si="104"/>
        <v>0</v>
      </c>
      <c r="AN208" s="604">
        <f t="shared" si="105"/>
        <v>0</v>
      </c>
      <c r="AO208" s="697">
        <f t="shared" si="106"/>
        <v>0</v>
      </c>
      <c r="AP208" s="701"/>
      <c r="AQ208" s="702"/>
      <c r="AR208" s="1022">
        <f t="shared" si="97"/>
        <v>0</v>
      </c>
      <c r="AS208" s="329"/>
      <c r="AT208" s="329"/>
      <c r="AU208" s="1013">
        <f t="shared" si="98"/>
        <v>0</v>
      </c>
    </row>
    <row r="209" spans="1:47" x14ac:dyDescent="0.25">
      <c r="A209" s="567"/>
      <c r="B209" s="568"/>
      <c r="C209" s="569"/>
      <c r="D209" s="569"/>
      <c r="E209" s="570">
        <f t="shared" si="95"/>
        <v>0</v>
      </c>
      <c r="F209" s="571"/>
      <c r="G209" s="845"/>
      <c r="H209" s="669"/>
      <c r="I209" s="573"/>
      <c r="J209" s="573"/>
      <c r="K209" s="574"/>
      <c r="L209" s="606">
        <f t="shared" si="99"/>
        <v>0</v>
      </c>
      <c r="M209" s="555">
        <f t="shared" si="100"/>
        <v>0</v>
      </c>
      <c r="N209" s="575"/>
      <c r="O209" s="575"/>
      <c r="P209" s="575"/>
      <c r="Q209" s="575"/>
      <c r="R209" s="575"/>
      <c r="S209" s="575"/>
      <c r="T209" s="575"/>
      <c r="U209" s="575"/>
      <c r="V209" s="575"/>
      <c r="W209" s="575"/>
      <c r="X209" s="557">
        <f t="shared" si="96"/>
        <v>0</v>
      </c>
      <c r="Y209" s="558">
        <f t="shared" si="101"/>
        <v>0</v>
      </c>
      <c r="Z209" s="559"/>
      <c r="AA209" s="576"/>
      <c r="AB209" s="577"/>
      <c r="AC209" s="577"/>
      <c r="AD209" s="577"/>
      <c r="AE209" s="577"/>
      <c r="AF209" s="578"/>
      <c r="AG209" s="579"/>
      <c r="AH209" s="579"/>
      <c r="AI209" s="579"/>
      <c r="AJ209" s="700"/>
      <c r="AK209" s="696">
        <f t="shared" si="102"/>
        <v>0</v>
      </c>
      <c r="AL209" s="604">
        <f t="shared" si="103"/>
        <v>0</v>
      </c>
      <c r="AM209" s="604">
        <f t="shared" si="104"/>
        <v>0</v>
      </c>
      <c r="AN209" s="604">
        <f t="shared" si="105"/>
        <v>0</v>
      </c>
      <c r="AO209" s="697">
        <f t="shared" si="106"/>
        <v>0</v>
      </c>
      <c r="AP209" s="701"/>
      <c r="AQ209" s="702"/>
      <c r="AR209" s="1022">
        <f t="shared" si="97"/>
        <v>0</v>
      </c>
      <c r="AS209" s="329"/>
      <c r="AT209" s="329"/>
      <c r="AU209" s="1013">
        <f t="shared" si="98"/>
        <v>0</v>
      </c>
    </row>
    <row r="210" spans="1:47" x14ac:dyDescent="0.25">
      <c r="A210" s="567"/>
      <c r="B210" s="568"/>
      <c r="C210" s="569"/>
      <c r="D210" s="569"/>
      <c r="E210" s="570">
        <f t="shared" si="95"/>
        <v>0</v>
      </c>
      <c r="F210" s="571"/>
      <c r="G210" s="845"/>
      <c r="H210" s="669"/>
      <c r="I210" s="573"/>
      <c r="J210" s="573"/>
      <c r="K210" s="574"/>
      <c r="L210" s="606">
        <f t="shared" si="99"/>
        <v>0</v>
      </c>
      <c r="M210" s="555">
        <f t="shared" si="100"/>
        <v>0</v>
      </c>
      <c r="N210" s="575"/>
      <c r="O210" s="575"/>
      <c r="P210" s="575"/>
      <c r="Q210" s="575"/>
      <c r="R210" s="575"/>
      <c r="S210" s="575"/>
      <c r="T210" s="575"/>
      <c r="U210" s="575"/>
      <c r="V210" s="575"/>
      <c r="W210" s="575"/>
      <c r="X210" s="557">
        <f t="shared" si="96"/>
        <v>0</v>
      </c>
      <c r="Y210" s="558">
        <f t="shared" si="101"/>
        <v>0</v>
      </c>
      <c r="Z210" s="559"/>
      <c r="AA210" s="576"/>
      <c r="AB210" s="577"/>
      <c r="AC210" s="577"/>
      <c r="AD210" s="577"/>
      <c r="AE210" s="577"/>
      <c r="AF210" s="578"/>
      <c r="AG210" s="579"/>
      <c r="AH210" s="579"/>
      <c r="AI210" s="579"/>
      <c r="AJ210" s="700"/>
      <c r="AK210" s="696">
        <f t="shared" si="102"/>
        <v>0</v>
      </c>
      <c r="AL210" s="604">
        <f t="shared" si="103"/>
        <v>0</v>
      </c>
      <c r="AM210" s="604">
        <f t="shared" si="104"/>
        <v>0</v>
      </c>
      <c r="AN210" s="604">
        <f t="shared" si="105"/>
        <v>0</v>
      </c>
      <c r="AO210" s="697">
        <f t="shared" si="106"/>
        <v>0</v>
      </c>
      <c r="AP210" s="701"/>
      <c r="AQ210" s="702"/>
      <c r="AR210" s="1022">
        <f t="shared" si="97"/>
        <v>0</v>
      </c>
      <c r="AS210" s="329"/>
      <c r="AT210" s="329"/>
      <c r="AU210" s="1013">
        <f t="shared" si="98"/>
        <v>0</v>
      </c>
    </row>
    <row r="211" spans="1:47" x14ac:dyDescent="0.25">
      <c r="A211" s="567"/>
      <c r="B211" s="568"/>
      <c r="C211" s="569"/>
      <c r="D211" s="569"/>
      <c r="E211" s="570">
        <f t="shared" si="95"/>
        <v>0</v>
      </c>
      <c r="F211" s="571"/>
      <c r="G211" s="845"/>
      <c r="H211" s="669"/>
      <c r="I211" s="573"/>
      <c r="J211" s="573"/>
      <c r="K211" s="574"/>
      <c r="L211" s="606">
        <f t="shared" si="99"/>
        <v>0</v>
      </c>
      <c r="M211" s="555">
        <f t="shared" si="100"/>
        <v>0</v>
      </c>
      <c r="N211" s="575"/>
      <c r="O211" s="575"/>
      <c r="P211" s="575"/>
      <c r="Q211" s="575"/>
      <c r="R211" s="575"/>
      <c r="S211" s="575"/>
      <c r="T211" s="575"/>
      <c r="U211" s="575"/>
      <c r="V211" s="575"/>
      <c r="W211" s="575"/>
      <c r="X211" s="557">
        <f t="shared" si="96"/>
        <v>0</v>
      </c>
      <c r="Y211" s="558">
        <f t="shared" si="101"/>
        <v>0</v>
      </c>
      <c r="Z211" s="559"/>
      <c r="AA211" s="576"/>
      <c r="AB211" s="577"/>
      <c r="AC211" s="577"/>
      <c r="AD211" s="577"/>
      <c r="AE211" s="577"/>
      <c r="AF211" s="578"/>
      <c r="AG211" s="579"/>
      <c r="AH211" s="579"/>
      <c r="AI211" s="579"/>
      <c r="AJ211" s="700"/>
      <c r="AK211" s="696">
        <f t="shared" si="102"/>
        <v>0</v>
      </c>
      <c r="AL211" s="604">
        <f t="shared" si="103"/>
        <v>0</v>
      </c>
      <c r="AM211" s="604">
        <f t="shared" si="104"/>
        <v>0</v>
      </c>
      <c r="AN211" s="604">
        <f t="shared" si="105"/>
        <v>0</v>
      </c>
      <c r="AO211" s="697">
        <f t="shared" si="106"/>
        <v>0</v>
      </c>
      <c r="AP211" s="701"/>
      <c r="AQ211" s="702"/>
      <c r="AR211" s="1022">
        <f t="shared" si="97"/>
        <v>0</v>
      </c>
      <c r="AS211" s="329"/>
      <c r="AT211" s="329"/>
      <c r="AU211" s="1013">
        <f t="shared" si="98"/>
        <v>0</v>
      </c>
    </row>
    <row r="212" spans="1:47" x14ac:dyDescent="0.25">
      <c r="A212" s="567"/>
      <c r="B212" s="568"/>
      <c r="C212" s="569"/>
      <c r="D212" s="569"/>
      <c r="E212" s="570">
        <f t="shared" si="95"/>
        <v>0</v>
      </c>
      <c r="F212" s="571"/>
      <c r="G212" s="845"/>
      <c r="H212" s="669"/>
      <c r="I212" s="573"/>
      <c r="J212" s="573"/>
      <c r="K212" s="574"/>
      <c r="L212" s="606">
        <f t="shared" si="99"/>
        <v>0</v>
      </c>
      <c r="M212" s="555">
        <f t="shared" si="100"/>
        <v>0</v>
      </c>
      <c r="N212" s="575"/>
      <c r="O212" s="575"/>
      <c r="P212" s="575"/>
      <c r="Q212" s="575"/>
      <c r="R212" s="575"/>
      <c r="S212" s="575"/>
      <c r="T212" s="575"/>
      <c r="U212" s="575"/>
      <c r="V212" s="575"/>
      <c r="W212" s="575"/>
      <c r="X212" s="557">
        <f t="shared" si="96"/>
        <v>0</v>
      </c>
      <c r="Y212" s="558">
        <f t="shared" si="101"/>
        <v>0</v>
      </c>
      <c r="Z212" s="559"/>
      <c r="AA212" s="576"/>
      <c r="AB212" s="577"/>
      <c r="AC212" s="577"/>
      <c r="AD212" s="577"/>
      <c r="AE212" s="577"/>
      <c r="AF212" s="578"/>
      <c r="AG212" s="579"/>
      <c r="AH212" s="579"/>
      <c r="AI212" s="579"/>
      <c r="AJ212" s="700"/>
      <c r="AK212" s="696">
        <f t="shared" si="102"/>
        <v>0</v>
      </c>
      <c r="AL212" s="604">
        <f t="shared" si="103"/>
        <v>0</v>
      </c>
      <c r="AM212" s="604">
        <f t="shared" si="104"/>
        <v>0</v>
      </c>
      <c r="AN212" s="604">
        <f t="shared" si="105"/>
        <v>0</v>
      </c>
      <c r="AO212" s="697">
        <f t="shared" si="106"/>
        <v>0</v>
      </c>
      <c r="AP212" s="701"/>
      <c r="AQ212" s="702"/>
      <c r="AR212" s="1022">
        <f t="shared" si="97"/>
        <v>0</v>
      </c>
      <c r="AS212" s="329"/>
      <c r="AT212" s="329"/>
      <c r="AU212" s="1013">
        <f t="shared" si="98"/>
        <v>0</v>
      </c>
    </row>
    <row r="213" spans="1:47" ht="14.4" thickBot="1" x14ac:dyDescent="0.3">
      <c r="A213" s="567"/>
      <c r="B213" s="568"/>
      <c r="C213" s="569"/>
      <c r="D213" s="569"/>
      <c r="E213" s="570">
        <f t="shared" si="95"/>
        <v>0</v>
      </c>
      <c r="F213" s="571"/>
      <c r="G213" s="845"/>
      <c r="H213" s="669"/>
      <c r="I213" s="573"/>
      <c r="J213" s="573"/>
      <c r="K213" s="574"/>
      <c r="L213" s="606">
        <f t="shared" si="99"/>
        <v>0</v>
      </c>
      <c r="M213" s="555">
        <f t="shared" si="100"/>
        <v>0</v>
      </c>
      <c r="N213" s="575"/>
      <c r="O213" s="575"/>
      <c r="P213" s="575"/>
      <c r="Q213" s="575"/>
      <c r="R213" s="575"/>
      <c r="S213" s="575"/>
      <c r="T213" s="575"/>
      <c r="U213" s="575"/>
      <c r="V213" s="575"/>
      <c r="W213" s="575"/>
      <c r="X213" s="557">
        <f t="shared" si="96"/>
        <v>0</v>
      </c>
      <c r="Y213" s="558">
        <f t="shared" si="101"/>
        <v>0</v>
      </c>
      <c r="Z213" s="559"/>
      <c r="AA213" s="576"/>
      <c r="AB213" s="577"/>
      <c r="AC213" s="577"/>
      <c r="AD213" s="577"/>
      <c r="AE213" s="577"/>
      <c r="AF213" s="578"/>
      <c r="AG213" s="579"/>
      <c r="AH213" s="579"/>
      <c r="AI213" s="579"/>
      <c r="AJ213" s="700"/>
      <c r="AK213" s="696">
        <f t="shared" si="102"/>
        <v>0</v>
      </c>
      <c r="AL213" s="604">
        <f t="shared" si="103"/>
        <v>0</v>
      </c>
      <c r="AM213" s="604">
        <f t="shared" si="104"/>
        <v>0</v>
      </c>
      <c r="AN213" s="604">
        <f t="shared" si="105"/>
        <v>0</v>
      </c>
      <c r="AO213" s="697">
        <f t="shared" si="106"/>
        <v>0</v>
      </c>
      <c r="AP213" s="701"/>
      <c r="AQ213" s="702"/>
      <c r="AR213" s="1022">
        <f t="shared" si="97"/>
        <v>0</v>
      </c>
      <c r="AS213" s="329"/>
      <c r="AT213" s="329"/>
      <c r="AU213" s="1013">
        <f t="shared" si="98"/>
        <v>0</v>
      </c>
    </row>
    <row r="214" spans="1:47" ht="40.200000000000003" thickBot="1" x14ac:dyDescent="0.3">
      <c r="A214" s="651" t="s">
        <v>493</v>
      </c>
      <c r="B214" s="1456">
        <f>SUM(B193:B213)</f>
        <v>0</v>
      </c>
      <c r="C214" s="593">
        <f>IF(ISERROR(SUM(C193:C213)/B214),0,(SUM(C193:C213)/B214))</f>
        <v>0</v>
      </c>
      <c r="D214" s="594">
        <f>SUM(D193:D213)</f>
        <v>0</v>
      </c>
      <c r="E214" s="595">
        <f>IFERROR(D214/B214,0)</f>
        <v>0</v>
      </c>
      <c r="F214" s="1784" t="s">
        <v>492</v>
      </c>
      <c r="G214" s="1785"/>
      <c r="H214" s="1459">
        <f>SUM(H193:H213)</f>
        <v>0</v>
      </c>
      <c r="I214" s="316"/>
      <c r="J214" s="316"/>
      <c r="K214" s="316"/>
      <c r="L214" s="316"/>
      <c r="M214" s="593">
        <f>IF(ISERROR(SUM(M193:M213)/H214),0,(SUM(M193:M213)/H214))</f>
        <v>0</v>
      </c>
      <c r="N214" s="593">
        <f>IFERROR((SUM(N193:N213)/H214),0)</f>
        <v>0</v>
      </c>
      <c r="O214" s="593">
        <f>IFERROR((SUM(O193:O213)/H214),0)</f>
        <v>0</v>
      </c>
      <c r="P214" s="593">
        <f>IFERROR((SUM(P193:P213)/H214),0)</f>
        <v>0</v>
      </c>
      <c r="Q214" s="593">
        <f>IFERROR((SUM(Q193:Q213)/H214),0)</f>
        <v>0</v>
      </c>
      <c r="R214" s="593">
        <f>IFERROR((SUM(R193:R213)/H214),0)</f>
        <v>0</v>
      </c>
      <c r="S214" s="593">
        <f>IFERROR((SUM(S193:S213)/H214),0)</f>
        <v>0</v>
      </c>
      <c r="T214" s="593">
        <f>IFERROR((SUM(T193:T213)/H214),0)</f>
        <v>0</v>
      </c>
      <c r="U214" s="593">
        <f>IFERROR((SUM(U193:U213)/H214),0)</f>
        <v>0</v>
      </c>
      <c r="V214" s="593">
        <f>IFERROR((SUM(V193:V213)/H214),0)</f>
        <v>0</v>
      </c>
      <c r="W214" s="593">
        <f>IFERROR((SUM(W193:W213)/H214),0)</f>
        <v>0</v>
      </c>
      <c r="X214" s="597">
        <f>SUM(X193:X213)</f>
        <v>0</v>
      </c>
      <c r="Y214" s="598">
        <f>IFERROR(SUM(X214/H214),0)</f>
        <v>0</v>
      </c>
      <c r="Z214" s="653"/>
      <c r="AA214" s="654"/>
      <c r="AB214" s="654"/>
      <c r="AC214" s="654"/>
      <c r="AD214" s="654"/>
      <c r="AE214" s="654"/>
      <c r="AF214" s="654"/>
      <c r="AG214" s="654"/>
      <c r="AH214" s="654"/>
      <c r="AI214" s="654"/>
      <c r="AJ214" s="654"/>
      <c r="AK214" s="654"/>
      <c r="AL214" s="654"/>
      <c r="AM214" s="654"/>
      <c r="AN214" s="654"/>
      <c r="AO214" s="654"/>
      <c r="AP214" s="655"/>
      <c r="AQ214" s="655"/>
    </row>
    <row r="215" spans="1:47" ht="14.4" thickBot="1" x14ac:dyDescent="0.3">
      <c r="F215" s="538"/>
      <c r="G215" s="254"/>
      <c r="X215" s="687"/>
      <c r="Y215" s="706"/>
      <c r="Z215" s="707"/>
      <c r="AA215" s="708"/>
      <c r="AB215" s="708"/>
      <c r="AC215" s="708"/>
      <c r="AD215" s="708"/>
      <c r="AE215" s="708"/>
      <c r="AF215" s="708"/>
      <c r="AG215" s="708"/>
      <c r="AH215" s="708"/>
      <c r="AI215" s="708"/>
      <c r="AJ215" s="708"/>
      <c r="AK215" s="708"/>
      <c r="AL215" s="708"/>
      <c r="AM215" s="708"/>
      <c r="AN215" s="708"/>
      <c r="AO215" s="708"/>
      <c r="AP215" s="709"/>
      <c r="AQ215" s="709"/>
    </row>
    <row r="216" spans="1:47" ht="27" thickBot="1" x14ac:dyDescent="0.3">
      <c r="A216" s="711" t="s">
        <v>406</v>
      </c>
      <c r="B216" s="1458">
        <f>B214+B190+B165</f>
        <v>0</v>
      </c>
      <c r="C216" s="1364">
        <f>IFERROR(SUM(C193:C213,C170:C189,C159:C164)/B216,0)</f>
        <v>0</v>
      </c>
      <c r="D216" s="1367">
        <f>D214+D190+D165</f>
        <v>0</v>
      </c>
      <c r="E216" s="598">
        <f>IFERROR(D216/B216,0)</f>
        <v>0</v>
      </c>
      <c r="F216" s="1710" t="s">
        <v>406</v>
      </c>
      <c r="G216" s="1711"/>
      <c r="H216" s="1458">
        <f>H165+H214+H190</f>
        <v>0</v>
      </c>
      <c r="I216" s="713"/>
      <c r="J216" s="713"/>
      <c r="K216" s="713"/>
      <c r="L216" s="713"/>
      <c r="M216" s="714">
        <f>IFERROR(SUM(M193:M213,M170:M189,M159:M164)/$H$216,0)</f>
        <v>0</v>
      </c>
      <c r="N216" s="593">
        <f t="shared" ref="N216:W216" si="107">IFERROR(SUM(N193:N213,N170:N189,N159:N164)/$H$216,0)</f>
        <v>0</v>
      </c>
      <c r="O216" s="593">
        <f t="shared" si="107"/>
        <v>0</v>
      </c>
      <c r="P216" s="593">
        <f t="shared" si="107"/>
        <v>0</v>
      </c>
      <c r="Q216" s="593">
        <f t="shared" si="107"/>
        <v>0</v>
      </c>
      <c r="R216" s="593">
        <f t="shared" si="107"/>
        <v>0</v>
      </c>
      <c r="S216" s="593">
        <f t="shared" si="107"/>
        <v>0</v>
      </c>
      <c r="T216" s="593">
        <f t="shared" si="107"/>
        <v>0</v>
      </c>
      <c r="U216" s="593">
        <f t="shared" si="107"/>
        <v>0</v>
      </c>
      <c r="V216" s="593">
        <f t="shared" si="107"/>
        <v>0</v>
      </c>
      <c r="W216" s="593">
        <f t="shared" si="107"/>
        <v>0</v>
      </c>
      <c r="X216" s="597">
        <f>X165+X214+X190</f>
        <v>0</v>
      </c>
      <c r="Y216" s="598">
        <f>IFERROR(SUM(X216/H216),0)</f>
        <v>0</v>
      </c>
      <c r="Z216" s="707"/>
      <c r="AA216" s="708"/>
      <c r="AB216" s="708"/>
      <c r="AC216" s="708"/>
      <c r="AD216" s="708"/>
      <c r="AE216" s="708"/>
      <c r="AF216" s="708"/>
      <c r="AG216" s="708"/>
      <c r="AH216" s="708"/>
      <c r="AI216" s="708"/>
      <c r="AJ216" s="708"/>
      <c r="AK216" s="708"/>
      <c r="AL216" s="708"/>
      <c r="AM216" s="708"/>
      <c r="AN216" s="708"/>
      <c r="AO216" s="708"/>
      <c r="AP216" s="709"/>
      <c r="AQ216" s="709"/>
    </row>
    <row r="217" spans="1:47" x14ac:dyDescent="0.25">
      <c r="F217" s="538"/>
      <c r="G217" s="254"/>
      <c r="H217" s="600" t="str">
        <f>IF(H216&gt;KAT!C16,"Max. Stellenumfang liegt über gesetzlicher Bestimmung ("&amp;TEXT(KAT!C16,"0,0000")&amp;" VK).","")</f>
        <v/>
      </c>
      <c r="I217" s="212"/>
      <c r="O217" s="715"/>
      <c r="X217" s="332"/>
      <c r="Y217" s="710"/>
      <c r="Z217" s="707"/>
      <c r="AA217" s="626"/>
      <c r="AB217" s="626"/>
      <c r="AC217" s="626"/>
      <c r="AD217" s="626"/>
      <c r="AE217" s="708"/>
      <c r="AF217" s="708"/>
      <c r="AG217" s="708"/>
      <c r="AH217" s="708"/>
      <c r="AI217" s="708"/>
      <c r="AJ217" s="708"/>
      <c r="AK217" s="708"/>
      <c r="AL217" s="708"/>
      <c r="AM217" s="708"/>
      <c r="AN217" s="708"/>
      <c r="AO217" s="708"/>
      <c r="AP217" s="709"/>
      <c r="AQ217" s="709"/>
    </row>
    <row r="218" spans="1:47" x14ac:dyDescent="0.25">
      <c r="A218" s="719" t="s">
        <v>410</v>
      </c>
      <c r="F218" s="719" t="s">
        <v>410</v>
      </c>
      <c r="G218" s="720"/>
      <c r="P218" s="1786"/>
      <c r="Q218" s="1786"/>
      <c r="R218" s="1786"/>
      <c r="S218" s="1786"/>
      <c r="T218" s="1786"/>
      <c r="U218" s="1786"/>
      <c r="V218" s="1786"/>
      <c r="W218" s="1786"/>
      <c r="X218" s="1786"/>
      <c r="Y218" s="1787"/>
      <c r="Z218" s="694"/>
      <c r="AA218" s="708"/>
      <c r="AB218" s="708"/>
      <c r="AC218" s="708"/>
      <c r="AD218" s="708"/>
      <c r="AE218" s="626"/>
      <c r="AF218" s="626"/>
      <c r="AG218" s="626"/>
      <c r="AH218" s="626"/>
      <c r="AI218" s="626"/>
      <c r="AJ218" s="626"/>
      <c r="AK218" s="626"/>
      <c r="AL218" s="626"/>
      <c r="AM218" s="626"/>
      <c r="AN218" s="626"/>
      <c r="AO218" s="626"/>
      <c r="AP218" s="629"/>
      <c r="AQ218" s="629"/>
    </row>
    <row r="219" spans="1:47" x14ac:dyDescent="0.25">
      <c r="A219" s="567"/>
      <c r="B219" s="568"/>
      <c r="C219" s="569"/>
      <c r="D219" s="569"/>
      <c r="E219" s="570">
        <f t="shared" ref="E219:E224" si="108">IFERROR(D219/B219,0)</f>
        <v>0</v>
      </c>
      <c r="F219" s="571"/>
      <c r="G219" s="551"/>
      <c r="H219" s="669"/>
      <c r="I219" s="721"/>
      <c r="J219" s="721"/>
      <c r="K219" s="575"/>
      <c r="L219" s="670">
        <f>IFERROR(IF($K$24="VK",K219,K219/H219),0)</f>
        <v>0</v>
      </c>
      <c r="M219" s="671">
        <f>IFERROR(L219*H219,"")</f>
        <v>0</v>
      </c>
      <c r="N219" s="575"/>
      <c r="O219" s="575"/>
      <c r="P219" s="575"/>
      <c r="Q219" s="575"/>
      <c r="R219" s="575"/>
      <c r="S219" s="575"/>
      <c r="T219" s="575"/>
      <c r="U219" s="575"/>
      <c r="V219" s="575"/>
      <c r="W219" s="575"/>
      <c r="X219" s="557">
        <f t="shared" ref="X219:X224" si="109">IF(AND(H219&gt;0,F219&lt;&gt;"GfB"),(SUM(M219:P219,R219,V219,Q219)*12+(T219+U219))*(100+$P$17+$P$18)%+((S219+W219)*12),IF(AND(H219&gt;0,F219="GfB"),(SUM(M219:P219,R219,V219,Q219)*12+(T219+U219))*(100+$P$20+$P$18)%+((S219+W219)*12),0))</f>
        <v>0</v>
      </c>
      <c r="Y219" s="558">
        <f>IF(ISERROR(X219/H219),0,(X219/H219))</f>
        <v>0</v>
      </c>
      <c r="Z219" s="559"/>
      <c r="AA219" s="708"/>
      <c r="AB219" s="708"/>
      <c r="AC219" s="708"/>
      <c r="AD219" s="708"/>
      <c r="AE219" s="722"/>
      <c r="AF219" s="723"/>
      <c r="AG219" s="724"/>
      <c r="AH219" s="724"/>
      <c r="AI219" s="724"/>
      <c r="AJ219" s="724"/>
      <c r="AK219" s="725"/>
      <c r="AL219" s="726"/>
      <c r="AM219" s="726"/>
      <c r="AN219" s="726"/>
      <c r="AO219" s="726"/>
      <c r="AP219" s="645"/>
      <c r="AQ219" s="645"/>
    </row>
    <row r="220" spans="1:47" x14ac:dyDescent="0.25">
      <c r="A220" s="567"/>
      <c r="B220" s="568"/>
      <c r="C220" s="569"/>
      <c r="D220" s="569"/>
      <c r="E220" s="570">
        <f t="shared" si="108"/>
        <v>0</v>
      </c>
      <c r="F220" s="571"/>
      <c r="G220" s="551"/>
      <c r="H220" s="669"/>
      <c r="I220" s="721"/>
      <c r="J220" s="721"/>
      <c r="K220" s="575"/>
      <c r="L220" s="606">
        <f t="shared" ref="L220:L224" si="110">IFERROR(IF($K$24="VK",K220,K220/H220),0)</f>
        <v>0</v>
      </c>
      <c r="M220" s="555">
        <f t="shared" ref="M220:M224" si="111">IFERROR(L220*H220,"")</f>
        <v>0</v>
      </c>
      <c r="N220" s="575"/>
      <c r="O220" s="575"/>
      <c r="P220" s="575"/>
      <c r="Q220" s="575"/>
      <c r="R220" s="575"/>
      <c r="S220" s="575"/>
      <c r="T220" s="575"/>
      <c r="U220" s="575"/>
      <c r="V220" s="575"/>
      <c r="W220" s="575"/>
      <c r="X220" s="557">
        <f t="shared" si="109"/>
        <v>0</v>
      </c>
      <c r="Y220" s="558">
        <f t="shared" ref="Y220:Y224" si="112">IF(ISERROR(X220/H220),0,(X220/H220))</f>
        <v>0</v>
      </c>
      <c r="Z220" s="559"/>
      <c r="AA220" s="626"/>
      <c r="AB220" s="626"/>
      <c r="AC220" s="626"/>
      <c r="AD220" s="626"/>
      <c r="AE220" s="722"/>
      <c r="AF220" s="723"/>
      <c r="AG220" s="724"/>
      <c r="AH220" s="724"/>
      <c r="AI220" s="724"/>
      <c r="AJ220" s="724"/>
      <c r="AK220" s="725"/>
      <c r="AL220" s="726"/>
      <c r="AM220" s="726"/>
      <c r="AN220" s="726"/>
      <c r="AO220" s="726"/>
      <c r="AP220" s="645"/>
      <c r="AQ220" s="645"/>
    </row>
    <row r="221" spans="1:47" x14ac:dyDescent="0.25">
      <c r="A221" s="567"/>
      <c r="B221" s="568"/>
      <c r="C221" s="569"/>
      <c r="D221" s="569"/>
      <c r="E221" s="570">
        <f t="shared" si="108"/>
        <v>0</v>
      </c>
      <c r="F221" s="571"/>
      <c r="G221" s="551"/>
      <c r="H221" s="669"/>
      <c r="I221" s="721"/>
      <c r="J221" s="721"/>
      <c r="K221" s="575"/>
      <c r="L221" s="606">
        <f t="shared" si="110"/>
        <v>0</v>
      </c>
      <c r="M221" s="555">
        <f t="shared" si="111"/>
        <v>0</v>
      </c>
      <c r="N221" s="575"/>
      <c r="O221" s="575"/>
      <c r="P221" s="575"/>
      <c r="Q221" s="575"/>
      <c r="R221" s="575"/>
      <c r="S221" s="575"/>
      <c r="T221" s="575"/>
      <c r="U221" s="575"/>
      <c r="V221" s="575"/>
      <c r="W221" s="575"/>
      <c r="X221" s="557">
        <f t="shared" si="109"/>
        <v>0</v>
      </c>
      <c r="Y221" s="558">
        <f t="shared" si="112"/>
        <v>0</v>
      </c>
      <c r="Z221" s="559"/>
      <c r="AA221" s="708"/>
      <c r="AB221" s="708"/>
      <c r="AC221" s="708"/>
      <c r="AD221" s="708"/>
      <c r="AE221" s="722"/>
      <c r="AF221" s="723"/>
      <c r="AG221" s="724"/>
      <c r="AH221" s="724"/>
      <c r="AI221" s="724"/>
      <c r="AJ221" s="724"/>
      <c r="AK221" s="725"/>
      <c r="AL221" s="726"/>
      <c r="AM221" s="726"/>
      <c r="AN221" s="726"/>
      <c r="AO221" s="726"/>
      <c r="AP221" s="645"/>
      <c r="AQ221" s="645"/>
    </row>
    <row r="222" spans="1:47" x14ac:dyDescent="0.25">
      <c r="A222" s="567"/>
      <c r="B222" s="568"/>
      <c r="C222" s="569"/>
      <c r="D222" s="569"/>
      <c r="E222" s="570">
        <f t="shared" si="108"/>
        <v>0</v>
      </c>
      <c r="F222" s="571"/>
      <c r="G222" s="551"/>
      <c r="H222" s="669"/>
      <c r="I222" s="721"/>
      <c r="J222" s="721"/>
      <c r="K222" s="575"/>
      <c r="L222" s="606">
        <f t="shared" si="110"/>
        <v>0</v>
      </c>
      <c r="M222" s="555">
        <f t="shared" si="111"/>
        <v>0</v>
      </c>
      <c r="N222" s="575"/>
      <c r="O222" s="575"/>
      <c r="P222" s="575"/>
      <c r="Q222" s="575"/>
      <c r="R222" s="575"/>
      <c r="S222" s="575"/>
      <c r="T222" s="575"/>
      <c r="U222" s="575"/>
      <c r="V222" s="575"/>
      <c r="W222" s="575"/>
      <c r="X222" s="557">
        <f t="shared" si="109"/>
        <v>0</v>
      </c>
      <c r="Y222" s="558">
        <f t="shared" si="112"/>
        <v>0</v>
      </c>
      <c r="Z222" s="559"/>
      <c r="AA222" s="708"/>
      <c r="AB222" s="708"/>
      <c r="AC222" s="708"/>
      <c r="AD222" s="708"/>
      <c r="AE222" s="722"/>
      <c r="AF222" s="723"/>
      <c r="AG222" s="724"/>
      <c r="AH222" s="724"/>
      <c r="AI222" s="724"/>
      <c r="AJ222" s="724"/>
      <c r="AK222" s="725"/>
      <c r="AL222" s="726"/>
      <c r="AM222" s="726"/>
      <c r="AN222" s="726"/>
      <c r="AO222" s="726"/>
      <c r="AP222" s="645"/>
      <c r="AQ222" s="645"/>
    </row>
    <row r="223" spans="1:47" x14ac:dyDescent="0.25">
      <c r="A223" s="567"/>
      <c r="B223" s="568"/>
      <c r="C223" s="569"/>
      <c r="D223" s="569"/>
      <c r="E223" s="570">
        <f t="shared" si="108"/>
        <v>0</v>
      </c>
      <c r="F223" s="571"/>
      <c r="G223" s="551"/>
      <c r="H223" s="669"/>
      <c r="I223" s="721"/>
      <c r="J223" s="721"/>
      <c r="K223" s="575"/>
      <c r="L223" s="606">
        <f t="shared" si="110"/>
        <v>0</v>
      </c>
      <c r="M223" s="555">
        <f t="shared" si="111"/>
        <v>0</v>
      </c>
      <c r="N223" s="575"/>
      <c r="O223" s="575"/>
      <c r="P223" s="575"/>
      <c r="Q223" s="575"/>
      <c r="R223" s="575"/>
      <c r="S223" s="575"/>
      <c r="T223" s="575"/>
      <c r="U223" s="575"/>
      <c r="V223" s="575"/>
      <c r="W223" s="575"/>
      <c r="X223" s="557">
        <f t="shared" si="109"/>
        <v>0</v>
      </c>
      <c r="Y223" s="558">
        <f t="shared" si="112"/>
        <v>0</v>
      </c>
      <c r="Z223" s="559"/>
      <c r="AA223" s="708"/>
      <c r="AB223" s="708"/>
      <c r="AC223" s="708"/>
      <c r="AD223" s="708"/>
      <c r="AE223" s="722"/>
      <c r="AF223" s="723"/>
      <c r="AG223" s="724"/>
      <c r="AH223" s="724"/>
      <c r="AI223" s="724"/>
      <c r="AJ223" s="724"/>
      <c r="AK223" s="725"/>
      <c r="AL223" s="726"/>
      <c r="AM223" s="726"/>
      <c r="AN223" s="726"/>
      <c r="AO223" s="726"/>
      <c r="AP223" s="645"/>
      <c r="AQ223" s="645"/>
    </row>
    <row r="224" spans="1:47" ht="14.4" thickBot="1" x14ac:dyDescent="0.3">
      <c r="A224" s="567"/>
      <c r="B224" s="568"/>
      <c r="C224" s="569"/>
      <c r="D224" s="569"/>
      <c r="E224" s="570">
        <f t="shared" si="108"/>
        <v>0</v>
      </c>
      <c r="F224" s="571"/>
      <c r="G224" s="551"/>
      <c r="H224" s="669"/>
      <c r="I224" s="721"/>
      <c r="J224" s="721"/>
      <c r="K224" s="575"/>
      <c r="L224" s="606">
        <f t="shared" si="110"/>
        <v>0</v>
      </c>
      <c r="M224" s="555">
        <f t="shared" si="111"/>
        <v>0</v>
      </c>
      <c r="N224" s="575"/>
      <c r="O224" s="575"/>
      <c r="P224" s="575"/>
      <c r="Q224" s="575"/>
      <c r="R224" s="575"/>
      <c r="S224" s="575"/>
      <c r="T224" s="575"/>
      <c r="U224" s="575"/>
      <c r="V224" s="575"/>
      <c r="W224" s="575"/>
      <c r="X224" s="557">
        <f t="shared" si="109"/>
        <v>0</v>
      </c>
      <c r="Y224" s="558">
        <f t="shared" si="112"/>
        <v>0</v>
      </c>
      <c r="Z224" s="559"/>
      <c r="AA224" s="708"/>
      <c r="AB224" s="708"/>
      <c r="AC224" s="708"/>
      <c r="AD224" s="708"/>
      <c r="AE224" s="722"/>
      <c r="AF224" s="723"/>
      <c r="AG224" s="724"/>
      <c r="AH224" s="724"/>
      <c r="AI224" s="724"/>
      <c r="AJ224" s="724"/>
      <c r="AK224" s="725"/>
      <c r="AL224" s="726"/>
      <c r="AM224" s="726"/>
      <c r="AN224" s="726"/>
      <c r="AO224" s="726"/>
      <c r="AP224" s="645"/>
      <c r="AQ224" s="645"/>
    </row>
    <row r="225" spans="1:43" ht="14.4" thickBot="1" x14ac:dyDescent="0.3">
      <c r="A225" s="727" t="s">
        <v>410</v>
      </c>
      <c r="B225" s="1456">
        <f>SUM(B219:B224)</f>
        <v>0</v>
      </c>
      <c r="C225" s="593">
        <f>IF(ISERROR(SUM(C219:C224)/B225),0,(SUM(C219:C224)/B225))</f>
        <v>0</v>
      </c>
      <c r="D225" s="594">
        <f>SUM(D219:D224)</f>
        <v>0</v>
      </c>
      <c r="E225" s="595">
        <f>IFERROR(D225/B225,0)</f>
        <v>0</v>
      </c>
      <c r="F225" s="727" t="s">
        <v>410</v>
      </c>
      <c r="G225" s="728"/>
      <c r="H225" s="1457">
        <f>SUM(H219:H224)</f>
        <v>0</v>
      </c>
      <c r="I225" s="316"/>
      <c r="J225" s="316"/>
      <c r="K225" s="316"/>
      <c r="L225" s="316"/>
      <c r="M225" s="593">
        <f t="shared" ref="M225:W225" si="113">IF(ISERROR(SUM(M219:M224)/$H$225),0,(SUM(M219:M224)/$H$225))</f>
        <v>0</v>
      </c>
      <c r="N225" s="593">
        <f>IF(ISERROR(SUM(N219:N224)/$H$225),0,(SUM(N219:N224)/$H$225))</f>
        <v>0</v>
      </c>
      <c r="O225" s="593">
        <f t="shared" si="113"/>
        <v>0</v>
      </c>
      <c r="P225" s="593">
        <f t="shared" si="113"/>
        <v>0</v>
      </c>
      <c r="Q225" s="593">
        <f t="shared" si="113"/>
        <v>0</v>
      </c>
      <c r="R225" s="593">
        <f t="shared" si="113"/>
        <v>0</v>
      </c>
      <c r="S225" s="593">
        <f t="shared" si="113"/>
        <v>0</v>
      </c>
      <c r="T225" s="593">
        <f t="shared" si="113"/>
        <v>0</v>
      </c>
      <c r="U225" s="593">
        <f t="shared" si="113"/>
        <v>0</v>
      </c>
      <c r="V225" s="593">
        <f t="shared" si="113"/>
        <v>0</v>
      </c>
      <c r="W225" s="593">
        <f t="shared" si="113"/>
        <v>0</v>
      </c>
      <c r="X225" s="597">
        <f>SUM(X219:X224)</f>
        <v>0</v>
      </c>
      <c r="Y225" s="598">
        <f>IFERROR(SUM(X225/H225),0)</f>
        <v>0</v>
      </c>
      <c r="Z225" s="653"/>
      <c r="AA225" s="626"/>
      <c r="AB225" s="626"/>
      <c r="AC225" s="626"/>
      <c r="AD225" s="626"/>
      <c r="AE225" s="654"/>
      <c r="AF225" s="654"/>
      <c r="AG225" s="654"/>
      <c r="AH225" s="654"/>
      <c r="AI225" s="654"/>
      <c r="AJ225" s="654"/>
      <c r="AK225" s="654"/>
      <c r="AL225" s="654"/>
      <c r="AM225" s="654"/>
      <c r="AN225" s="654"/>
      <c r="AO225" s="654"/>
      <c r="AP225" s="655"/>
      <c r="AQ225" s="655"/>
    </row>
    <row r="226" spans="1:43" x14ac:dyDescent="0.25">
      <c r="F226" s="538"/>
      <c r="G226" s="729"/>
      <c r="H226" s="600" t="str">
        <f>IF(H225&gt;KAT!C14,"max. Stellenumfang lt. Rahmenvertrag für die Leitung / Verwaltung bis zu "&amp;TEXT(KAT!C14,"0,0000")&amp;" VK","")</f>
        <v/>
      </c>
      <c r="X226" s="687"/>
      <c r="Y226" s="706"/>
      <c r="Z226" s="707"/>
      <c r="AA226" s="708"/>
      <c r="AB226" s="708"/>
      <c r="AC226" s="708"/>
      <c r="AD226" s="708"/>
      <c r="AE226" s="708"/>
      <c r="AF226" s="708"/>
      <c r="AG226" s="708"/>
      <c r="AH226" s="708"/>
      <c r="AI226" s="708"/>
      <c r="AJ226" s="708"/>
      <c r="AK226" s="708"/>
      <c r="AL226" s="708"/>
      <c r="AM226" s="708"/>
      <c r="AN226" s="708"/>
      <c r="AO226" s="708"/>
      <c r="AP226" s="709"/>
      <c r="AQ226" s="709"/>
    </row>
    <row r="227" spans="1:43" x14ac:dyDescent="0.25">
      <c r="A227" s="719" t="s">
        <v>411</v>
      </c>
      <c r="F227" s="719" t="s">
        <v>411</v>
      </c>
      <c r="G227" s="188"/>
      <c r="P227" s="1786"/>
      <c r="Q227" s="1786"/>
      <c r="R227" s="1786"/>
      <c r="S227" s="1786"/>
      <c r="T227" s="1786"/>
      <c r="U227" s="1786"/>
      <c r="V227" s="1786"/>
      <c r="W227" s="1786"/>
      <c r="X227" s="1786"/>
      <c r="Y227" s="1787"/>
      <c r="Z227" s="694"/>
      <c r="AA227" s="626"/>
      <c r="AB227" s="626"/>
      <c r="AC227" s="626"/>
      <c r="AD227" s="626"/>
      <c r="AE227" s="626"/>
      <c r="AF227" s="626"/>
      <c r="AG227" s="626"/>
      <c r="AH227" s="626"/>
      <c r="AI227" s="626"/>
      <c r="AJ227" s="626"/>
      <c r="AK227" s="626"/>
      <c r="AL227" s="626"/>
      <c r="AM227" s="626"/>
      <c r="AN227" s="626"/>
      <c r="AO227" s="626"/>
      <c r="AP227" s="629"/>
      <c r="AQ227" s="629"/>
    </row>
    <row r="228" spans="1:43" x14ac:dyDescent="0.25">
      <c r="A228" s="567"/>
      <c r="B228" s="568"/>
      <c r="C228" s="569"/>
      <c r="D228" s="569"/>
      <c r="E228" s="570">
        <f t="shared" ref="E228:E273" si="114">IFERROR(D228/B228,0)</f>
        <v>0</v>
      </c>
      <c r="F228" s="571"/>
      <c r="G228" s="730"/>
      <c r="H228" s="669"/>
      <c r="I228" s="721"/>
      <c r="J228" s="721"/>
      <c r="K228" s="575"/>
      <c r="L228" s="670">
        <f>IFERROR(IF($K$24="VK",K228,K228/H228),0)</f>
        <v>0</v>
      </c>
      <c r="M228" s="671">
        <f>IFERROR(L228*H228,"")</f>
        <v>0</v>
      </c>
      <c r="N228" s="575"/>
      <c r="O228" s="575"/>
      <c r="P228" s="575"/>
      <c r="Q228" s="575"/>
      <c r="R228" s="575"/>
      <c r="S228" s="575"/>
      <c r="T228" s="575"/>
      <c r="U228" s="575"/>
      <c r="V228" s="575"/>
      <c r="W228" s="575"/>
      <c r="X228" s="557">
        <f t="shared" ref="X228:X262" si="115">IF(AND(H228&gt;0,F228&lt;&gt;"GfB"),(SUM(M228:P228,R228,V228,Q228)*12+(T228+U228))*(100+$P$17+$P$18)%+((S228+W228)*12),IF(AND(H228&gt;0,F228="GfB"),(SUM(M228:P228,R228,V228,Q228)*12+(T228+U228))*(100+$P$20+$P$18)%+((S228+W228)*12),0))</f>
        <v>0</v>
      </c>
      <c r="Y228" s="558">
        <f>IF(ISERROR(X228/H228),0,(X228/H228))</f>
        <v>0</v>
      </c>
      <c r="Z228" s="559"/>
      <c r="AA228" s="560"/>
      <c r="AB228" s="561"/>
      <c r="AC228" s="561"/>
      <c r="AD228" s="561"/>
      <c r="AE228" s="561"/>
      <c r="AF228" s="562"/>
      <c r="AG228" s="562"/>
      <c r="AH228" s="562"/>
      <c r="AI228" s="562"/>
      <c r="AJ228" s="562"/>
      <c r="AK228" s="564"/>
      <c r="AL228" s="565"/>
      <c r="AM228" s="565"/>
      <c r="AN228" s="565"/>
      <c r="AO228" s="565"/>
      <c r="AP228" s="638"/>
      <c r="AQ228" s="682"/>
    </row>
    <row r="229" spans="1:43" x14ac:dyDescent="0.25">
      <c r="A229" s="567"/>
      <c r="B229" s="568"/>
      <c r="C229" s="569"/>
      <c r="D229" s="569"/>
      <c r="E229" s="570">
        <f t="shared" si="114"/>
        <v>0</v>
      </c>
      <c r="F229" s="571"/>
      <c r="G229" s="730"/>
      <c r="H229" s="669"/>
      <c r="I229" s="721"/>
      <c r="J229" s="721"/>
      <c r="K229" s="575"/>
      <c r="L229" s="606">
        <f t="shared" ref="L229:L251" si="116">IFERROR(IF($K$24="VK",K229,K229/H229),0)</f>
        <v>0</v>
      </c>
      <c r="M229" s="555">
        <f t="shared" ref="M229:M251" si="117">IFERROR(L229*H229,"")</f>
        <v>0</v>
      </c>
      <c r="N229" s="575"/>
      <c r="O229" s="575"/>
      <c r="P229" s="575"/>
      <c r="Q229" s="575"/>
      <c r="R229" s="575"/>
      <c r="S229" s="575"/>
      <c r="T229" s="575"/>
      <c r="U229" s="575"/>
      <c r="V229" s="575"/>
      <c r="W229" s="575"/>
      <c r="X229" s="557">
        <f t="shared" si="115"/>
        <v>0</v>
      </c>
      <c r="Y229" s="558">
        <f t="shared" ref="Y229:Y251" si="118">IF(ISERROR(X229/H229),0,(X229/H229))</f>
        <v>0</v>
      </c>
      <c r="Z229" s="559"/>
      <c r="AA229" s="576"/>
      <c r="AB229" s="577"/>
      <c r="AC229" s="577"/>
      <c r="AD229" s="577"/>
      <c r="AE229" s="577"/>
      <c r="AF229" s="578"/>
      <c r="AG229" s="578"/>
      <c r="AH229" s="578"/>
      <c r="AI229" s="578"/>
      <c r="AJ229" s="578"/>
      <c r="AK229" s="580"/>
      <c r="AL229" s="581"/>
      <c r="AM229" s="581"/>
      <c r="AN229" s="581"/>
      <c r="AO229" s="581"/>
      <c r="AP229" s="731"/>
      <c r="AQ229" s="1015"/>
    </row>
    <row r="230" spans="1:43" x14ac:dyDescent="0.25">
      <c r="A230" s="567"/>
      <c r="B230" s="568"/>
      <c r="C230" s="569"/>
      <c r="D230" s="569"/>
      <c r="E230" s="570">
        <f t="shared" si="114"/>
        <v>0</v>
      </c>
      <c r="F230" s="571"/>
      <c r="G230" s="730"/>
      <c r="H230" s="669"/>
      <c r="I230" s="721"/>
      <c r="J230" s="721"/>
      <c r="K230" s="575"/>
      <c r="L230" s="606">
        <f t="shared" si="116"/>
        <v>0</v>
      </c>
      <c r="M230" s="555">
        <f t="shared" si="117"/>
        <v>0</v>
      </c>
      <c r="N230" s="575"/>
      <c r="O230" s="575"/>
      <c r="P230" s="575"/>
      <c r="Q230" s="575"/>
      <c r="R230" s="575"/>
      <c r="S230" s="575"/>
      <c r="T230" s="575"/>
      <c r="U230" s="575"/>
      <c r="V230" s="575"/>
      <c r="W230" s="575"/>
      <c r="X230" s="557">
        <f t="shared" si="115"/>
        <v>0</v>
      </c>
      <c r="Y230" s="558">
        <f t="shared" si="118"/>
        <v>0</v>
      </c>
      <c r="Z230" s="559"/>
      <c r="AA230" s="576"/>
      <c r="AB230" s="577"/>
      <c r="AC230" s="577"/>
      <c r="AD230" s="577"/>
      <c r="AE230" s="577"/>
      <c r="AF230" s="578"/>
      <c r="AG230" s="578"/>
      <c r="AH230" s="578"/>
      <c r="AI230" s="578"/>
      <c r="AJ230" s="578"/>
      <c r="AK230" s="580"/>
      <c r="AL230" s="581"/>
      <c r="AM230" s="581"/>
      <c r="AN230" s="581"/>
      <c r="AO230" s="581"/>
      <c r="AP230" s="731"/>
      <c r="AQ230" s="1015"/>
    </row>
    <row r="231" spans="1:43" x14ac:dyDescent="0.25">
      <c r="A231" s="567"/>
      <c r="B231" s="568"/>
      <c r="C231" s="569"/>
      <c r="D231" s="569"/>
      <c r="E231" s="570">
        <f t="shared" si="114"/>
        <v>0</v>
      </c>
      <c r="F231" s="571"/>
      <c r="G231" s="730"/>
      <c r="H231" s="669"/>
      <c r="I231" s="721"/>
      <c r="J231" s="721"/>
      <c r="K231" s="575"/>
      <c r="L231" s="606">
        <f t="shared" si="116"/>
        <v>0</v>
      </c>
      <c r="M231" s="555">
        <f t="shared" si="117"/>
        <v>0</v>
      </c>
      <c r="N231" s="575"/>
      <c r="O231" s="575"/>
      <c r="P231" s="575"/>
      <c r="Q231" s="575"/>
      <c r="R231" s="575"/>
      <c r="S231" s="575"/>
      <c r="T231" s="575"/>
      <c r="U231" s="575"/>
      <c r="V231" s="575"/>
      <c r="W231" s="575"/>
      <c r="X231" s="557">
        <f t="shared" si="115"/>
        <v>0</v>
      </c>
      <c r="Y231" s="558">
        <f t="shared" si="118"/>
        <v>0</v>
      </c>
      <c r="Z231" s="559"/>
      <c r="AA231" s="576"/>
      <c r="AB231" s="577"/>
      <c r="AC231" s="577"/>
      <c r="AD231" s="577"/>
      <c r="AE231" s="577"/>
      <c r="AF231" s="578"/>
      <c r="AG231" s="578"/>
      <c r="AH231" s="578"/>
      <c r="AI231" s="578"/>
      <c r="AJ231" s="578"/>
      <c r="AK231" s="580"/>
      <c r="AL231" s="581"/>
      <c r="AM231" s="581"/>
      <c r="AN231" s="581"/>
      <c r="AO231" s="581"/>
      <c r="AP231" s="731"/>
      <c r="AQ231" s="1015"/>
    </row>
    <row r="232" spans="1:43" x14ac:dyDescent="0.25">
      <c r="A232" s="567"/>
      <c r="B232" s="568"/>
      <c r="C232" s="569"/>
      <c r="D232" s="569"/>
      <c r="E232" s="570">
        <f t="shared" si="114"/>
        <v>0</v>
      </c>
      <c r="F232" s="571"/>
      <c r="G232" s="730"/>
      <c r="H232" s="669"/>
      <c r="I232" s="721"/>
      <c r="J232" s="721"/>
      <c r="K232" s="575"/>
      <c r="L232" s="606">
        <f t="shared" si="116"/>
        <v>0</v>
      </c>
      <c r="M232" s="555">
        <f t="shared" si="117"/>
        <v>0</v>
      </c>
      <c r="N232" s="575"/>
      <c r="O232" s="575"/>
      <c r="P232" s="575"/>
      <c r="Q232" s="575"/>
      <c r="R232" s="575"/>
      <c r="S232" s="575"/>
      <c r="T232" s="575"/>
      <c r="U232" s="575"/>
      <c r="V232" s="575"/>
      <c r="W232" s="575"/>
      <c r="X232" s="557">
        <f t="shared" si="115"/>
        <v>0</v>
      </c>
      <c r="Y232" s="558">
        <f t="shared" si="118"/>
        <v>0</v>
      </c>
      <c r="Z232" s="559"/>
      <c r="AA232" s="576"/>
      <c r="AB232" s="577"/>
      <c r="AC232" s="577"/>
      <c r="AD232" s="577"/>
      <c r="AE232" s="577"/>
      <c r="AF232" s="578"/>
      <c r="AG232" s="578"/>
      <c r="AH232" s="578"/>
      <c r="AI232" s="578"/>
      <c r="AJ232" s="578"/>
      <c r="AK232" s="580"/>
      <c r="AL232" s="581"/>
      <c r="AM232" s="581"/>
      <c r="AN232" s="581"/>
      <c r="AO232" s="581"/>
      <c r="AP232" s="731"/>
      <c r="AQ232" s="1015"/>
    </row>
    <row r="233" spans="1:43" x14ac:dyDescent="0.25">
      <c r="A233" s="567"/>
      <c r="B233" s="568"/>
      <c r="C233" s="569"/>
      <c r="D233" s="569"/>
      <c r="E233" s="570">
        <f t="shared" si="114"/>
        <v>0</v>
      </c>
      <c r="F233" s="571"/>
      <c r="G233" s="730"/>
      <c r="H233" s="669"/>
      <c r="I233" s="721"/>
      <c r="J233" s="721"/>
      <c r="K233" s="575"/>
      <c r="L233" s="606">
        <f t="shared" si="116"/>
        <v>0</v>
      </c>
      <c r="M233" s="555">
        <f t="shared" si="117"/>
        <v>0</v>
      </c>
      <c r="N233" s="575"/>
      <c r="O233" s="575"/>
      <c r="P233" s="575"/>
      <c r="Q233" s="575"/>
      <c r="R233" s="575"/>
      <c r="S233" s="575"/>
      <c r="T233" s="575"/>
      <c r="U233" s="575"/>
      <c r="V233" s="575"/>
      <c r="W233" s="575"/>
      <c r="X233" s="557">
        <f t="shared" si="115"/>
        <v>0</v>
      </c>
      <c r="Y233" s="558">
        <f t="shared" si="118"/>
        <v>0</v>
      </c>
      <c r="Z233" s="559"/>
      <c r="AA233" s="576"/>
      <c r="AB233" s="577"/>
      <c r="AC233" s="577"/>
      <c r="AD233" s="577"/>
      <c r="AE233" s="577"/>
      <c r="AF233" s="578"/>
      <c r="AG233" s="578"/>
      <c r="AH233" s="578"/>
      <c r="AI233" s="578"/>
      <c r="AJ233" s="578"/>
      <c r="AK233" s="580"/>
      <c r="AL233" s="581"/>
      <c r="AM233" s="581"/>
      <c r="AN233" s="581"/>
      <c r="AO233" s="581"/>
      <c r="AP233" s="731"/>
      <c r="AQ233" s="1015"/>
    </row>
    <row r="234" spans="1:43" x14ac:dyDescent="0.25">
      <c r="A234" s="567"/>
      <c r="B234" s="568"/>
      <c r="C234" s="569"/>
      <c r="D234" s="569"/>
      <c r="E234" s="570">
        <f t="shared" si="114"/>
        <v>0</v>
      </c>
      <c r="F234" s="571"/>
      <c r="G234" s="730"/>
      <c r="H234" s="669"/>
      <c r="I234" s="721"/>
      <c r="J234" s="721"/>
      <c r="K234" s="575"/>
      <c r="L234" s="606">
        <f t="shared" si="116"/>
        <v>0</v>
      </c>
      <c r="M234" s="555">
        <f t="shared" si="117"/>
        <v>0</v>
      </c>
      <c r="N234" s="575"/>
      <c r="O234" s="575"/>
      <c r="P234" s="575"/>
      <c r="Q234" s="575"/>
      <c r="R234" s="575"/>
      <c r="S234" s="575"/>
      <c r="T234" s="575"/>
      <c r="U234" s="575"/>
      <c r="V234" s="575"/>
      <c r="W234" s="575"/>
      <c r="X234" s="557">
        <f t="shared" si="115"/>
        <v>0</v>
      </c>
      <c r="Y234" s="558">
        <f t="shared" si="118"/>
        <v>0</v>
      </c>
      <c r="Z234" s="559"/>
      <c r="AA234" s="576"/>
      <c r="AB234" s="577"/>
      <c r="AC234" s="577"/>
      <c r="AD234" s="577"/>
      <c r="AE234" s="577"/>
      <c r="AF234" s="578"/>
      <c r="AG234" s="578"/>
      <c r="AH234" s="578"/>
      <c r="AI234" s="578"/>
      <c r="AJ234" s="578"/>
      <c r="AK234" s="580"/>
      <c r="AL234" s="581"/>
      <c r="AM234" s="581"/>
      <c r="AN234" s="581"/>
      <c r="AO234" s="581"/>
      <c r="AP234" s="731"/>
      <c r="AQ234" s="1015"/>
    </row>
    <row r="235" spans="1:43" x14ac:dyDescent="0.25">
      <c r="A235" s="567"/>
      <c r="B235" s="568"/>
      <c r="C235" s="569"/>
      <c r="D235" s="569"/>
      <c r="E235" s="570">
        <f t="shared" si="114"/>
        <v>0</v>
      </c>
      <c r="F235" s="571"/>
      <c r="G235" s="730"/>
      <c r="H235" s="669"/>
      <c r="I235" s="721"/>
      <c r="J235" s="721"/>
      <c r="K235" s="575"/>
      <c r="L235" s="606">
        <f t="shared" si="116"/>
        <v>0</v>
      </c>
      <c r="M235" s="555">
        <f t="shared" si="117"/>
        <v>0</v>
      </c>
      <c r="N235" s="575"/>
      <c r="O235" s="575"/>
      <c r="P235" s="575"/>
      <c r="Q235" s="575"/>
      <c r="R235" s="575"/>
      <c r="S235" s="575"/>
      <c r="T235" s="575"/>
      <c r="U235" s="575"/>
      <c r="V235" s="575"/>
      <c r="W235" s="575"/>
      <c r="X235" s="557">
        <f t="shared" si="115"/>
        <v>0</v>
      </c>
      <c r="Y235" s="558">
        <f t="shared" si="118"/>
        <v>0</v>
      </c>
      <c r="Z235" s="559"/>
      <c r="AA235" s="576"/>
      <c r="AB235" s="577"/>
      <c r="AC235" s="577"/>
      <c r="AD235" s="577"/>
      <c r="AE235" s="577"/>
      <c r="AF235" s="578"/>
      <c r="AG235" s="578"/>
      <c r="AH235" s="578"/>
      <c r="AI235" s="578"/>
      <c r="AJ235" s="578"/>
      <c r="AK235" s="580"/>
      <c r="AL235" s="581"/>
      <c r="AM235" s="581"/>
      <c r="AN235" s="581"/>
      <c r="AO235" s="581"/>
      <c r="AP235" s="731"/>
      <c r="AQ235" s="1015"/>
    </row>
    <row r="236" spans="1:43" x14ac:dyDescent="0.25">
      <c r="A236" s="567"/>
      <c r="B236" s="568"/>
      <c r="C236" s="569"/>
      <c r="D236" s="569"/>
      <c r="E236" s="570">
        <f t="shared" si="114"/>
        <v>0</v>
      </c>
      <c r="F236" s="571"/>
      <c r="G236" s="730"/>
      <c r="H236" s="669"/>
      <c r="I236" s="721"/>
      <c r="J236" s="721"/>
      <c r="K236" s="575"/>
      <c r="L236" s="606">
        <f t="shared" si="116"/>
        <v>0</v>
      </c>
      <c r="M236" s="555">
        <f t="shared" si="117"/>
        <v>0</v>
      </c>
      <c r="N236" s="575"/>
      <c r="O236" s="575"/>
      <c r="P236" s="575"/>
      <c r="Q236" s="575"/>
      <c r="R236" s="575"/>
      <c r="S236" s="575"/>
      <c r="T236" s="575"/>
      <c r="U236" s="575"/>
      <c r="V236" s="575"/>
      <c r="W236" s="575"/>
      <c r="X236" s="557">
        <f t="shared" si="115"/>
        <v>0</v>
      </c>
      <c r="Y236" s="558">
        <f t="shared" si="118"/>
        <v>0</v>
      </c>
      <c r="Z236" s="559"/>
      <c r="AA236" s="576"/>
      <c r="AB236" s="577"/>
      <c r="AC236" s="577"/>
      <c r="AD236" s="577"/>
      <c r="AE236" s="577"/>
      <c r="AF236" s="578"/>
      <c r="AG236" s="578"/>
      <c r="AH236" s="578"/>
      <c r="AI236" s="578"/>
      <c r="AJ236" s="578"/>
      <c r="AK236" s="580"/>
      <c r="AL236" s="581"/>
      <c r="AM236" s="581"/>
      <c r="AN236" s="581"/>
      <c r="AO236" s="581"/>
      <c r="AP236" s="731"/>
      <c r="AQ236" s="1015"/>
    </row>
    <row r="237" spans="1:43" x14ac:dyDescent="0.25">
      <c r="A237" s="567"/>
      <c r="B237" s="568"/>
      <c r="C237" s="569"/>
      <c r="D237" s="569"/>
      <c r="E237" s="570">
        <f t="shared" si="114"/>
        <v>0</v>
      </c>
      <c r="F237" s="571"/>
      <c r="G237" s="730"/>
      <c r="H237" s="669"/>
      <c r="I237" s="721"/>
      <c r="J237" s="721"/>
      <c r="K237" s="575"/>
      <c r="L237" s="606">
        <f t="shared" si="116"/>
        <v>0</v>
      </c>
      <c r="M237" s="555">
        <f t="shared" si="117"/>
        <v>0</v>
      </c>
      <c r="N237" s="575"/>
      <c r="O237" s="575"/>
      <c r="P237" s="575"/>
      <c r="Q237" s="575"/>
      <c r="R237" s="575"/>
      <c r="S237" s="575"/>
      <c r="T237" s="575"/>
      <c r="U237" s="575"/>
      <c r="V237" s="575"/>
      <c r="W237" s="575"/>
      <c r="X237" s="557">
        <f t="shared" si="115"/>
        <v>0</v>
      </c>
      <c r="Y237" s="558">
        <f t="shared" si="118"/>
        <v>0</v>
      </c>
      <c r="Z237" s="559"/>
      <c r="AA237" s="576"/>
      <c r="AB237" s="577"/>
      <c r="AC237" s="577"/>
      <c r="AD237" s="577"/>
      <c r="AE237" s="577"/>
      <c r="AF237" s="578"/>
      <c r="AG237" s="578"/>
      <c r="AH237" s="578"/>
      <c r="AI237" s="578"/>
      <c r="AJ237" s="578"/>
      <c r="AK237" s="580"/>
      <c r="AL237" s="581"/>
      <c r="AM237" s="581"/>
      <c r="AN237" s="581"/>
      <c r="AO237" s="581"/>
      <c r="AP237" s="731"/>
      <c r="AQ237" s="1015"/>
    </row>
    <row r="238" spans="1:43" x14ac:dyDescent="0.25">
      <c r="A238" s="567"/>
      <c r="B238" s="568"/>
      <c r="C238" s="569"/>
      <c r="D238" s="569"/>
      <c r="E238" s="570">
        <f t="shared" si="114"/>
        <v>0</v>
      </c>
      <c r="F238" s="571"/>
      <c r="G238" s="730"/>
      <c r="H238" s="669"/>
      <c r="I238" s="721"/>
      <c r="J238" s="721"/>
      <c r="K238" s="575"/>
      <c r="L238" s="606">
        <f t="shared" si="116"/>
        <v>0</v>
      </c>
      <c r="M238" s="555">
        <f t="shared" si="117"/>
        <v>0</v>
      </c>
      <c r="N238" s="575"/>
      <c r="O238" s="575"/>
      <c r="P238" s="575"/>
      <c r="Q238" s="575"/>
      <c r="R238" s="575"/>
      <c r="S238" s="575"/>
      <c r="T238" s="575"/>
      <c r="U238" s="575"/>
      <c r="V238" s="575"/>
      <c r="W238" s="575"/>
      <c r="X238" s="557">
        <f t="shared" si="115"/>
        <v>0</v>
      </c>
      <c r="Y238" s="558">
        <f t="shared" si="118"/>
        <v>0</v>
      </c>
      <c r="Z238" s="559"/>
      <c r="AA238" s="576"/>
      <c r="AB238" s="577"/>
      <c r="AC238" s="577"/>
      <c r="AD238" s="577"/>
      <c r="AE238" s="577"/>
      <c r="AF238" s="578"/>
      <c r="AG238" s="578"/>
      <c r="AH238" s="578"/>
      <c r="AI238" s="578"/>
      <c r="AJ238" s="578"/>
      <c r="AK238" s="580"/>
      <c r="AL238" s="581"/>
      <c r="AM238" s="581"/>
      <c r="AN238" s="581"/>
      <c r="AO238" s="581"/>
      <c r="AP238" s="731"/>
      <c r="AQ238" s="1015"/>
    </row>
    <row r="239" spans="1:43" x14ac:dyDescent="0.25">
      <c r="A239" s="567"/>
      <c r="B239" s="568"/>
      <c r="C239" s="569"/>
      <c r="D239" s="569"/>
      <c r="E239" s="570">
        <f t="shared" si="114"/>
        <v>0</v>
      </c>
      <c r="F239" s="571"/>
      <c r="G239" s="730"/>
      <c r="H239" s="669"/>
      <c r="I239" s="721"/>
      <c r="J239" s="721"/>
      <c r="K239" s="575"/>
      <c r="L239" s="606">
        <f t="shared" si="116"/>
        <v>0</v>
      </c>
      <c r="M239" s="555">
        <f t="shared" si="117"/>
        <v>0</v>
      </c>
      <c r="N239" s="575"/>
      <c r="O239" s="575"/>
      <c r="P239" s="575"/>
      <c r="Q239" s="575"/>
      <c r="R239" s="575"/>
      <c r="S239" s="575"/>
      <c r="T239" s="575"/>
      <c r="U239" s="575"/>
      <c r="V239" s="575"/>
      <c r="W239" s="575"/>
      <c r="X239" s="557">
        <f t="shared" si="115"/>
        <v>0</v>
      </c>
      <c r="Y239" s="558">
        <f t="shared" si="118"/>
        <v>0</v>
      </c>
      <c r="Z239" s="559"/>
      <c r="AA239" s="576"/>
      <c r="AB239" s="577"/>
      <c r="AC239" s="577"/>
      <c r="AD239" s="577"/>
      <c r="AE239" s="577"/>
      <c r="AF239" s="578"/>
      <c r="AG239" s="578"/>
      <c r="AH239" s="578"/>
      <c r="AI239" s="578"/>
      <c r="AJ239" s="578"/>
      <c r="AK239" s="580"/>
      <c r="AL239" s="581"/>
      <c r="AM239" s="581"/>
      <c r="AN239" s="581"/>
      <c r="AO239" s="581"/>
      <c r="AP239" s="731"/>
      <c r="AQ239" s="1015"/>
    </row>
    <row r="240" spans="1:43" x14ac:dyDescent="0.25">
      <c r="A240" s="567"/>
      <c r="B240" s="568"/>
      <c r="C240" s="569"/>
      <c r="D240" s="569"/>
      <c r="E240" s="570">
        <f t="shared" si="114"/>
        <v>0</v>
      </c>
      <c r="F240" s="571"/>
      <c r="G240" s="730"/>
      <c r="H240" s="669"/>
      <c r="I240" s="721"/>
      <c r="J240" s="721"/>
      <c r="K240" s="575"/>
      <c r="L240" s="606">
        <f t="shared" si="116"/>
        <v>0</v>
      </c>
      <c r="M240" s="555">
        <f t="shared" si="117"/>
        <v>0</v>
      </c>
      <c r="N240" s="575"/>
      <c r="O240" s="575"/>
      <c r="P240" s="575"/>
      <c r="Q240" s="575"/>
      <c r="R240" s="575"/>
      <c r="S240" s="575"/>
      <c r="T240" s="575"/>
      <c r="U240" s="575"/>
      <c r="V240" s="575"/>
      <c r="W240" s="575"/>
      <c r="X240" s="557">
        <f t="shared" si="115"/>
        <v>0</v>
      </c>
      <c r="Y240" s="558">
        <f t="shared" si="118"/>
        <v>0</v>
      </c>
      <c r="Z240" s="559"/>
      <c r="AA240" s="576"/>
      <c r="AB240" s="577"/>
      <c r="AC240" s="577"/>
      <c r="AD240" s="577"/>
      <c r="AE240" s="577"/>
      <c r="AF240" s="578"/>
      <c r="AG240" s="578"/>
      <c r="AH240" s="578"/>
      <c r="AI240" s="578"/>
      <c r="AJ240" s="578"/>
      <c r="AK240" s="580"/>
      <c r="AL240" s="581"/>
      <c r="AM240" s="581"/>
      <c r="AN240" s="581"/>
      <c r="AO240" s="581"/>
      <c r="AP240" s="731"/>
      <c r="AQ240" s="1015"/>
    </row>
    <row r="241" spans="1:46" x14ac:dyDescent="0.25">
      <c r="A241" s="567"/>
      <c r="B241" s="568"/>
      <c r="C241" s="569"/>
      <c r="D241" s="569"/>
      <c r="E241" s="570">
        <f t="shared" si="114"/>
        <v>0</v>
      </c>
      <c r="F241" s="571"/>
      <c r="G241" s="730"/>
      <c r="H241" s="669"/>
      <c r="I241" s="721"/>
      <c r="J241" s="721"/>
      <c r="K241" s="575"/>
      <c r="L241" s="606">
        <f t="shared" si="116"/>
        <v>0</v>
      </c>
      <c r="M241" s="555">
        <f t="shared" si="117"/>
        <v>0</v>
      </c>
      <c r="N241" s="575"/>
      <c r="O241" s="575"/>
      <c r="P241" s="575"/>
      <c r="Q241" s="575"/>
      <c r="R241" s="575"/>
      <c r="S241" s="575"/>
      <c r="T241" s="575"/>
      <c r="U241" s="575"/>
      <c r="V241" s="575"/>
      <c r="W241" s="575"/>
      <c r="X241" s="557">
        <f t="shared" si="115"/>
        <v>0</v>
      </c>
      <c r="Y241" s="558">
        <f t="shared" si="118"/>
        <v>0</v>
      </c>
      <c r="Z241" s="559"/>
      <c r="AA241" s="576"/>
      <c r="AB241" s="577"/>
      <c r="AC241" s="577"/>
      <c r="AD241" s="577"/>
      <c r="AE241" s="577"/>
      <c r="AF241" s="578"/>
      <c r="AG241" s="578"/>
      <c r="AH241" s="578"/>
      <c r="AI241" s="578"/>
      <c r="AJ241" s="578"/>
      <c r="AK241" s="580"/>
      <c r="AL241" s="581"/>
      <c r="AM241" s="581"/>
      <c r="AN241" s="581"/>
      <c r="AO241" s="581"/>
      <c r="AP241" s="731"/>
      <c r="AQ241" s="1015"/>
    </row>
    <row r="242" spans="1:46" x14ac:dyDescent="0.25">
      <c r="A242" s="567"/>
      <c r="B242" s="568"/>
      <c r="C242" s="569"/>
      <c r="D242" s="569"/>
      <c r="E242" s="570">
        <f t="shared" si="114"/>
        <v>0</v>
      </c>
      <c r="F242" s="571"/>
      <c r="G242" s="730"/>
      <c r="H242" s="669"/>
      <c r="I242" s="721"/>
      <c r="J242" s="721"/>
      <c r="K242" s="575"/>
      <c r="L242" s="606">
        <f t="shared" si="116"/>
        <v>0</v>
      </c>
      <c r="M242" s="555">
        <f t="shared" si="117"/>
        <v>0</v>
      </c>
      <c r="N242" s="575"/>
      <c r="O242" s="575"/>
      <c r="P242" s="575"/>
      <c r="Q242" s="575"/>
      <c r="R242" s="575"/>
      <c r="S242" s="575"/>
      <c r="T242" s="575"/>
      <c r="U242" s="575"/>
      <c r="V242" s="575"/>
      <c r="W242" s="575"/>
      <c r="X242" s="557">
        <f t="shared" si="115"/>
        <v>0</v>
      </c>
      <c r="Y242" s="558">
        <f t="shared" si="118"/>
        <v>0</v>
      </c>
      <c r="Z242" s="559"/>
      <c r="AA242" s="576"/>
      <c r="AB242" s="577"/>
      <c r="AC242" s="577"/>
      <c r="AD242" s="577"/>
      <c r="AE242" s="577"/>
      <c r="AF242" s="578"/>
      <c r="AG242" s="578"/>
      <c r="AH242" s="578"/>
      <c r="AI242" s="578"/>
      <c r="AJ242" s="578"/>
      <c r="AK242" s="580"/>
      <c r="AL242" s="581"/>
      <c r="AM242" s="581"/>
      <c r="AN242" s="581"/>
      <c r="AO242" s="581"/>
      <c r="AP242" s="731"/>
      <c r="AQ242" s="1015"/>
    </row>
    <row r="243" spans="1:46" x14ac:dyDescent="0.25">
      <c r="A243" s="567"/>
      <c r="B243" s="568"/>
      <c r="C243" s="569"/>
      <c r="D243" s="569"/>
      <c r="E243" s="570">
        <f t="shared" si="114"/>
        <v>0</v>
      </c>
      <c r="F243" s="571"/>
      <c r="G243" s="730"/>
      <c r="H243" s="669"/>
      <c r="I243" s="721"/>
      <c r="J243" s="721"/>
      <c r="K243" s="575"/>
      <c r="L243" s="606">
        <f t="shared" si="116"/>
        <v>0</v>
      </c>
      <c r="M243" s="555">
        <f t="shared" si="117"/>
        <v>0</v>
      </c>
      <c r="N243" s="575"/>
      <c r="O243" s="575"/>
      <c r="P243" s="575"/>
      <c r="Q243" s="575"/>
      <c r="R243" s="575"/>
      <c r="S243" s="575"/>
      <c r="T243" s="575"/>
      <c r="U243" s="575"/>
      <c r="V243" s="575"/>
      <c r="W243" s="575"/>
      <c r="X243" s="557">
        <f t="shared" si="115"/>
        <v>0</v>
      </c>
      <c r="Y243" s="558">
        <f t="shared" si="118"/>
        <v>0</v>
      </c>
      <c r="Z243" s="559"/>
      <c r="AA243" s="576"/>
      <c r="AB243" s="577"/>
      <c r="AC243" s="577"/>
      <c r="AD243" s="577"/>
      <c r="AE243" s="577"/>
      <c r="AF243" s="578"/>
      <c r="AG243" s="578"/>
      <c r="AH243" s="578"/>
      <c r="AI243" s="578"/>
      <c r="AJ243" s="578"/>
      <c r="AK243" s="580"/>
      <c r="AL243" s="581"/>
      <c r="AM243" s="581"/>
      <c r="AN243" s="581"/>
      <c r="AO243" s="581"/>
      <c r="AP243" s="731"/>
      <c r="AQ243" s="1015"/>
    </row>
    <row r="244" spans="1:46" x14ac:dyDescent="0.25">
      <c r="A244" s="567"/>
      <c r="B244" s="568"/>
      <c r="C244" s="569"/>
      <c r="D244" s="569"/>
      <c r="E244" s="570">
        <f t="shared" si="114"/>
        <v>0</v>
      </c>
      <c r="F244" s="571"/>
      <c r="G244" s="730"/>
      <c r="H244" s="669"/>
      <c r="I244" s="721"/>
      <c r="J244" s="721"/>
      <c r="K244" s="575"/>
      <c r="L244" s="606">
        <f t="shared" si="116"/>
        <v>0</v>
      </c>
      <c r="M244" s="555">
        <f t="shared" si="117"/>
        <v>0</v>
      </c>
      <c r="N244" s="575"/>
      <c r="O244" s="575"/>
      <c r="P244" s="575"/>
      <c r="Q244" s="575"/>
      <c r="R244" s="575"/>
      <c r="S244" s="575"/>
      <c r="T244" s="575"/>
      <c r="U244" s="575"/>
      <c r="V244" s="575"/>
      <c r="W244" s="575"/>
      <c r="X244" s="557">
        <f t="shared" si="115"/>
        <v>0</v>
      </c>
      <c r="Y244" s="558">
        <f t="shared" si="118"/>
        <v>0</v>
      </c>
      <c r="Z244" s="559"/>
      <c r="AA244" s="576"/>
      <c r="AB244" s="577"/>
      <c r="AC244" s="577"/>
      <c r="AD244" s="577"/>
      <c r="AE244" s="577"/>
      <c r="AF244" s="578"/>
      <c r="AG244" s="578"/>
      <c r="AH244" s="578"/>
      <c r="AI244" s="578"/>
      <c r="AJ244" s="578"/>
      <c r="AK244" s="580"/>
      <c r="AL244" s="581"/>
      <c r="AM244" s="581"/>
      <c r="AN244" s="581"/>
      <c r="AO244" s="581"/>
      <c r="AP244" s="731"/>
      <c r="AQ244" s="1015"/>
    </row>
    <row r="245" spans="1:46" x14ac:dyDescent="0.25">
      <c r="A245" s="567"/>
      <c r="B245" s="568"/>
      <c r="C245" s="569"/>
      <c r="D245" s="569"/>
      <c r="E245" s="570">
        <f t="shared" si="114"/>
        <v>0</v>
      </c>
      <c r="F245" s="571"/>
      <c r="G245" s="730"/>
      <c r="H245" s="669"/>
      <c r="I245" s="721"/>
      <c r="J245" s="721"/>
      <c r="K245" s="575"/>
      <c r="L245" s="606">
        <f t="shared" si="116"/>
        <v>0</v>
      </c>
      <c r="M245" s="555">
        <f t="shared" si="117"/>
        <v>0</v>
      </c>
      <c r="N245" s="575"/>
      <c r="O245" s="575"/>
      <c r="P245" s="575"/>
      <c r="Q245" s="575"/>
      <c r="R245" s="575"/>
      <c r="S245" s="575"/>
      <c r="T245" s="575"/>
      <c r="U245" s="575"/>
      <c r="V245" s="575"/>
      <c r="W245" s="575"/>
      <c r="X245" s="557">
        <f t="shared" si="115"/>
        <v>0</v>
      </c>
      <c r="Y245" s="558">
        <f t="shared" si="118"/>
        <v>0</v>
      </c>
      <c r="Z245" s="559"/>
      <c r="AA245" s="576"/>
      <c r="AB245" s="577"/>
      <c r="AC245" s="577"/>
      <c r="AD245" s="577"/>
      <c r="AE245" s="577"/>
      <c r="AF245" s="578"/>
      <c r="AG245" s="578"/>
      <c r="AH245" s="578"/>
      <c r="AI245" s="578"/>
      <c r="AJ245" s="578"/>
      <c r="AK245" s="580"/>
      <c r="AL245" s="581"/>
      <c r="AM245" s="581"/>
      <c r="AN245" s="581"/>
      <c r="AO245" s="581"/>
      <c r="AP245" s="731"/>
      <c r="AQ245" s="1015"/>
    </row>
    <row r="246" spans="1:46" x14ac:dyDescent="0.25">
      <c r="A246" s="567"/>
      <c r="B246" s="568"/>
      <c r="C246" s="569"/>
      <c r="D246" s="569"/>
      <c r="E246" s="570">
        <f t="shared" si="114"/>
        <v>0</v>
      </c>
      <c r="F246" s="571"/>
      <c r="G246" s="730"/>
      <c r="H246" s="669"/>
      <c r="I246" s="721"/>
      <c r="J246" s="721"/>
      <c r="K246" s="575"/>
      <c r="L246" s="606">
        <f t="shared" si="116"/>
        <v>0</v>
      </c>
      <c r="M246" s="555">
        <f t="shared" si="117"/>
        <v>0</v>
      </c>
      <c r="N246" s="575"/>
      <c r="O246" s="575"/>
      <c r="P246" s="575"/>
      <c r="Q246" s="575"/>
      <c r="R246" s="575"/>
      <c r="S246" s="575"/>
      <c r="T246" s="575"/>
      <c r="U246" s="575"/>
      <c r="V246" s="575"/>
      <c r="W246" s="575"/>
      <c r="X246" s="557">
        <f t="shared" si="115"/>
        <v>0</v>
      </c>
      <c r="Y246" s="558">
        <f t="shared" si="118"/>
        <v>0</v>
      </c>
      <c r="Z246" s="559"/>
      <c r="AA246" s="576"/>
      <c r="AB246" s="577"/>
      <c r="AC246" s="577"/>
      <c r="AD246" s="577"/>
      <c r="AE246" s="577"/>
      <c r="AF246" s="578"/>
      <c r="AG246" s="578"/>
      <c r="AH246" s="578"/>
      <c r="AI246" s="578"/>
      <c r="AJ246" s="578"/>
      <c r="AK246" s="580"/>
      <c r="AL246" s="581"/>
      <c r="AM246" s="581"/>
      <c r="AN246" s="581"/>
      <c r="AO246" s="581"/>
      <c r="AP246" s="731"/>
      <c r="AQ246" s="1015"/>
    </row>
    <row r="247" spans="1:46" x14ac:dyDescent="0.25">
      <c r="A247" s="567"/>
      <c r="B247" s="568"/>
      <c r="C247" s="569"/>
      <c r="D247" s="569"/>
      <c r="E247" s="570">
        <f t="shared" si="114"/>
        <v>0</v>
      </c>
      <c r="F247" s="571"/>
      <c r="G247" s="730"/>
      <c r="H247" s="669"/>
      <c r="I247" s="721"/>
      <c r="J247" s="721"/>
      <c r="K247" s="575"/>
      <c r="L247" s="606">
        <f t="shared" si="116"/>
        <v>0</v>
      </c>
      <c r="M247" s="555">
        <f t="shared" si="117"/>
        <v>0</v>
      </c>
      <c r="N247" s="575"/>
      <c r="O247" s="575"/>
      <c r="P247" s="575"/>
      <c r="Q247" s="575"/>
      <c r="R247" s="575"/>
      <c r="S247" s="575"/>
      <c r="T247" s="575"/>
      <c r="U247" s="575"/>
      <c r="V247" s="575"/>
      <c r="W247" s="575"/>
      <c r="X247" s="557">
        <f t="shared" si="115"/>
        <v>0</v>
      </c>
      <c r="Y247" s="558">
        <f t="shared" si="118"/>
        <v>0</v>
      </c>
      <c r="Z247" s="559"/>
      <c r="AA247" s="576"/>
      <c r="AB247" s="577"/>
      <c r="AC247" s="577"/>
      <c r="AD247" s="577"/>
      <c r="AE247" s="577"/>
      <c r="AF247" s="578"/>
      <c r="AG247" s="578"/>
      <c r="AH247" s="578"/>
      <c r="AI247" s="578"/>
      <c r="AJ247" s="578"/>
      <c r="AK247" s="580"/>
      <c r="AL247" s="581"/>
      <c r="AM247" s="581"/>
      <c r="AN247" s="581"/>
      <c r="AO247" s="581"/>
      <c r="AP247" s="731"/>
      <c r="AQ247" s="1015"/>
    </row>
    <row r="248" spans="1:46" x14ac:dyDescent="0.25">
      <c r="A248" s="567"/>
      <c r="B248" s="568"/>
      <c r="C248" s="569"/>
      <c r="D248" s="569"/>
      <c r="E248" s="570">
        <f t="shared" si="114"/>
        <v>0</v>
      </c>
      <c r="F248" s="571"/>
      <c r="G248" s="730"/>
      <c r="H248" s="669"/>
      <c r="I248" s="721"/>
      <c r="J248" s="721"/>
      <c r="K248" s="575"/>
      <c r="L248" s="606">
        <f t="shared" si="116"/>
        <v>0</v>
      </c>
      <c r="M248" s="555">
        <f t="shared" si="117"/>
        <v>0</v>
      </c>
      <c r="N248" s="575"/>
      <c r="O248" s="575"/>
      <c r="P248" s="575"/>
      <c r="Q248" s="575"/>
      <c r="R248" s="575"/>
      <c r="S248" s="575"/>
      <c r="T248" s="575"/>
      <c r="U248" s="575"/>
      <c r="V248" s="575"/>
      <c r="W248" s="575"/>
      <c r="X248" s="557">
        <f t="shared" si="115"/>
        <v>0</v>
      </c>
      <c r="Y248" s="558">
        <f t="shared" si="118"/>
        <v>0</v>
      </c>
      <c r="Z248" s="559"/>
      <c r="AA248" s="576"/>
      <c r="AB248" s="577"/>
      <c r="AC248" s="577"/>
      <c r="AD248" s="577"/>
      <c r="AE248" s="577"/>
      <c r="AF248" s="578"/>
      <c r="AG248" s="578"/>
      <c r="AH248" s="578"/>
      <c r="AI248" s="578"/>
      <c r="AJ248" s="578"/>
      <c r="AK248" s="580"/>
      <c r="AL248" s="581"/>
      <c r="AM248" s="581"/>
      <c r="AN248" s="581"/>
      <c r="AO248" s="581"/>
      <c r="AP248" s="731"/>
      <c r="AQ248" s="1015"/>
    </row>
    <row r="249" spans="1:46" x14ac:dyDescent="0.25">
      <c r="A249" s="567"/>
      <c r="B249" s="568"/>
      <c r="C249" s="569"/>
      <c r="D249" s="569"/>
      <c r="E249" s="570">
        <f t="shared" si="114"/>
        <v>0</v>
      </c>
      <c r="F249" s="571"/>
      <c r="G249" s="730"/>
      <c r="H249" s="669"/>
      <c r="I249" s="721"/>
      <c r="J249" s="721"/>
      <c r="K249" s="575"/>
      <c r="L249" s="606">
        <f t="shared" si="116"/>
        <v>0</v>
      </c>
      <c r="M249" s="555">
        <f t="shared" si="117"/>
        <v>0</v>
      </c>
      <c r="N249" s="575"/>
      <c r="O249" s="575"/>
      <c r="P249" s="575"/>
      <c r="Q249" s="575"/>
      <c r="R249" s="575"/>
      <c r="S249" s="575"/>
      <c r="T249" s="575"/>
      <c r="U249" s="575"/>
      <c r="V249" s="575"/>
      <c r="W249" s="575"/>
      <c r="X249" s="557">
        <f t="shared" si="115"/>
        <v>0</v>
      </c>
      <c r="Y249" s="558">
        <f t="shared" si="118"/>
        <v>0</v>
      </c>
      <c r="Z249" s="559"/>
      <c r="AA249" s="576"/>
      <c r="AB249" s="577"/>
      <c r="AC249" s="577"/>
      <c r="AD249" s="577"/>
      <c r="AE249" s="577"/>
      <c r="AF249" s="578"/>
      <c r="AG249" s="578"/>
      <c r="AH249" s="578"/>
      <c r="AI249" s="578"/>
      <c r="AJ249" s="578"/>
      <c r="AK249" s="580"/>
      <c r="AL249" s="581"/>
      <c r="AM249" s="581"/>
      <c r="AN249" s="581"/>
      <c r="AO249" s="581"/>
      <c r="AP249" s="731"/>
      <c r="AQ249" s="1015"/>
    </row>
    <row r="250" spans="1:46" x14ac:dyDescent="0.25">
      <c r="A250" s="567"/>
      <c r="B250" s="568"/>
      <c r="C250" s="569"/>
      <c r="D250" s="569"/>
      <c r="E250" s="570">
        <f t="shared" si="114"/>
        <v>0</v>
      </c>
      <c r="F250" s="571"/>
      <c r="G250" s="730"/>
      <c r="H250" s="669"/>
      <c r="I250" s="721"/>
      <c r="J250" s="721"/>
      <c r="K250" s="575"/>
      <c r="L250" s="606">
        <f t="shared" si="116"/>
        <v>0</v>
      </c>
      <c r="M250" s="555">
        <f t="shared" si="117"/>
        <v>0</v>
      </c>
      <c r="N250" s="575"/>
      <c r="O250" s="575"/>
      <c r="P250" s="575"/>
      <c r="Q250" s="575"/>
      <c r="R250" s="575"/>
      <c r="S250" s="575"/>
      <c r="T250" s="575"/>
      <c r="U250" s="575"/>
      <c r="V250" s="575"/>
      <c r="W250" s="575"/>
      <c r="X250" s="557">
        <f t="shared" si="115"/>
        <v>0</v>
      </c>
      <c r="Y250" s="558">
        <f t="shared" si="118"/>
        <v>0</v>
      </c>
      <c r="Z250" s="559"/>
      <c r="AA250" s="576"/>
      <c r="AB250" s="577"/>
      <c r="AC250" s="577"/>
      <c r="AD250" s="577"/>
      <c r="AE250" s="577"/>
      <c r="AF250" s="578"/>
      <c r="AG250" s="578"/>
      <c r="AH250" s="578"/>
      <c r="AI250" s="578"/>
      <c r="AJ250" s="578"/>
      <c r="AK250" s="580"/>
      <c r="AL250" s="581"/>
      <c r="AM250" s="581"/>
      <c r="AN250" s="581"/>
      <c r="AO250" s="581"/>
      <c r="AP250" s="731"/>
      <c r="AQ250" s="1015"/>
    </row>
    <row r="251" spans="1:46" x14ac:dyDescent="0.25">
      <c r="A251" s="567"/>
      <c r="B251" s="568"/>
      <c r="C251" s="569"/>
      <c r="D251" s="569"/>
      <c r="E251" s="570">
        <f t="shared" si="114"/>
        <v>0</v>
      </c>
      <c r="F251" s="571"/>
      <c r="G251" s="730"/>
      <c r="H251" s="669"/>
      <c r="I251" s="721"/>
      <c r="J251" s="721"/>
      <c r="K251" s="575"/>
      <c r="L251" s="606">
        <f t="shared" si="116"/>
        <v>0</v>
      </c>
      <c r="M251" s="555">
        <f t="shared" si="117"/>
        <v>0</v>
      </c>
      <c r="N251" s="575"/>
      <c r="O251" s="575"/>
      <c r="P251" s="575"/>
      <c r="Q251" s="575"/>
      <c r="R251" s="575"/>
      <c r="S251" s="575"/>
      <c r="T251" s="575"/>
      <c r="U251" s="575"/>
      <c r="V251" s="575"/>
      <c r="W251" s="575"/>
      <c r="X251" s="557">
        <f t="shared" si="115"/>
        <v>0</v>
      </c>
      <c r="Y251" s="558">
        <f t="shared" si="118"/>
        <v>0</v>
      </c>
      <c r="Z251" s="559"/>
      <c r="AA251" s="576"/>
      <c r="AB251" s="577"/>
      <c r="AC251" s="577"/>
      <c r="AD251" s="577"/>
      <c r="AE251" s="577"/>
      <c r="AF251" s="578"/>
      <c r="AG251" s="578"/>
      <c r="AH251" s="578"/>
      <c r="AI251" s="578"/>
      <c r="AJ251" s="578"/>
      <c r="AK251" s="580"/>
      <c r="AL251" s="581"/>
      <c r="AM251" s="581"/>
      <c r="AN251" s="581"/>
      <c r="AO251" s="590"/>
      <c r="AP251" s="1016"/>
      <c r="AQ251" s="1017"/>
    </row>
    <row r="252" spans="1:46" s="1036" customFormat="1" ht="35.25" customHeight="1" x14ac:dyDescent="0.25">
      <c r="A252" s="1712" t="s">
        <v>417</v>
      </c>
      <c r="B252" s="1713"/>
      <c r="C252" s="1713"/>
      <c r="D252" s="1714"/>
      <c r="E252" s="846"/>
      <c r="F252" s="1715" t="s">
        <v>417</v>
      </c>
      <c r="G252" s="1713"/>
      <c r="H252" s="1713"/>
      <c r="I252" s="1713"/>
      <c r="J252" s="1713"/>
      <c r="K252" s="1714"/>
      <c r="L252" s="847"/>
      <c r="M252" s="847"/>
      <c r="N252" s="847"/>
      <c r="O252" s="847"/>
      <c r="P252" s="847"/>
      <c r="Q252" s="847"/>
      <c r="R252" s="847"/>
      <c r="S252" s="847"/>
      <c r="T252" s="847"/>
      <c r="U252" s="847"/>
      <c r="V252" s="847"/>
      <c r="W252" s="847"/>
      <c r="X252" s="847"/>
      <c r="Y252" s="848"/>
      <c r="Z252" s="849"/>
      <c r="AA252" s="1045"/>
      <c r="AB252" s="1046"/>
      <c r="AC252" s="1046"/>
      <c r="AD252" s="1046"/>
      <c r="AE252" s="1046"/>
      <c r="AF252" s="1047"/>
      <c r="AG252" s="1048"/>
      <c r="AH252" s="1048"/>
      <c r="AI252" s="1048"/>
      <c r="AJ252" s="1048"/>
      <c r="AK252" s="1049"/>
      <c r="AL252" s="1046"/>
      <c r="AM252" s="1046"/>
      <c r="AN252" s="1046"/>
      <c r="AO252" s="1046"/>
      <c r="AP252" s="1050"/>
      <c r="AQ252" s="1051"/>
    </row>
    <row r="253" spans="1:46" x14ac:dyDescent="0.25">
      <c r="A253" s="567"/>
      <c r="B253" s="568"/>
      <c r="C253" s="569"/>
      <c r="D253" s="569"/>
      <c r="E253" s="570">
        <f t="shared" si="114"/>
        <v>0</v>
      </c>
      <c r="F253" s="571"/>
      <c r="G253" s="730"/>
      <c r="H253" s="669"/>
      <c r="I253" s="721"/>
      <c r="J253" s="721"/>
      <c r="K253" s="575"/>
      <c r="L253" s="606">
        <f>IFERROR(IF($K$24="VK",K253,K253/H253),0)</f>
        <v>0</v>
      </c>
      <c r="M253" s="555">
        <f>IFERROR(L253*H253,"")</f>
        <v>0</v>
      </c>
      <c r="N253" s="575"/>
      <c r="O253" s="575"/>
      <c r="P253" s="575"/>
      <c r="Q253" s="575"/>
      <c r="R253" s="575"/>
      <c r="S253" s="575"/>
      <c r="T253" s="575"/>
      <c r="U253" s="575"/>
      <c r="V253" s="575"/>
      <c r="W253" s="575"/>
      <c r="X253" s="557">
        <f t="shared" si="115"/>
        <v>0</v>
      </c>
      <c r="Y253" s="558">
        <f>IF(ISERROR(X253/H253),0,(X253/H253))</f>
        <v>0</v>
      </c>
      <c r="Z253" s="559"/>
      <c r="AA253" s="560"/>
      <c r="AB253" s="561"/>
      <c r="AC253" s="561"/>
      <c r="AD253" s="561"/>
      <c r="AE253" s="674"/>
      <c r="AF253" s="684">
        <f>(IF(AND($H253&gt;0,$K253&gt;0),($M253+$N253),0))</f>
        <v>0</v>
      </c>
      <c r="AG253" s="685">
        <f>(IF(AND($H253&gt;0,$K253&gt;0,),$O253,0))</f>
        <v>0</v>
      </c>
      <c r="AH253" s="685">
        <f>(IF(AND($H253&gt;0,$K253&gt;0),$P253,0))</f>
        <v>0</v>
      </c>
      <c r="AI253" s="685">
        <f>(IF(AND($H253&gt;0,$K253&gt;0),$Q253,0))</f>
        <v>0</v>
      </c>
      <c r="AJ253" s="686">
        <f>(IF(AND($H253&gt;0,$K253&gt;0),(($T253+$U253)/12),0))</f>
        <v>0</v>
      </c>
      <c r="AK253" s="677"/>
      <c r="AL253" s="565"/>
      <c r="AM253" s="565"/>
      <c r="AN253" s="565"/>
      <c r="AO253" s="565"/>
      <c r="AP253" s="678"/>
      <c r="AQ253" s="1014">
        <f>IF(AND($H253&gt;0,$K253&gt;0),$H253,0)</f>
        <v>0</v>
      </c>
      <c r="AR253" s="329"/>
      <c r="AS253" s="329"/>
      <c r="AT253" s="1021">
        <f t="shared" ref="AT253:AT262" si="119">IF(AND($H253&gt;0,$K253&gt;0),$X253,0)</f>
        <v>0</v>
      </c>
    </row>
    <row r="254" spans="1:46" x14ac:dyDescent="0.25">
      <c r="A254" s="567"/>
      <c r="B254" s="568"/>
      <c r="C254" s="569"/>
      <c r="D254" s="569"/>
      <c r="E254" s="570">
        <f t="shared" si="114"/>
        <v>0</v>
      </c>
      <c r="F254" s="571"/>
      <c r="G254" s="730"/>
      <c r="H254" s="669"/>
      <c r="I254" s="721"/>
      <c r="J254" s="721"/>
      <c r="K254" s="575"/>
      <c r="L254" s="606">
        <f t="shared" ref="L254:L262" si="120">IFERROR(IF($K$24="VK",K254,K254/H254),0)</f>
        <v>0</v>
      </c>
      <c r="M254" s="555">
        <f t="shared" ref="M254:M262" si="121">IFERROR(L254*H254,"")</f>
        <v>0</v>
      </c>
      <c r="N254" s="575"/>
      <c r="O254" s="575"/>
      <c r="P254" s="575"/>
      <c r="Q254" s="575"/>
      <c r="R254" s="575"/>
      <c r="S254" s="575"/>
      <c r="T254" s="575"/>
      <c r="U254" s="575"/>
      <c r="V254" s="575"/>
      <c r="W254" s="575"/>
      <c r="X254" s="557">
        <f t="shared" si="115"/>
        <v>0</v>
      </c>
      <c r="Y254" s="558">
        <f t="shared" ref="Y254:Y262" si="122">IF(ISERROR(X254/H254),0,(X254/H254))</f>
        <v>0</v>
      </c>
      <c r="Z254" s="559"/>
      <c r="AA254" s="576"/>
      <c r="AB254" s="577"/>
      <c r="AC254" s="577"/>
      <c r="AD254" s="577"/>
      <c r="AE254" s="679"/>
      <c r="AF254" s="684">
        <f t="shared" ref="AF254:AF262" si="123">(IF(AND($H254&gt;0,$K254&gt;0),($M254+$N254),0))</f>
        <v>0</v>
      </c>
      <c r="AG254" s="685">
        <f t="shared" ref="AG254:AG262" si="124">(IF(AND($H254&gt;0,$K254&gt;0,),$O254,0))</f>
        <v>0</v>
      </c>
      <c r="AH254" s="685">
        <f t="shared" ref="AH254:AH262" si="125">(IF(AND($H254&gt;0,$K254&gt;0),$P254,0))</f>
        <v>0</v>
      </c>
      <c r="AI254" s="685">
        <f t="shared" ref="AI254:AI262" si="126">(IF(AND($H254&gt;0,$K254&gt;0),$Q254,0))</f>
        <v>0</v>
      </c>
      <c r="AJ254" s="686">
        <f t="shared" ref="AJ254:AJ262" si="127">(IF(AND($H254&gt;0,$K254&gt;0),(($T254+$U254)/12),0))</f>
        <v>0</v>
      </c>
      <c r="AK254" s="680"/>
      <c r="AL254" s="581"/>
      <c r="AM254" s="581"/>
      <c r="AN254" s="581"/>
      <c r="AO254" s="581"/>
      <c r="AP254" s="681"/>
      <c r="AQ254" s="1014">
        <f t="shared" ref="AQ254:AQ262" si="128">IF(AND($H254&gt;0,$K254&gt;0),$H254,0)</f>
        <v>0</v>
      </c>
      <c r="AR254" s="329"/>
      <c r="AS254" s="329"/>
      <c r="AT254" s="1021">
        <f t="shared" si="119"/>
        <v>0</v>
      </c>
    </row>
    <row r="255" spans="1:46" x14ac:dyDescent="0.25">
      <c r="A255" s="567"/>
      <c r="B255" s="568"/>
      <c r="C255" s="569"/>
      <c r="D255" s="569"/>
      <c r="E255" s="570">
        <f t="shared" si="114"/>
        <v>0</v>
      </c>
      <c r="F255" s="571"/>
      <c r="G255" s="730"/>
      <c r="H255" s="669"/>
      <c r="I255" s="721"/>
      <c r="J255" s="721"/>
      <c r="K255" s="575"/>
      <c r="L255" s="606">
        <f t="shared" si="120"/>
        <v>0</v>
      </c>
      <c r="M255" s="555">
        <f t="shared" si="121"/>
        <v>0</v>
      </c>
      <c r="N255" s="575"/>
      <c r="O255" s="575"/>
      <c r="P255" s="575"/>
      <c r="Q255" s="575"/>
      <c r="R255" s="575"/>
      <c r="S255" s="575"/>
      <c r="T255" s="575"/>
      <c r="U255" s="575"/>
      <c r="V255" s="575"/>
      <c r="W255" s="575"/>
      <c r="X255" s="557">
        <f t="shared" si="115"/>
        <v>0</v>
      </c>
      <c r="Y255" s="558">
        <f t="shared" si="122"/>
        <v>0</v>
      </c>
      <c r="Z255" s="559"/>
      <c r="AA255" s="576"/>
      <c r="AB255" s="577"/>
      <c r="AC255" s="577"/>
      <c r="AD255" s="577"/>
      <c r="AE255" s="679"/>
      <c r="AF255" s="684">
        <f t="shared" si="123"/>
        <v>0</v>
      </c>
      <c r="AG255" s="685">
        <f t="shared" si="124"/>
        <v>0</v>
      </c>
      <c r="AH255" s="685">
        <f t="shared" si="125"/>
        <v>0</v>
      </c>
      <c r="AI255" s="685">
        <f t="shared" si="126"/>
        <v>0</v>
      </c>
      <c r="AJ255" s="686">
        <f t="shared" si="127"/>
        <v>0</v>
      </c>
      <c r="AK255" s="680"/>
      <c r="AL255" s="581"/>
      <c r="AM255" s="581"/>
      <c r="AN255" s="581"/>
      <c r="AO255" s="581"/>
      <c r="AP255" s="681"/>
      <c r="AQ255" s="1014">
        <f t="shared" si="128"/>
        <v>0</v>
      </c>
      <c r="AR255" s="329"/>
      <c r="AS255" s="329"/>
      <c r="AT255" s="1021">
        <f t="shared" si="119"/>
        <v>0</v>
      </c>
    </row>
    <row r="256" spans="1:46" x14ac:dyDescent="0.25">
      <c r="A256" s="567"/>
      <c r="B256" s="568"/>
      <c r="C256" s="569"/>
      <c r="D256" s="569"/>
      <c r="E256" s="570">
        <f t="shared" si="114"/>
        <v>0</v>
      </c>
      <c r="F256" s="571"/>
      <c r="G256" s="730"/>
      <c r="H256" s="669"/>
      <c r="I256" s="721"/>
      <c r="J256" s="721"/>
      <c r="K256" s="575"/>
      <c r="L256" s="606">
        <f t="shared" si="120"/>
        <v>0</v>
      </c>
      <c r="M256" s="555">
        <f t="shared" si="121"/>
        <v>0</v>
      </c>
      <c r="N256" s="575"/>
      <c r="O256" s="575"/>
      <c r="P256" s="575"/>
      <c r="Q256" s="575"/>
      <c r="R256" s="575"/>
      <c r="S256" s="575"/>
      <c r="T256" s="575"/>
      <c r="U256" s="575"/>
      <c r="V256" s="575"/>
      <c r="W256" s="575"/>
      <c r="X256" s="557">
        <f t="shared" si="115"/>
        <v>0</v>
      </c>
      <c r="Y256" s="558">
        <f t="shared" si="122"/>
        <v>0</v>
      </c>
      <c r="Z256" s="559"/>
      <c r="AA256" s="576"/>
      <c r="AB256" s="577"/>
      <c r="AC256" s="577"/>
      <c r="AD256" s="577"/>
      <c r="AE256" s="679"/>
      <c r="AF256" s="684">
        <f t="shared" si="123"/>
        <v>0</v>
      </c>
      <c r="AG256" s="685">
        <f t="shared" si="124"/>
        <v>0</v>
      </c>
      <c r="AH256" s="685">
        <f t="shared" si="125"/>
        <v>0</v>
      </c>
      <c r="AI256" s="685">
        <f t="shared" si="126"/>
        <v>0</v>
      </c>
      <c r="AJ256" s="686">
        <f t="shared" si="127"/>
        <v>0</v>
      </c>
      <c r="AK256" s="680"/>
      <c r="AL256" s="581"/>
      <c r="AM256" s="581"/>
      <c r="AN256" s="581"/>
      <c r="AO256" s="581"/>
      <c r="AP256" s="681"/>
      <c r="AQ256" s="1014">
        <f t="shared" si="128"/>
        <v>0</v>
      </c>
      <c r="AR256" s="329"/>
      <c r="AS256" s="329"/>
      <c r="AT256" s="1021">
        <f t="shared" si="119"/>
        <v>0</v>
      </c>
    </row>
    <row r="257" spans="1:47" x14ac:dyDescent="0.25">
      <c r="A257" s="567"/>
      <c r="B257" s="568"/>
      <c r="C257" s="569"/>
      <c r="D257" s="569"/>
      <c r="E257" s="570">
        <f t="shared" si="114"/>
        <v>0</v>
      </c>
      <c r="F257" s="571"/>
      <c r="G257" s="730"/>
      <c r="H257" s="669"/>
      <c r="I257" s="721"/>
      <c r="J257" s="721"/>
      <c r="K257" s="575"/>
      <c r="L257" s="606">
        <f t="shared" si="120"/>
        <v>0</v>
      </c>
      <c r="M257" s="555">
        <f t="shared" si="121"/>
        <v>0</v>
      </c>
      <c r="N257" s="575"/>
      <c r="O257" s="575"/>
      <c r="P257" s="575"/>
      <c r="Q257" s="575"/>
      <c r="R257" s="575"/>
      <c r="S257" s="575"/>
      <c r="T257" s="575"/>
      <c r="U257" s="575"/>
      <c r="V257" s="575"/>
      <c r="W257" s="575"/>
      <c r="X257" s="557">
        <f t="shared" si="115"/>
        <v>0</v>
      </c>
      <c r="Y257" s="558">
        <f t="shared" si="122"/>
        <v>0</v>
      </c>
      <c r="Z257" s="559"/>
      <c r="AA257" s="576"/>
      <c r="AB257" s="577"/>
      <c r="AC257" s="577"/>
      <c r="AD257" s="577"/>
      <c r="AE257" s="679"/>
      <c r="AF257" s="684">
        <f t="shared" si="123"/>
        <v>0</v>
      </c>
      <c r="AG257" s="685">
        <f t="shared" si="124"/>
        <v>0</v>
      </c>
      <c r="AH257" s="685">
        <f t="shared" si="125"/>
        <v>0</v>
      </c>
      <c r="AI257" s="685">
        <f t="shared" si="126"/>
        <v>0</v>
      </c>
      <c r="AJ257" s="686">
        <f t="shared" si="127"/>
        <v>0</v>
      </c>
      <c r="AK257" s="680"/>
      <c r="AL257" s="581"/>
      <c r="AM257" s="581"/>
      <c r="AN257" s="581"/>
      <c r="AO257" s="581"/>
      <c r="AP257" s="681"/>
      <c r="AQ257" s="1014">
        <f t="shared" si="128"/>
        <v>0</v>
      </c>
      <c r="AR257" s="329"/>
      <c r="AS257" s="329"/>
      <c r="AT257" s="1021">
        <f t="shared" si="119"/>
        <v>0</v>
      </c>
    </row>
    <row r="258" spans="1:47" x14ac:dyDescent="0.25">
      <c r="A258" s="567"/>
      <c r="B258" s="568"/>
      <c r="C258" s="569"/>
      <c r="D258" s="569"/>
      <c r="E258" s="570">
        <f t="shared" si="114"/>
        <v>0</v>
      </c>
      <c r="F258" s="571"/>
      <c r="G258" s="730"/>
      <c r="H258" s="669"/>
      <c r="I258" s="721"/>
      <c r="J258" s="721"/>
      <c r="K258" s="575"/>
      <c r="L258" s="606">
        <f t="shared" si="120"/>
        <v>0</v>
      </c>
      <c r="M258" s="555">
        <f t="shared" si="121"/>
        <v>0</v>
      </c>
      <c r="N258" s="575"/>
      <c r="O258" s="575"/>
      <c r="P258" s="575"/>
      <c r="Q258" s="575"/>
      <c r="R258" s="575"/>
      <c r="S258" s="575"/>
      <c r="T258" s="575"/>
      <c r="U258" s="575"/>
      <c r="V258" s="575"/>
      <c r="W258" s="575"/>
      <c r="X258" s="557">
        <f t="shared" si="115"/>
        <v>0</v>
      </c>
      <c r="Y258" s="558">
        <f t="shared" si="122"/>
        <v>0</v>
      </c>
      <c r="Z258" s="559"/>
      <c r="AA258" s="576"/>
      <c r="AB258" s="577"/>
      <c r="AC258" s="577"/>
      <c r="AD258" s="577"/>
      <c r="AE258" s="679"/>
      <c r="AF258" s="684">
        <f t="shared" si="123"/>
        <v>0</v>
      </c>
      <c r="AG258" s="685">
        <f t="shared" si="124"/>
        <v>0</v>
      </c>
      <c r="AH258" s="685">
        <f t="shared" si="125"/>
        <v>0</v>
      </c>
      <c r="AI258" s="685">
        <f t="shared" si="126"/>
        <v>0</v>
      </c>
      <c r="AJ258" s="686">
        <f t="shared" si="127"/>
        <v>0</v>
      </c>
      <c r="AK258" s="680"/>
      <c r="AL258" s="581"/>
      <c r="AM258" s="581"/>
      <c r="AN258" s="581"/>
      <c r="AO258" s="581"/>
      <c r="AP258" s="681"/>
      <c r="AQ258" s="1014">
        <f t="shared" si="128"/>
        <v>0</v>
      </c>
      <c r="AR258" s="329"/>
      <c r="AS258" s="329"/>
      <c r="AT258" s="1021">
        <f t="shared" si="119"/>
        <v>0</v>
      </c>
    </row>
    <row r="259" spans="1:47" x14ac:dyDescent="0.25">
      <c r="A259" s="567"/>
      <c r="B259" s="568"/>
      <c r="C259" s="569"/>
      <c r="D259" s="569"/>
      <c r="E259" s="570">
        <f t="shared" si="114"/>
        <v>0</v>
      </c>
      <c r="F259" s="571"/>
      <c r="G259" s="730"/>
      <c r="H259" s="669"/>
      <c r="I259" s="721"/>
      <c r="J259" s="721"/>
      <c r="K259" s="575"/>
      <c r="L259" s="606">
        <f t="shared" si="120"/>
        <v>0</v>
      </c>
      <c r="M259" s="555">
        <f t="shared" si="121"/>
        <v>0</v>
      </c>
      <c r="N259" s="575"/>
      <c r="O259" s="575"/>
      <c r="P259" s="575"/>
      <c r="Q259" s="575"/>
      <c r="R259" s="575"/>
      <c r="S259" s="575"/>
      <c r="T259" s="575"/>
      <c r="U259" s="575"/>
      <c r="V259" s="575"/>
      <c r="W259" s="575"/>
      <c r="X259" s="557">
        <f t="shared" si="115"/>
        <v>0</v>
      </c>
      <c r="Y259" s="558">
        <f t="shared" si="122"/>
        <v>0</v>
      </c>
      <c r="Z259" s="559"/>
      <c r="AA259" s="576"/>
      <c r="AB259" s="577"/>
      <c r="AC259" s="577"/>
      <c r="AD259" s="577"/>
      <c r="AE259" s="679"/>
      <c r="AF259" s="684">
        <f t="shared" si="123"/>
        <v>0</v>
      </c>
      <c r="AG259" s="685">
        <f t="shared" si="124"/>
        <v>0</v>
      </c>
      <c r="AH259" s="685">
        <f t="shared" si="125"/>
        <v>0</v>
      </c>
      <c r="AI259" s="685">
        <f t="shared" si="126"/>
        <v>0</v>
      </c>
      <c r="AJ259" s="686">
        <f t="shared" si="127"/>
        <v>0</v>
      </c>
      <c r="AK259" s="680"/>
      <c r="AL259" s="581"/>
      <c r="AM259" s="581"/>
      <c r="AN259" s="581"/>
      <c r="AO259" s="581"/>
      <c r="AP259" s="681"/>
      <c r="AQ259" s="1014">
        <f t="shared" si="128"/>
        <v>0</v>
      </c>
      <c r="AR259" s="329"/>
      <c r="AS259" s="329"/>
      <c r="AT259" s="1021">
        <f t="shared" si="119"/>
        <v>0</v>
      </c>
    </row>
    <row r="260" spans="1:47" x14ac:dyDescent="0.25">
      <c r="A260" s="567"/>
      <c r="B260" s="568"/>
      <c r="C260" s="569"/>
      <c r="D260" s="569"/>
      <c r="E260" s="570">
        <f t="shared" si="114"/>
        <v>0</v>
      </c>
      <c r="F260" s="571"/>
      <c r="G260" s="730"/>
      <c r="H260" s="669"/>
      <c r="I260" s="721"/>
      <c r="J260" s="721"/>
      <c r="K260" s="575"/>
      <c r="L260" s="606">
        <f t="shared" si="120"/>
        <v>0</v>
      </c>
      <c r="M260" s="555">
        <f t="shared" si="121"/>
        <v>0</v>
      </c>
      <c r="N260" s="575"/>
      <c r="O260" s="575"/>
      <c r="P260" s="575"/>
      <c r="Q260" s="575"/>
      <c r="R260" s="575"/>
      <c r="S260" s="575"/>
      <c r="T260" s="575"/>
      <c r="U260" s="575"/>
      <c r="V260" s="575"/>
      <c r="W260" s="575"/>
      <c r="X260" s="557">
        <f t="shared" si="115"/>
        <v>0</v>
      </c>
      <c r="Y260" s="558">
        <f t="shared" si="122"/>
        <v>0</v>
      </c>
      <c r="Z260" s="559"/>
      <c r="AA260" s="576"/>
      <c r="AB260" s="577"/>
      <c r="AC260" s="577"/>
      <c r="AD260" s="577"/>
      <c r="AE260" s="679"/>
      <c r="AF260" s="684">
        <f t="shared" si="123"/>
        <v>0</v>
      </c>
      <c r="AG260" s="685">
        <f t="shared" si="124"/>
        <v>0</v>
      </c>
      <c r="AH260" s="685">
        <f t="shared" si="125"/>
        <v>0</v>
      </c>
      <c r="AI260" s="685">
        <f t="shared" si="126"/>
        <v>0</v>
      </c>
      <c r="AJ260" s="686">
        <f t="shared" si="127"/>
        <v>0</v>
      </c>
      <c r="AK260" s="680"/>
      <c r="AL260" s="581"/>
      <c r="AM260" s="581"/>
      <c r="AN260" s="581"/>
      <c r="AO260" s="581"/>
      <c r="AP260" s="681"/>
      <c r="AQ260" s="1014">
        <f t="shared" si="128"/>
        <v>0</v>
      </c>
      <c r="AR260" s="329"/>
      <c r="AS260" s="329"/>
      <c r="AT260" s="1021">
        <f t="shared" si="119"/>
        <v>0</v>
      </c>
    </row>
    <row r="261" spans="1:47" x14ac:dyDescent="0.25">
      <c r="A261" s="567"/>
      <c r="B261" s="568"/>
      <c r="C261" s="569"/>
      <c r="D261" s="569"/>
      <c r="E261" s="570">
        <f t="shared" si="114"/>
        <v>0</v>
      </c>
      <c r="F261" s="571"/>
      <c r="G261" s="730"/>
      <c r="H261" s="669"/>
      <c r="I261" s="721"/>
      <c r="J261" s="721"/>
      <c r="K261" s="575"/>
      <c r="L261" s="606">
        <f t="shared" si="120"/>
        <v>0</v>
      </c>
      <c r="M261" s="555">
        <f t="shared" si="121"/>
        <v>0</v>
      </c>
      <c r="N261" s="575"/>
      <c r="O261" s="575"/>
      <c r="P261" s="575"/>
      <c r="Q261" s="575"/>
      <c r="R261" s="575"/>
      <c r="S261" s="575"/>
      <c r="T261" s="575"/>
      <c r="U261" s="575"/>
      <c r="V261" s="575"/>
      <c r="W261" s="575"/>
      <c r="X261" s="557">
        <f t="shared" si="115"/>
        <v>0</v>
      </c>
      <c r="Y261" s="558">
        <f t="shared" si="122"/>
        <v>0</v>
      </c>
      <c r="Z261" s="559"/>
      <c r="AA261" s="576"/>
      <c r="AB261" s="577"/>
      <c r="AC261" s="577"/>
      <c r="AD261" s="577"/>
      <c r="AE261" s="679"/>
      <c r="AF261" s="684">
        <f t="shared" si="123"/>
        <v>0</v>
      </c>
      <c r="AG261" s="685">
        <f t="shared" si="124"/>
        <v>0</v>
      </c>
      <c r="AH261" s="685">
        <f t="shared" si="125"/>
        <v>0</v>
      </c>
      <c r="AI261" s="685">
        <f t="shared" si="126"/>
        <v>0</v>
      </c>
      <c r="AJ261" s="686">
        <f t="shared" si="127"/>
        <v>0</v>
      </c>
      <c r="AK261" s="680"/>
      <c r="AL261" s="581"/>
      <c r="AM261" s="581"/>
      <c r="AN261" s="581"/>
      <c r="AO261" s="581"/>
      <c r="AP261" s="681"/>
      <c r="AQ261" s="1014">
        <f t="shared" si="128"/>
        <v>0</v>
      </c>
      <c r="AR261" s="329"/>
      <c r="AS261" s="329"/>
      <c r="AT261" s="1021">
        <f t="shared" si="119"/>
        <v>0</v>
      </c>
    </row>
    <row r="262" spans="1:47" x14ac:dyDescent="0.25">
      <c r="A262" s="567"/>
      <c r="B262" s="568"/>
      <c r="C262" s="569"/>
      <c r="D262" s="569"/>
      <c r="E262" s="570">
        <f t="shared" si="114"/>
        <v>0</v>
      </c>
      <c r="F262" s="571"/>
      <c r="G262" s="730"/>
      <c r="H262" s="669"/>
      <c r="I262" s="721"/>
      <c r="J262" s="721"/>
      <c r="K262" s="575"/>
      <c r="L262" s="606">
        <f t="shared" si="120"/>
        <v>0</v>
      </c>
      <c r="M262" s="555">
        <f t="shared" si="121"/>
        <v>0</v>
      </c>
      <c r="N262" s="575"/>
      <c r="O262" s="575"/>
      <c r="P262" s="575"/>
      <c r="Q262" s="575"/>
      <c r="R262" s="575"/>
      <c r="S262" s="575"/>
      <c r="T262" s="575"/>
      <c r="U262" s="575"/>
      <c r="V262" s="575"/>
      <c r="W262" s="575"/>
      <c r="X262" s="557">
        <f t="shared" si="115"/>
        <v>0</v>
      </c>
      <c r="Y262" s="558">
        <f t="shared" si="122"/>
        <v>0</v>
      </c>
      <c r="Z262" s="559"/>
      <c r="AA262" s="576"/>
      <c r="AB262" s="577"/>
      <c r="AC262" s="577"/>
      <c r="AD262" s="577"/>
      <c r="AE262" s="679"/>
      <c r="AF262" s="684">
        <f t="shared" si="123"/>
        <v>0</v>
      </c>
      <c r="AG262" s="685">
        <f t="shared" si="124"/>
        <v>0</v>
      </c>
      <c r="AH262" s="685">
        <f t="shared" si="125"/>
        <v>0</v>
      </c>
      <c r="AI262" s="685">
        <f t="shared" si="126"/>
        <v>0</v>
      </c>
      <c r="AJ262" s="686">
        <f t="shared" si="127"/>
        <v>0</v>
      </c>
      <c r="AK262" s="680"/>
      <c r="AL262" s="581"/>
      <c r="AM262" s="581"/>
      <c r="AN262" s="581"/>
      <c r="AO262" s="581"/>
      <c r="AP262" s="681"/>
      <c r="AQ262" s="1014">
        <f t="shared" si="128"/>
        <v>0</v>
      </c>
      <c r="AR262" s="329"/>
      <c r="AS262" s="329"/>
      <c r="AT262" s="1021">
        <f t="shared" si="119"/>
        <v>0</v>
      </c>
    </row>
    <row r="263" spans="1:47" ht="29.25" customHeight="1" x14ac:dyDescent="0.25">
      <c r="A263" s="1803" t="s">
        <v>502</v>
      </c>
      <c r="B263" s="1804"/>
      <c r="C263" s="1804"/>
      <c r="D263" s="1805"/>
      <c r="E263" s="732"/>
      <c r="F263" s="1806" t="s">
        <v>503</v>
      </c>
      <c r="G263" s="1804"/>
      <c r="H263" s="1804"/>
      <c r="I263" s="1804"/>
      <c r="J263" s="1804"/>
      <c r="K263" s="1805"/>
      <c r="L263" s="733"/>
      <c r="M263" s="733"/>
      <c r="N263" s="733"/>
      <c r="O263" s="733"/>
      <c r="P263" s="733"/>
      <c r="Q263" s="733"/>
      <c r="R263" s="733"/>
      <c r="S263" s="733"/>
      <c r="T263" s="733"/>
      <c r="U263" s="733"/>
      <c r="V263" s="733"/>
      <c r="W263" s="733"/>
      <c r="X263" s="733"/>
      <c r="Y263" s="734"/>
      <c r="Z263" s="559"/>
      <c r="AA263" s="1052"/>
      <c r="AB263" s="559"/>
      <c r="AC263" s="559"/>
      <c r="AD263" s="559"/>
      <c r="AE263" s="559"/>
      <c r="AF263" s="1053"/>
      <c r="AG263" s="1054"/>
      <c r="AH263" s="1054"/>
      <c r="AI263" s="1054"/>
      <c r="AJ263" s="1054"/>
      <c r="AK263" s="1055"/>
      <c r="AL263" s="1056"/>
      <c r="AM263" s="1056"/>
      <c r="AN263" s="1056"/>
      <c r="AO263" s="1056"/>
      <c r="AP263" s="582"/>
      <c r="AQ263" s="566"/>
    </row>
    <row r="264" spans="1:47" x14ac:dyDescent="0.25">
      <c r="A264" s="567"/>
      <c r="B264" s="568"/>
      <c r="C264" s="569"/>
      <c r="D264" s="569"/>
      <c r="E264" s="570">
        <f t="shared" si="114"/>
        <v>0</v>
      </c>
      <c r="F264" s="571"/>
      <c r="G264" s="730"/>
      <c r="H264" s="669"/>
      <c r="I264" s="721"/>
      <c r="J264" s="721"/>
      <c r="K264" s="575"/>
      <c r="L264" s="606">
        <f>IFERROR(IF($K$24="VK",K264,K264/H264),0)</f>
        <v>0</v>
      </c>
      <c r="M264" s="555">
        <f>IFERROR(L264*H264,"")</f>
        <v>0</v>
      </c>
      <c r="N264" s="575"/>
      <c r="O264" s="575"/>
      <c r="P264" s="575"/>
      <c r="Q264" s="575"/>
      <c r="R264" s="575"/>
      <c r="S264" s="575"/>
      <c r="T264" s="575"/>
      <c r="U264" s="575"/>
      <c r="V264" s="575"/>
      <c r="W264" s="575"/>
      <c r="X264" s="557">
        <f t="shared" ref="X264:X273" si="129">IF(AND(H264&gt;0,F264&lt;&gt;"GfB"),(SUM(M264:P264,R264,V264,Q264)*12+(T264+U264))*(100+$P$17+$P$18)%+((S264+W264)*12),IF(AND(H264&gt;0,F264="GfB"),(SUM(M264:P264,R264,V264,Q264)*12+(T264+U264))*(100+$P$20+$P$18)%+((S264+W264)*12),0))</f>
        <v>0</v>
      </c>
      <c r="Y264" s="558">
        <f>IF(ISERROR(X264/H264),0,(X264/H264))</f>
        <v>0</v>
      </c>
      <c r="Z264" s="559"/>
      <c r="AA264" s="560"/>
      <c r="AB264" s="561"/>
      <c r="AC264" s="561"/>
      <c r="AD264" s="561"/>
      <c r="AE264" s="561"/>
      <c r="AF264" s="562"/>
      <c r="AG264" s="563"/>
      <c r="AH264" s="563"/>
      <c r="AI264" s="563"/>
      <c r="AJ264" s="695"/>
      <c r="AK264" s="735">
        <f>(IF(AND($H264&gt;0,$K264&gt;0),($M264+$N264),0))</f>
        <v>0</v>
      </c>
      <c r="AL264" s="736">
        <f>(IF(AND($H264&gt;0,$K264&gt;0),$O264,0))</f>
        <v>0</v>
      </c>
      <c r="AM264" s="736">
        <f>(IF(AND($H264&gt;0,$K264&gt;0),$P264,0))</f>
        <v>0</v>
      </c>
      <c r="AN264" s="736">
        <f>(IF(AND($H264&gt;0,$K264&gt;0),$Q264,0))</f>
        <v>0</v>
      </c>
      <c r="AO264" s="737">
        <f>(IF(AND($H264&gt;0,$K264&gt;0),(($T264+$U264)/12),0))</f>
        <v>0</v>
      </c>
      <c r="AP264" s="698"/>
      <c r="AQ264" s="699"/>
      <c r="AR264" s="1022">
        <f t="shared" ref="AR264:AR273" si="130">IF(AND($H264&gt;0,$K264&gt;0),$H264,0)</f>
        <v>0</v>
      </c>
      <c r="AS264" s="329"/>
      <c r="AT264" s="329"/>
      <c r="AU264" s="1013">
        <f>IF(AND($H264&gt;0,$K264&gt;0),$X264,0)</f>
        <v>0</v>
      </c>
    </row>
    <row r="265" spans="1:47" x14ac:dyDescent="0.25">
      <c r="A265" s="567"/>
      <c r="B265" s="568"/>
      <c r="C265" s="569"/>
      <c r="D265" s="569"/>
      <c r="E265" s="570">
        <f t="shared" si="114"/>
        <v>0</v>
      </c>
      <c r="F265" s="571"/>
      <c r="G265" s="730"/>
      <c r="H265" s="669"/>
      <c r="I265" s="721"/>
      <c r="J265" s="721"/>
      <c r="K265" s="575"/>
      <c r="L265" s="606">
        <f>IFERROR(IF($K$24="VK",K265,K265/H265),0)</f>
        <v>0</v>
      </c>
      <c r="M265" s="555">
        <f>IFERROR(L265*H265,"")</f>
        <v>0</v>
      </c>
      <c r="N265" s="575"/>
      <c r="O265" s="575"/>
      <c r="P265" s="575"/>
      <c r="Q265" s="575"/>
      <c r="R265" s="575"/>
      <c r="S265" s="575"/>
      <c r="T265" s="575"/>
      <c r="U265" s="575"/>
      <c r="V265" s="575"/>
      <c r="W265" s="575"/>
      <c r="X265" s="557">
        <f t="shared" si="129"/>
        <v>0</v>
      </c>
      <c r="Y265" s="558">
        <f t="shared" ref="Y265:Y273" si="131">IF(ISERROR(X265/H265),0,(X265/H265))</f>
        <v>0</v>
      </c>
      <c r="Z265" s="559"/>
      <c r="AA265" s="576"/>
      <c r="AB265" s="577"/>
      <c r="AC265" s="577"/>
      <c r="AD265" s="577"/>
      <c r="AE265" s="577"/>
      <c r="AF265" s="578"/>
      <c r="AG265" s="579"/>
      <c r="AH265" s="579"/>
      <c r="AI265" s="579"/>
      <c r="AJ265" s="700"/>
      <c r="AK265" s="735">
        <f t="shared" ref="AK265:AK273" si="132">(IF(AND($H265&gt;0,$K265&gt;0),($M265+$N265),0))</f>
        <v>0</v>
      </c>
      <c r="AL265" s="736">
        <f t="shared" ref="AL265:AL273" si="133">(IF(AND($H265&gt;0,$K265&gt;0),$O265,0))</f>
        <v>0</v>
      </c>
      <c r="AM265" s="736">
        <f t="shared" ref="AM265:AM273" si="134">(IF(AND($H265&gt;0,$K265&gt;0),$P265,0))</f>
        <v>0</v>
      </c>
      <c r="AN265" s="736">
        <f t="shared" ref="AN265:AN273" si="135">(IF(AND($H265&gt;0,$K265&gt;0),$Q265,0))</f>
        <v>0</v>
      </c>
      <c r="AO265" s="737">
        <f t="shared" ref="AO265:AO273" si="136">(IF(AND($H265&gt;0,$K265&gt;0),(($T265+$U265)/12),0))</f>
        <v>0</v>
      </c>
      <c r="AP265" s="701"/>
      <c r="AQ265" s="702"/>
      <c r="AR265" s="1022">
        <f t="shared" si="130"/>
        <v>0</v>
      </c>
      <c r="AS265" s="329"/>
      <c r="AT265" s="329"/>
      <c r="AU265" s="1013">
        <f t="shared" ref="AU265:AU273" si="137">IF(AND($H265&gt;0,$K265&gt;0),$X265,0)</f>
        <v>0</v>
      </c>
    </row>
    <row r="266" spans="1:47" x14ac:dyDescent="0.25">
      <c r="A266" s="567"/>
      <c r="B266" s="568"/>
      <c r="C266" s="569"/>
      <c r="D266" s="569"/>
      <c r="E266" s="570">
        <f t="shared" si="114"/>
        <v>0</v>
      </c>
      <c r="F266" s="571"/>
      <c r="G266" s="730"/>
      <c r="H266" s="669"/>
      <c r="I266" s="721"/>
      <c r="J266" s="721"/>
      <c r="K266" s="575"/>
      <c r="L266" s="606">
        <f t="shared" ref="L266:L273" si="138">IFERROR(IF($K$24="VK",K266,K266/H266),0)</f>
        <v>0</v>
      </c>
      <c r="M266" s="555">
        <f t="shared" ref="M266:M273" si="139">IFERROR(L266*H266,"")</f>
        <v>0</v>
      </c>
      <c r="N266" s="575"/>
      <c r="O266" s="575"/>
      <c r="P266" s="575"/>
      <c r="Q266" s="575"/>
      <c r="R266" s="575"/>
      <c r="S266" s="575"/>
      <c r="T266" s="575"/>
      <c r="U266" s="575"/>
      <c r="V266" s="575"/>
      <c r="W266" s="575"/>
      <c r="X266" s="557">
        <f t="shared" si="129"/>
        <v>0</v>
      </c>
      <c r="Y266" s="558">
        <f t="shared" si="131"/>
        <v>0</v>
      </c>
      <c r="Z266" s="559"/>
      <c r="AA266" s="576"/>
      <c r="AB266" s="577"/>
      <c r="AC266" s="577"/>
      <c r="AD266" s="577"/>
      <c r="AE266" s="577"/>
      <c r="AF266" s="578"/>
      <c r="AG266" s="579"/>
      <c r="AH266" s="579"/>
      <c r="AI266" s="579"/>
      <c r="AJ266" s="700"/>
      <c r="AK266" s="735">
        <f t="shared" si="132"/>
        <v>0</v>
      </c>
      <c r="AL266" s="736">
        <f t="shared" si="133"/>
        <v>0</v>
      </c>
      <c r="AM266" s="736">
        <f t="shared" si="134"/>
        <v>0</v>
      </c>
      <c r="AN266" s="736">
        <f t="shared" si="135"/>
        <v>0</v>
      </c>
      <c r="AO266" s="737">
        <f t="shared" si="136"/>
        <v>0</v>
      </c>
      <c r="AP266" s="701"/>
      <c r="AQ266" s="702"/>
      <c r="AR266" s="1022">
        <f t="shared" si="130"/>
        <v>0</v>
      </c>
      <c r="AS266" s="329"/>
      <c r="AT266" s="329"/>
      <c r="AU266" s="1013">
        <f t="shared" si="137"/>
        <v>0</v>
      </c>
    </row>
    <row r="267" spans="1:47" x14ac:dyDescent="0.25">
      <c r="A267" s="567"/>
      <c r="B267" s="568"/>
      <c r="C267" s="569"/>
      <c r="D267" s="569"/>
      <c r="E267" s="570">
        <f t="shared" si="114"/>
        <v>0</v>
      </c>
      <c r="F267" s="571"/>
      <c r="G267" s="730"/>
      <c r="H267" s="669"/>
      <c r="I267" s="721"/>
      <c r="J267" s="721"/>
      <c r="K267" s="575"/>
      <c r="L267" s="606">
        <f t="shared" si="138"/>
        <v>0</v>
      </c>
      <c r="M267" s="555">
        <f t="shared" si="139"/>
        <v>0</v>
      </c>
      <c r="N267" s="575"/>
      <c r="O267" s="575"/>
      <c r="P267" s="575"/>
      <c r="Q267" s="575"/>
      <c r="R267" s="575"/>
      <c r="S267" s="575"/>
      <c r="T267" s="575"/>
      <c r="U267" s="575"/>
      <c r="V267" s="575"/>
      <c r="W267" s="575"/>
      <c r="X267" s="557">
        <f t="shared" si="129"/>
        <v>0</v>
      </c>
      <c r="Y267" s="558">
        <f t="shared" si="131"/>
        <v>0</v>
      </c>
      <c r="Z267" s="559"/>
      <c r="AA267" s="576"/>
      <c r="AB267" s="577"/>
      <c r="AC267" s="577"/>
      <c r="AD267" s="577"/>
      <c r="AE267" s="577"/>
      <c r="AF267" s="578"/>
      <c r="AG267" s="579"/>
      <c r="AH267" s="579"/>
      <c r="AI267" s="579"/>
      <c r="AJ267" s="700"/>
      <c r="AK267" s="735">
        <f t="shared" si="132"/>
        <v>0</v>
      </c>
      <c r="AL267" s="736">
        <f t="shared" si="133"/>
        <v>0</v>
      </c>
      <c r="AM267" s="736">
        <f t="shared" si="134"/>
        <v>0</v>
      </c>
      <c r="AN267" s="736">
        <f t="shared" si="135"/>
        <v>0</v>
      </c>
      <c r="AO267" s="737">
        <f t="shared" si="136"/>
        <v>0</v>
      </c>
      <c r="AP267" s="701"/>
      <c r="AQ267" s="702"/>
      <c r="AR267" s="1022">
        <f t="shared" si="130"/>
        <v>0</v>
      </c>
      <c r="AS267" s="329"/>
      <c r="AT267" s="329"/>
      <c r="AU267" s="1013">
        <f t="shared" si="137"/>
        <v>0</v>
      </c>
    </row>
    <row r="268" spans="1:47" x14ac:dyDescent="0.25">
      <c r="A268" s="567"/>
      <c r="B268" s="568"/>
      <c r="C268" s="569"/>
      <c r="D268" s="569"/>
      <c r="E268" s="570">
        <f t="shared" si="114"/>
        <v>0</v>
      </c>
      <c r="F268" s="571"/>
      <c r="G268" s="730"/>
      <c r="H268" s="669"/>
      <c r="I268" s="721"/>
      <c r="J268" s="721"/>
      <c r="K268" s="575"/>
      <c r="L268" s="606">
        <f t="shared" si="138"/>
        <v>0</v>
      </c>
      <c r="M268" s="555">
        <f t="shared" si="139"/>
        <v>0</v>
      </c>
      <c r="N268" s="575"/>
      <c r="O268" s="575"/>
      <c r="P268" s="575"/>
      <c r="Q268" s="575"/>
      <c r="R268" s="575"/>
      <c r="S268" s="575"/>
      <c r="T268" s="575"/>
      <c r="U268" s="575"/>
      <c r="V268" s="575"/>
      <c r="W268" s="575"/>
      <c r="X268" s="557">
        <f t="shared" si="129"/>
        <v>0</v>
      </c>
      <c r="Y268" s="558">
        <f t="shared" si="131"/>
        <v>0</v>
      </c>
      <c r="Z268" s="559"/>
      <c r="AA268" s="576"/>
      <c r="AB268" s="577"/>
      <c r="AC268" s="577"/>
      <c r="AD268" s="577"/>
      <c r="AE268" s="577"/>
      <c r="AF268" s="578"/>
      <c r="AG268" s="579"/>
      <c r="AH268" s="579"/>
      <c r="AI268" s="579"/>
      <c r="AJ268" s="700"/>
      <c r="AK268" s="735">
        <f t="shared" si="132"/>
        <v>0</v>
      </c>
      <c r="AL268" s="736">
        <f t="shared" si="133"/>
        <v>0</v>
      </c>
      <c r="AM268" s="736">
        <f t="shared" si="134"/>
        <v>0</v>
      </c>
      <c r="AN268" s="736">
        <f t="shared" si="135"/>
        <v>0</v>
      </c>
      <c r="AO268" s="737">
        <f t="shared" si="136"/>
        <v>0</v>
      </c>
      <c r="AP268" s="701"/>
      <c r="AQ268" s="702"/>
      <c r="AR268" s="1022">
        <f t="shared" si="130"/>
        <v>0</v>
      </c>
      <c r="AS268" s="329"/>
      <c r="AT268" s="329"/>
      <c r="AU268" s="1013">
        <f t="shared" si="137"/>
        <v>0</v>
      </c>
    </row>
    <row r="269" spans="1:47" x14ac:dyDescent="0.25">
      <c r="A269" s="567"/>
      <c r="B269" s="568"/>
      <c r="C269" s="569"/>
      <c r="D269" s="569"/>
      <c r="E269" s="570">
        <f t="shared" si="114"/>
        <v>0</v>
      </c>
      <c r="F269" s="571"/>
      <c r="G269" s="730"/>
      <c r="H269" s="669"/>
      <c r="I269" s="721"/>
      <c r="J269" s="721"/>
      <c r="K269" s="575"/>
      <c r="L269" s="606">
        <f t="shared" si="138"/>
        <v>0</v>
      </c>
      <c r="M269" s="555">
        <f t="shared" si="139"/>
        <v>0</v>
      </c>
      <c r="N269" s="575"/>
      <c r="O269" s="575"/>
      <c r="P269" s="575"/>
      <c r="Q269" s="575"/>
      <c r="R269" s="575"/>
      <c r="S269" s="575"/>
      <c r="T269" s="575"/>
      <c r="U269" s="575"/>
      <c r="V269" s="575"/>
      <c r="W269" s="575"/>
      <c r="X269" s="557">
        <f t="shared" si="129"/>
        <v>0</v>
      </c>
      <c r="Y269" s="558">
        <f t="shared" si="131"/>
        <v>0</v>
      </c>
      <c r="Z269" s="559"/>
      <c r="AA269" s="576"/>
      <c r="AB269" s="577"/>
      <c r="AC269" s="577"/>
      <c r="AD269" s="577"/>
      <c r="AE269" s="577"/>
      <c r="AF269" s="578"/>
      <c r="AG269" s="579"/>
      <c r="AH269" s="579"/>
      <c r="AI269" s="579"/>
      <c r="AJ269" s="700"/>
      <c r="AK269" s="735">
        <f t="shared" si="132"/>
        <v>0</v>
      </c>
      <c r="AL269" s="736">
        <f t="shared" si="133"/>
        <v>0</v>
      </c>
      <c r="AM269" s="736">
        <f t="shared" si="134"/>
        <v>0</v>
      </c>
      <c r="AN269" s="736">
        <f t="shared" si="135"/>
        <v>0</v>
      </c>
      <c r="AO269" s="737">
        <f t="shared" si="136"/>
        <v>0</v>
      </c>
      <c r="AP269" s="701"/>
      <c r="AQ269" s="702"/>
      <c r="AR269" s="1022">
        <f t="shared" si="130"/>
        <v>0</v>
      </c>
      <c r="AS269" s="329"/>
      <c r="AT269" s="329"/>
      <c r="AU269" s="1013">
        <f t="shared" si="137"/>
        <v>0</v>
      </c>
    </row>
    <row r="270" spans="1:47" x14ac:dyDescent="0.25">
      <c r="A270" s="567"/>
      <c r="B270" s="568"/>
      <c r="C270" s="569"/>
      <c r="D270" s="569"/>
      <c r="E270" s="570">
        <f t="shared" si="114"/>
        <v>0</v>
      </c>
      <c r="F270" s="571"/>
      <c r="G270" s="730"/>
      <c r="H270" s="669"/>
      <c r="I270" s="721"/>
      <c r="J270" s="721"/>
      <c r="K270" s="575"/>
      <c r="L270" s="606">
        <f>IFERROR(IF($K$24="VK",K270,K270/H270),0)</f>
        <v>0</v>
      </c>
      <c r="M270" s="555">
        <f t="shared" si="139"/>
        <v>0</v>
      </c>
      <c r="N270" s="575"/>
      <c r="O270" s="575"/>
      <c r="P270" s="575"/>
      <c r="Q270" s="575"/>
      <c r="R270" s="575"/>
      <c r="S270" s="575"/>
      <c r="T270" s="575"/>
      <c r="U270" s="575"/>
      <c r="V270" s="575"/>
      <c r="W270" s="575"/>
      <c r="X270" s="557">
        <f t="shared" si="129"/>
        <v>0</v>
      </c>
      <c r="Y270" s="558">
        <f t="shared" si="131"/>
        <v>0</v>
      </c>
      <c r="Z270" s="559"/>
      <c r="AA270" s="576"/>
      <c r="AB270" s="577"/>
      <c r="AC270" s="577"/>
      <c r="AD270" s="577"/>
      <c r="AE270" s="577"/>
      <c r="AF270" s="578"/>
      <c r="AG270" s="579"/>
      <c r="AH270" s="579"/>
      <c r="AI270" s="579"/>
      <c r="AJ270" s="700"/>
      <c r="AK270" s="735">
        <f t="shared" si="132"/>
        <v>0</v>
      </c>
      <c r="AL270" s="736">
        <f t="shared" si="133"/>
        <v>0</v>
      </c>
      <c r="AM270" s="736">
        <f t="shared" si="134"/>
        <v>0</v>
      </c>
      <c r="AN270" s="736">
        <f t="shared" si="135"/>
        <v>0</v>
      </c>
      <c r="AO270" s="737">
        <f t="shared" si="136"/>
        <v>0</v>
      </c>
      <c r="AP270" s="701"/>
      <c r="AQ270" s="702"/>
      <c r="AR270" s="1022">
        <f t="shared" si="130"/>
        <v>0</v>
      </c>
      <c r="AS270" s="329"/>
      <c r="AT270" s="329"/>
      <c r="AU270" s="1013">
        <f t="shared" si="137"/>
        <v>0</v>
      </c>
    </row>
    <row r="271" spans="1:47" x14ac:dyDescent="0.25">
      <c r="A271" s="567"/>
      <c r="B271" s="568"/>
      <c r="C271" s="569"/>
      <c r="D271" s="569"/>
      <c r="E271" s="570">
        <f t="shared" si="114"/>
        <v>0</v>
      </c>
      <c r="F271" s="571"/>
      <c r="G271" s="730"/>
      <c r="H271" s="669"/>
      <c r="I271" s="721"/>
      <c r="J271" s="721"/>
      <c r="K271" s="575"/>
      <c r="L271" s="606">
        <f t="shared" si="138"/>
        <v>0</v>
      </c>
      <c r="M271" s="555">
        <f t="shared" si="139"/>
        <v>0</v>
      </c>
      <c r="N271" s="575"/>
      <c r="O271" s="575"/>
      <c r="P271" s="575"/>
      <c r="Q271" s="575"/>
      <c r="R271" s="575"/>
      <c r="S271" s="575"/>
      <c r="T271" s="575"/>
      <c r="U271" s="575"/>
      <c r="V271" s="575"/>
      <c r="W271" s="575"/>
      <c r="X271" s="557">
        <f t="shared" si="129"/>
        <v>0</v>
      </c>
      <c r="Y271" s="558">
        <f t="shared" si="131"/>
        <v>0</v>
      </c>
      <c r="Z271" s="559"/>
      <c r="AA271" s="576"/>
      <c r="AB271" s="577"/>
      <c r="AC271" s="577"/>
      <c r="AD271" s="577"/>
      <c r="AE271" s="577"/>
      <c r="AF271" s="578"/>
      <c r="AG271" s="579"/>
      <c r="AH271" s="579"/>
      <c r="AI271" s="579"/>
      <c r="AJ271" s="700"/>
      <c r="AK271" s="735">
        <f t="shared" si="132"/>
        <v>0</v>
      </c>
      <c r="AL271" s="736">
        <f t="shared" si="133"/>
        <v>0</v>
      </c>
      <c r="AM271" s="736">
        <f t="shared" si="134"/>
        <v>0</v>
      </c>
      <c r="AN271" s="736">
        <f t="shared" si="135"/>
        <v>0</v>
      </c>
      <c r="AO271" s="737">
        <f t="shared" si="136"/>
        <v>0</v>
      </c>
      <c r="AP271" s="701"/>
      <c r="AQ271" s="702"/>
      <c r="AR271" s="1022">
        <f t="shared" si="130"/>
        <v>0</v>
      </c>
      <c r="AS271" s="329"/>
      <c r="AT271" s="329"/>
      <c r="AU271" s="1013">
        <f t="shared" si="137"/>
        <v>0</v>
      </c>
    </row>
    <row r="272" spans="1:47" x14ac:dyDescent="0.25">
      <c r="A272" s="567"/>
      <c r="B272" s="568"/>
      <c r="C272" s="569"/>
      <c r="D272" s="569"/>
      <c r="E272" s="570">
        <f t="shared" si="114"/>
        <v>0</v>
      </c>
      <c r="F272" s="571"/>
      <c r="G272" s="730"/>
      <c r="H272" s="669"/>
      <c r="I272" s="721"/>
      <c r="J272" s="721"/>
      <c r="K272" s="575"/>
      <c r="L272" s="606">
        <f t="shared" si="138"/>
        <v>0</v>
      </c>
      <c r="M272" s="555">
        <f t="shared" si="139"/>
        <v>0</v>
      </c>
      <c r="N272" s="575"/>
      <c r="O272" s="575"/>
      <c r="P272" s="575"/>
      <c r="Q272" s="575"/>
      <c r="R272" s="575"/>
      <c r="S272" s="575"/>
      <c r="T272" s="575"/>
      <c r="U272" s="575"/>
      <c r="V272" s="575"/>
      <c r="W272" s="575"/>
      <c r="X272" s="557">
        <f t="shared" si="129"/>
        <v>0</v>
      </c>
      <c r="Y272" s="558">
        <f t="shared" si="131"/>
        <v>0</v>
      </c>
      <c r="Z272" s="559"/>
      <c r="AA272" s="576"/>
      <c r="AB272" s="577"/>
      <c r="AC272" s="577"/>
      <c r="AD272" s="577"/>
      <c r="AE272" s="577"/>
      <c r="AF272" s="578"/>
      <c r="AG272" s="579"/>
      <c r="AH272" s="579"/>
      <c r="AI272" s="579"/>
      <c r="AJ272" s="700"/>
      <c r="AK272" s="735">
        <f t="shared" si="132"/>
        <v>0</v>
      </c>
      <c r="AL272" s="736">
        <f t="shared" si="133"/>
        <v>0</v>
      </c>
      <c r="AM272" s="736">
        <f t="shared" si="134"/>
        <v>0</v>
      </c>
      <c r="AN272" s="736">
        <f t="shared" si="135"/>
        <v>0</v>
      </c>
      <c r="AO272" s="737">
        <f t="shared" si="136"/>
        <v>0</v>
      </c>
      <c r="AP272" s="701"/>
      <c r="AQ272" s="702"/>
      <c r="AR272" s="1022">
        <f t="shared" si="130"/>
        <v>0</v>
      </c>
      <c r="AS272" s="329"/>
      <c r="AT272" s="329"/>
      <c r="AU272" s="1013">
        <f t="shared" si="137"/>
        <v>0</v>
      </c>
    </row>
    <row r="273" spans="1:47" ht="14.4" thickBot="1" x14ac:dyDescent="0.3">
      <c r="A273" s="567"/>
      <c r="B273" s="568"/>
      <c r="C273" s="569"/>
      <c r="D273" s="569"/>
      <c r="E273" s="570">
        <f t="shared" si="114"/>
        <v>0</v>
      </c>
      <c r="F273" s="571"/>
      <c r="G273" s="730"/>
      <c r="H273" s="669"/>
      <c r="I273" s="721"/>
      <c r="J273" s="721"/>
      <c r="K273" s="575"/>
      <c r="L273" s="606">
        <f t="shared" si="138"/>
        <v>0</v>
      </c>
      <c r="M273" s="555">
        <f t="shared" si="139"/>
        <v>0</v>
      </c>
      <c r="N273" s="575"/>
      <c r="O273" s="575"/>
      <c r="P273" s="575"/>
      <c r="Q273" s="575"/>
      <c r="R273" s="575"/>
      <c r="S273" s="575"/>
      <c r="T273" s="575"/>
      <c r="U273" s="575"/>
      <c r="V273" s="575"/>
      <c r="W273" s="575"/>
      <c r="X273" s="557">
        <f t="shared" si="129"/>
        <v>0</v>
      </c>
      <c r="Y273" s="558">
        <f t="shared" si="131"/>
        <v>0</v>
      </c>
      <c r="Z273" s="559"/>
      <c r="AA273" s="576"/>
      <c r="AB273" s="577"/>
      <c r="AC273" s="577"/>
      <c r="AD273" s="577"/>
      <c r="AE273" s="577"/>
      <c r="AF273" s="578"/>
      <c r="AG273" s="579"/>
      <c r="AH273" s="579"/>
      <c r="AI273" s="579"/>
      <c r="AJ273" s="700"/>
      <c r="AK273" s="735">
        <f t="shared" si="132"/>
        <v>0</v>
      </c>
      <c r="AL273" s="736">
        <f t="shared" si="133"/>
        <v>0</v>
      </c>
      <c r="AM273" s="736">
        <f t="shared" si="134"/>
        <v>0</v>
      </c>
      <c r="AN273" s="736">
        <f t="shared" si="135"/>
        <v>0</v>
      </c>
      <c r="AO273" s="737">
        <f t="shared" si="136"/>
        <v>0</v>
      </c>
      <c r="AP273" s="701"/>
      <c r="AQ273" s="702"/>
      <c r="AR273" s="1022">
        <f t="shared" si="130"/>
        <v>0</v>
      </c>
      <c r="AS273" s="329"/>
      <c r="AT273" s="329"/>
      <c r="AU273" s="1013">
        <f t="shared" si="137"/>
        <v>0</v>
      </c>
    </row>
    <row r="274" spans="1:47" ht="27" thickBot="1" x14ac:dyDescent="0.3">
      <c r="A274" s="650" t="s">
        <v>412</v>
      </c>
      <c r="B274" s="1456">
        <f>SUM(B228:B273)</f>
        <v>0</v>
      </c>
      <c r="C274" s="593">
        <f>IF(ISERROR(SUM(C228:C273)/B274),0,(SUM(C228:C273)/B274))</f>
        <v>0</v>
      </c>
      <c r="D274" s="594">
        <f>SUM(D228:D273)</f>
        <v>0</v>
      </c>
      <c r="E274" s="595">
        <f>IFERROR(D274/B274,0)</f>
        <v>0</v>
      </c>
      <c r="F274" s="650" t="s">
        <v>412</v>
      </c>
      <c r="G274" s="728"/>
      <c r="H274" s="1457">
        <f>SUM(H228:H273)</f>
        <v>0</v>
      </c>
      <c r="I274" s="316"/>
      <c r="J274" s="316"/>
      <c r="K274" s="316"/>
      <c r="L274" s="316"/>
      <c r="M274" s="593">
        <f>IF(ISERROR(SUM(M228:M273)/H274),0,(SUM(M228:M273)/H274))</f>
        <v>0</v>
      </c>
      <c r="N274" s="593">
        <f t="shared" ref="N274:W274" si="140">IF(ISERROR(SUM(N228:N273)/$H$274),0,(SUM(N228:N273)/$H$274))</f>
        <v>0</v>
      </c>
      <c r="O274" s="593">
        <f t="shared" si="140"/>
        <v>0</v>
      </c>
      <c r="P274" s="593">
        <f t="shared" si="140"/>
        <v>0</v>
      </c>
      <c r="Q274" s="593">
        <f t="shared" si="140"/>
        <v>0</v>
      </c>
      <c r="R274" s="593">
        <f t="shared" si="140"/>
        <v>0</v>
      </c>
      <c r="S274" s="593">
        <f t="shared" si="140"/>
        <v>0</v>
      </c>
      <c r="T274" s="593">
        <f t="shared" si="140"/>
        <v>0</v>
      </c>
      <c r="U274" s="593">
        <f t="shared" si="140"/>
        <v>0</v>
      </c>
      <c r="V274" s="593">
        <f t="shared" si="140"/>
        <v>0</v>
      </c>
      <c r="W274" s="593">
        <f t="shared" si="140"/>
        <v>0</v>
      </c>
      <c r="X274" s="597">
        <f>SUM(X228:X273)</f>
        <v>0</v>
      </c>
      <c r="Y274" s="598">
        <f>IFERROR(SUM(X274/H274),0)</f>
        <v>0</v>
      </c>
      <c r="Z274" s="653"/>
      <c r="AA274" s="654"/>
      <c r="AB274" s="654"/>
      <c r="AC274" s="654"/>
      <c r="AD274" s="654"/>
      <c r="AE274" s="654"/>
      <c r="AF274" s="654"/>
      <c r="AG274" s="654"/>
      <c r="AH274" s="654"/>
      <c r="AI274" s="654"/>
      <c r="AJ274" s="654"/>
      <c r="AK274" s="654"/>
      <c r="AL274" s="654"/>
      <c r="AM274" s="654"/>
      <c r="AN274" s="654"/>
      <c r="AO274" s="654"/>
      <c r="AP274" s="655"/>
      <c r="AQ274" s="655"/>
    </row>
    <row r="275" spans="1:47" x14ac:dyDescent="0.25">
      <c r="A275" s="738"/>
      <c r="B275" s="739"/>
      <c r="C275" s="740"/>
      <c r="D275" s="741"/>
      <c r="E275" s="740"/>
      <c r="F275" s="742"/>
      <c r="G275" s="738"/>
      <c r="H275" s="600" t="str">
        <f>IF(H274&gt;KAT!C15,"max. Stellenumfang lt. Rahmenvertrag für Hauswirtschaft, Küche, Haustechnik bis zu "&amp;TEXT(KAT!C15,"0,0000")&amp;" VK","")</f>
        <v/>
      </c>
      <c r="I275" s="743"/>
      <c r="J275" s="743"/>
      <c r="K275" s="743"/>
      <c r="L275" s="743"/>
      <c r="M275" s="740"/>
      <c r="N275" s="740"/>
      <c r="O275" s="740"/>
      <c r="P275" s="740"/>
      <c r="Q275" s="740"/>
      <c r="R275" s="740"/>
      <c r="S275" s="740"/>
      <c r="T275" s="740"/>
      <c r="U275" s="740"/>
      <c r="V275" s="740"/>
      <c r="W275" s="740"/>
      <c r="X275" s="744"/>
      <c r="Y275" s="745"/>
      <c r="Z275" s="653"/>
      <c r="AA275" s="654"/>
      <c r="AB275" s="654"/>
      <c r="AC275" s="654"/>
      <c r="AD275" s="654"/>
      <c r="AE275" s="654"/>
      <c r="AF275" s="654"/>
      <c r="AG275" s="654"/>
      <c r="AH275" s="654"/>
      <c r="AI275" s="654"/>
      <c r="AJ275" s="654"/>
      <c r="AK275" s="654"/>
      <c r="AL275" s="654"/>
      <c r="AM275" s="654"/>
      <c r="AN275" s="654"/>
      <c r="AO275" s="654"/>
      <c r="AP275" s="655"/>
      <c r="AQ275" s="655"/>
    </row>
    <row r="276" spans="1:47" x14ac:dyDescent="0.25">
      <c r="F276" s="538"/>
      <c r="G276" s="254"/>
      <c r="X276" s="332"/>
      <c r="Y276" s="710"/>
      <c r="Z276" s="707"/>
      <c r="AA276" s="746"/>
      <c r="AB276" s="746"/>
      <c r="AC276" s="746"/>
      <c r="AD276" s="746"/>
      <c r="AE276" s="746"/>
      <c r="AF276" s="746"/>
      <c r="AG276" s="746"/>
      <c r="AH276" s="746"/>
      <c r="AI276" s="746"/>
      <c r="AJ276" s="746"/>
      <c r="AK276" s="746"/>
      <c r="AL276" s="746"/>
      <c r="AM276" s="746"/>
      <c r="AN276" s="746"/>
      <c r="AO276" s="746"/>
      <c r="AP276" s="747"/>
      <c r="AQ276" s="747"/>
    </row>
    <row r="277" spans="1:47" x14ac:dyDescent="0.25">
      <c r="F277" s="719"/>
      <c r="G277" s="144"/>
      <c r="Y277" s="716"/>
      <c r="Z277" s="617"/>
    </row>
    <row r="278" spans="1:47" ht="40.200000000000003" thickBot="1" x14ac:dyDescent="0.3">
      <c r="A278" s="748" t="s">
        <v>413</v>
      </c>
      <c r="B278" s="749" t="s">
        <v>236</v>
      </c>
      <c r="C278" s="749" t="s">
        <v>447</v>
      </c>
      <c r="D278" s="749" t="s">
        <v>255</v>
      </c>
      <c r="E278" s="750" t="s">
        <v>256</v>
      </c>
      <c r="F278" s="748" t="s">
        <v>413</v>
      </c>
      <c r="G278" s="751"/>
      <c r="H278" s="752"/>
      <c r="I278" s="753"/>
      <c r="J278" s="753"/>
      <c r="K278" s="753"/>
      <c r="L278" s="753"/>
      <c r="M278" s="753"/>
      <c r="N278" s="753"/>
      <c r="O278" s="753"/>
      <c r="P278" s="753"/>
      <c r="Q278" s="753"/>
      <c r="R278" s="753"/>
      <c r="S278" s="753"/>
      <c r="T278" s="753"/>
      <c r="U278" s="753"/>
      <c r="V278" s="749" t="s">
        <v>236</v>
      </c>
      <c r="W278" s="749" t="s">
        <v>447</v>
      </c>
      <c r="X278" s="749" t="s">
        <v>255</v>
      </c>
      <c r="Y278" s="750" t="s">
        <v>256</v>
      </c>
      <c r="Z278" s="754"/>
      <c r="AA278" s="755"/>
      <c r="AB278" s="755"/>
      <c r="AC278" s="755"/>
      <c r="AD278" s="755"/>
      <c r="AE278" s="755"/>
      <c r="AF278" s="755"/>
      <c r="AG278" s="755"/>
      <c r="AH278" s="755"/>
      <c r="AI278" s="755"/>
      <c r="AJ278" s="755"/>
      <c r="AK278" s="755"/>
      <c r="AL278" s="755"/>
      <c r="AM278" s="755"/>
      <c r="AN278" s="755"/>
      <c r="AO278" s="755"/>
      <c r="AP278" s="756"/>
      <c r="AQ278" s="756"/>
    </row>
    <row r="279" spans="1:47" x14ac:dyDescent="0.25">
      <c r="A279" s="757" t="s">
        <v>257</v>
      </c>
      <c r="B279" s="758"/>
      <c r="C279" s="759"/>
      <c r="D279" s="760">
        <f>C279*B279</f>
        <v>0</v>
      </c>
      <c r="E279" s="761"/>
      <c r="F279" s="757" t="s">
        <v>257</v>
      </c>
      <c r="G279" s="762"/>
      <c r="H279" s="763"/>
      <c r="I279" s="763"/>
      <c r="J279" s="763"/>
      <c r="K279" s="763"/>
      <c r="L279" s="763"/>
      <c r="M279" s="763"/>
      <c r="N279" s="763"/>
      <c r="O279" s="763"/>
      <c r="P279" s="763"/>
      <c r="Q279" s="763"/>
      <c r="R279" s="763"/>
      <c r="S279" s="763"/>
      <c r="T279" s="763"/>
      <c r="U279" s="763"/>
      <c r="V279" s="764"/>
      <c r="W279" s="575"/>
      <c r="X279" s="760">
        <f>W279*V279</f>
        <v>0</v>
      </c>
      <c r="Y279" s="761"/>
      <c r="Z279" s="683"/>
      <c r="AA279" s="765"/>
      <c r="AB279" s="765"/>
      <c r="AC279" s="765"/>
      <c r="AD279" s="765"/>
      <c r="AE279" s="765"/>
      <c r="AF279" s="765"/>
      <c r="AG279" s="765"/>
      <c r="AH279" s="765"/>
      <c r="AI279" s="765"/>
      <c r="AJ279" s="765"/>
      <c r="AK279" s="765"/>
      <c r="AL279" s="765"/>
      <c r="AM279" s="765"/>
      <c r="AN279" s="765"/>
      <c r="AO279" s="765"/>
      <c r="AP279" s="766"/>
      <c r="AQ279" s="766"/>
    </row>
    <row r="280" spans="1:47" ht="14.4" thickBot="1" x14ac:dyDescent="0.3">
      <c r="A280" s="757" t="s">
        <v>258</v>
      </c>
      <c r="B280" s="767"/>
      <c r="C280" s="759"/>
      <c r="D280" s="760">
        <f>C280*B280</f>
        <v>0</v>
      </c>
      <c r="E280" s="768"/>
      <c r="F280" s="757" t="s">
        <v>258</v>
      </c>
      <c r="G280" s="762"/>
      <c r="H280" s="763"/>
      <c r="I280" s="763"/>
      <c r="J280" s="763"/>
      <c r="K280" s="763"/>
      <c r="L280" s="763"/>
      <c r="M280" s="763"/>
      <c r="N280" s="763"/>
      <c r="O280" s="763"/>
      <c r="P280" s="763"/>
      <c r="Q280" s="763"/>
      <c r="R280" s="763"/>
      <c r="S280" s="763"/>
      <c r="T280" s="763"/>
      <c r="U280" s="763"/>
      <c r="V280" s="769"/>
      <c r="W280" s="575"/>
      <c r="X280" s="760">
        <f>W280*V280</f>
        <v>0</v>
      </c>
      <c r="Y280" s="768"/>
      <c r="Z280" s="683"/>
      <c r="AA280" s="765"/>
      <c r="AB280" s="765"/>
      <c r="AC280" s="765"/>
      <c r="AD280" s="765"/>
      <c r="AE280" s="765"/>
      <c r="AF280" s="765"/>
      <c r="AG280" s="765"/>
      <c r="AH280" s="765"/>
      <c r="AI280" s="765"/>
      <c r="AJ280" s="765"/>
      <c r="AK280" s="765"/>
      <c r="AL280" s="765"/>
      <c r="AM280" s="765"/>
      <c r="AN280" s="765"/>
      <c r="AO280" s="765"/>
      <c r="AP280" s="766"/>
      <c r="AQ280" s="766"/>
    </row>
    <row r="281" spans="1:47" ht="14.4" thickBot="1" x14ac:dyDescent="0.3">
      <c r="A281" s="770" t="s">
        <v>414</v>
      </c>
      <c r="B281" s="303">
        <f>SUM(B279:B280)</f>
        <v>0</v>
      </c>
      <c r="C281" s="771"/>
      <c r="D281" s="255"/>
      <c r="E281" s="256">
        <f>IF(ISERROR(SUM(D279:D280)/B281),0,(SUM(D279:D280)/B281))</f>
        <v>0</v>
      </c>
      <c r="F281" s="770" t="s">
        <v>414</v>
      </c>
      <c r="G281" s="772"/>
      <c r="H281" s="771"/>
      <c r="I281" s="771"/>
      <c r="J281" s="771"/>
      <c r="K281" s="771"/>
      <c r="L281" s="771"/>
      <c r="M281" s="771"/>
      <c r="N281" s="771"/>
      <c r="O281" s="771"/>
      <c r="P281" s="771"/>
      <c r="Q281" s="771"/>
      <c r="R281" s="771"/>
      <c r="S281" s="771"/>
      <c r="T281" s="771"/>
      <c r="U281" s="771"/>
      <c r="V281" s="303">
        <f>SUM(V279:V280)</f>
        <v>0</v>
      </c>
      <c r="W281" s="771"/>
      <c r="X281" s="255"/>
      <c r="Y281" s="256">
        <f>IF(ISERROR(SUM(X279:X280)/V281),0,(SUM(X279:X280)/V281))</f>
        <v>0</v>
      </c>
      <c r="Z281" s="333"/>
      <c r="AA281" s="333" t="s">
        <v>33</v>
      </c>
      <c r="AB281" s="333"/>
      <c r="AC281" s="333"/>
      <c r="AD281" s="333"/>
      <c r="AE281" s="333"/>
      <c r="AF281" s="333"/>
      <c r="AG281" s="333"/>
      <c r="AH281" s="333"/>
      <c r="AI281" s="333"/>
      <c r="AJ281" s="333"/>
      <c r="AK281" s="333"/>
      <c r="AL281" s="333"/>
      <c r="AM281" s="333"/>
      <c r="AN281" s="333"/>
      <c r="AO281" s="333"/>
      <c r="AP281" s="773"/>
      <c r="AQ281" s="773"/>
    </row>
    <row r="282" spans="1:47" x14ac:dyDescent="0.25">
      <c r="F282" s="774"/>
      <c r="Y282" s="774"/>
      <c r="Z282" s="617"/>
      <c r="AA282" s="1009">
        <f t="shared" ref="AA282:AU282" si="141">SUM(AA38:AA273)</f>
        <v>0</v>
      </c>
      <c r="AB282" s="1009">
        <f t="shared" si="141"/>
        <v>0</v>
      </c>
      <c r="AC282" s="1009">
        <f t="shared" si="141"/>
        <v>0</v>
      </c>
      <c r="AD282" s="1009">
        <f t="shared" si="141"/>
        <v>0</v>
      </c>
      <c r="AE282" s="1009">
        <f t="shared" si="141"/>
        <v>0</v>
      </c>
      <c r="AF282" s="1009">
        <f t="shared" si="141"/>
        <v>0</v>
      </c>
      <c r="AG282" s="1009">
        <f t="shared" si="141"/>
        <v>0</v>
      </c>
      <c r="AH282" s="1009">
        <f t="shared" si="141"/>
        <v>0</v>
      </c>
      <c r="AI282" s="1009">
        <f t="shared" si="141"/>
        <v>0</v>
      </c>
      <c r="AJ282" s="1009">
        <f t="shared" si="141"/>
        <v>0</v>
      </c>
      <c r="AK282" s="1009">
        <f t="shared" si="141"/>
        <v>0</v>
      </c>
      <c r="AL282" s="1009">
        <f t="shared" si="141"/>
        <v>0</v>
      </c>
      <c r="AM282" s="1009">
        <f t="shared" si="141"/>
        <v>0</v>
      </c>
      <c r="AN282" s="1009">
        <f t="shared" si="141"/>
        <v>0</v>
      </c>
      <c r="AO282" s="1009">
        <f t="shared" si="141"/>
        <v>0</v>
      </c>
      <c r="AP282" s="1009">
        <f t="shared" si="141"/>
        <v>0</v>
      </c>
      <c r="AQ282" s="1009">
        <f t="shared" si="141"/>
        <v>0</v>
      </c>
      <c r="AR282" s="1009">
        <f>SUM(AR38:AR273)</f>
        <v>0</v>
      </c>
      <c r="AS282" s="1009">
        <f t="shared" si="141"/>
        <v>0</v>
      </c>
      <c r="AT282" s="1009">
        <f t="shared" si="141"/>
        <v>0</v>
      </c>
      <c r="AU282" s="1009">
        <f t="shared" si="141"/>
        <v>0</v>
      </c>
    </row>
    <row r="283" spans="1:47" x14ac:dyDescent="0.25">
      <c r="F283" s="775" t="s">
        <v>284</v>
      </c>
      <c r="Z283" s="617"/>
      <c r="AA283" s="1024">
        <f>IFERROR(AA282/$AP$282,0)</f>
        <v>0</v>
      </c>
      <c r="AB283" s="1024">
        <f t="shared" ref="AB283:AD283" si="142">IFERROR(AB282/$AP$282,0)</f>
        <v>0</v>
      </c>
      <c r="AC283" s="1024">
        <f t="shared" si="142"/>
        <v>0</v>
      </c>
      <c r="AD283" s="1024">
        <f t="shared" si="142"/>
        <v>0</v>
      </c>
      <c r="AE283" s="1024">
        <f>IFERROR(AE282/$AP$282,0)</f>
        <v>0</v>
      </c>
      <c r="AF283" s="1024">
        <f>IFERROR(AF282/$AQ$282,0)</f>
        <v>0</v>
      </c>
      <c r="AG283" s="1024">
        <f t="shared" ref="AG283:AJ283" si="143">IFERROR(AG282/$AQ$282,0)</f>
        <v>0</v>
      </c>
      <c r="AH283" s="1024">
        <f t="shared" si="143"/>
        <v>0</v>
      </c>
      <c r="AI283" s="1024">
        <f t="shared" si="143"/>
        <v>0</v>
      </c>
      <c r="AJ283" s="1024">
        <f t="shared" si="143"/>
        <v>0</v>
      </c>
      <c r="AK283" s="1024">
        <f>IFERROR(AK282/$AR$282,0)</f>
        <v>0</v>
      </c>
      <c r="AL283" s="1024">
        <f t="shared" ref="AL283:AO283" si="144">IFERROR(AL282/$AR$282,0)</f>
        <v>0</v>
      </c>
      <c r="AM283" s="1024">
        <f t="shared" si="144"/>
        <v>0</v>
      </c>
      <c r="AN283" s="1024">
        <f t="shared" si="144"/>
        <v>0</v>
      </c>
      <c r="AO283" s="1024">
        <f t="shared" si="144"/>
        <v>0</v>
      </c>
    </row>
    <row r="284" spans="1:47" ht="14.4" thickBot="1" x14ac:dyDescent="0.3">
      <c r="F284" s="776"/>
      <c r="Z284" s="777"/>
      <c r="AA284" s="1680">
        <f>IFERROR(SUM(AA283:AE283),0)</f>
        <v>0</v>
      </c>
      <c r="AB284" s="1681"/>
      <c r="AC284" s="1681"/>
      <c r="AD284" s="1681"/>
      <c r="AE284" s="1682"/>
      <c r="AF284" s="1683">
        <f>IFERROR(SUM(AF283:AJ283),0)</f>
        <v>0</v>
      </c>
      <c r="AG284" s="1684"/>
      <c r="AH284" s="1684"/>
      <c r="AI284" s="1684"/>
      <c r="AJ284" s="1685"/>
      <c r="AK284" s="1686">
        <f>IFERROR(SUM(AK283:AO283),0)</f>
        <v>0</v>
      </c>
      <c r="AL284" s="1687"/>
      <c r="AM284" s="1687"/>
      <c r="AN284" s="1687"/>
      <c r="AO284" s="1688"/>
    </row>
    <row r="285" spans="1:47" x14ac:dyDescent="0.25">
      <c r="F285" s="335" t="s">
        <v>285</v>
      </c>
      <c r="G285" s="778" t="s">
        <v>273</v>
      </c>
      <c r="H285" s="1820" t="s">
        <v>274</v>
      </c>
      <c r="I285" s="1821"/>
      <c r="J285" s="1822" t="s">
        <v>275</v>
      </c>
      <c r="K285" s="1823"/>
      <c r="Z285" s="617"/>
    </row>
    <row r="286" spans="1:47" ht="27" thickBot="1" x14ac:dyDescent="0.3">
      <c r="F286" s="336"/>
      <c r="G286" s="779" t="s">
        <v>286</v>
      </c>
      <c r="H286" s="1812" t="s">
        <v>287</v>
      </c>
      <c r="I286" s="1813"/>
      <c r="J286" s="1814" t="s">
        <v>288</v>
      </c>
      <c r="K286" s="1815"/>
      <c r="Z286" s="617"/>
      <c r="AA286" s="1025"/>
    </row>
    <row r="287" spans="1:47" x14ac:dyDescent="0.25">
      <c r="F287" s="775"/>
      <c r="Z287" s="617"/>
    </row>
    <row r="288" spans="1:47" x14ac:dyDescent="0.25">
      <c r="F288" s="780" t="s">
        <v>407</v>
      </c>
      <c r="G288" s="781">
        <f>AA284</f>
        <v>0</v>
      </c>
      <c r="H288" s="1816">
        <f>AF284</f>
        <v>0</v>
      </c>
      <c r="I288" s="1816"/>
      <c r="J288" s="1817">
        <f>AK284</f>
        <v>0</v>
      </c>
      <c r="K288" s="1817"/>
      <c r="Z288" s="617"/>
    </row>
    <row r="289" spans="6:43" ht="14.4" thickBot="1" x14ac:dyDescent="0.3">
      <c r="F289" s="782" t="s">
        <v>289</v>
      </c>
      <c r="G289" s="783">
        <f>40*13/3</f>
        <v>173.33333333333334</v>
      </c>
      <c r="H289" s="1818">
        <f>40*13/3</f>
        <v>173.33333333333334</v>
      </c>
      <c r="I289" s="1818"/>
      <c r="J289" s="1819">
        <f>40*13/3</f>
        <v>173.33333333333334</v>
      </c>
      <c r="K289" s="1819"/>
      <c r="Z289" s="617"/>
    </row>
    <row r="290" spans="6:43" ht="14.4" thickBot="1" x14ac:dyDescent="0.3">
      <c r="F290" s="784" t="s">
        <v>296</v>
      </c>
      <c r="G290" s="785">
        <f>IFERROR(G288/G289,0)</f>
        <v>0</v>
      </c>
      <c r="H290" s="1793">
        <f>IFERROR(H288/H289,0)</f>
        <v>0</v>
      </c>
      <c r="I290" s="1794">
        <f>IFERROR(I288/I289,0)</f>
        <v>0</v>
      </c>
      <c r="J290" s="1793">
        <f>IFERROR(J288/J289,0)</f>
        <v>0</v>
      </c>
      <c r="K290" s="1794">
        <f>IFERROR(K288/K289,0)</f>
        <v>0</v>
      </c>
      <c r="Z290" s="617"/>
      <c r="AA290" s="786"/>
      <c r="AB290" s="786"/>
      <c r="AC290" s="786"/>
      <c r="AD290" s="786"/>
      <c r="AE290" s="786"/>
      <c r="AF290" s="786"/>
      <c r="AG290" s="786"/>
      <c r="AH290" s="786"/>
      <c r="AI290" s="786"/>
      <c r="AJ290" s="786"/>
      <c r="AK290" s="786"/>
      <c r="AL290" s="786"/>
    </row>
    <row r="291" spans="6:43" x14ac:dyDescent="0.25">
      <c r="F291" s="787"/>
      <c r="G291" s="788"/>
      <c r="H291" s="788"/>
      <c r="I291" s="788"/>
      <c r="J291" s="789"/>
      <c r="K291" s="789"/>
      <c r="Z291" s="617"/>
      <c r="AA291" s="790"/>
      <c r="AB291" s="791"/>
      <c r="AC291" s="791"/>
      <c r="AD291" s="791"/>
      <c r="AE291" s="792"/>
      <c r="AF291" s="494"/>
      <c r="AG291" s="494"/>
      <c r="AH291" s="494"/>
      <c r="AI291" s="494"/>
      <c r="AJ291" s="793"/>
      <c r="AK291" s="793"/>
      <c r="AL291" s="793"/>
    </row>
    <row r="292" spans="6:43" x14ac:dyDescent="0.25">
      <c r="F292" s="794" t="s">
        <v>290</v>
      </c>
      <c r="G292" s="795">
        <f>AP282</f>
        <v>0</v>
      </c>
      <c r="H292" s="1795">
        <f>AQ282</f>
        <v>0</v>
      </c>
      <c r="I292" s="1796"/>
      <c r="J292" s="1797">
        <f>AR282</f>
        <v>0</v>
      </c>
      <c r="K292" s="1797"/>
      <c r="Z292" s="617"/>
    </row>
    <row r="293" spans="6:43" ht="14.4" thickBot="1" x14ac:dyDescent="0.3">
      <c r="F293" s="782" t="s">
        <v>291</v>
      </c>
      <c r="G293" s="1798">
        <f>IFERROR(SUM(G292:K292),0)</f>
        <v>0</v>
      </c>
      <c r="H293" s="1798"/>
      <c r="I293" s="1798"/>
      <c r="J293" s="1798"/>
      <c r="K293" s="1798"/>
      <c r="Z293" s="617"/>
    </row>
    <row r="294" spans="6:43" ht="14.4" thickBot="1" x14ac:dyDescent="0.3">
      <c r="F294" s="796" t="s">
        <v>292</v>
      </c>
      <c r="G294" s="797">
        <f>IFERROR(G292/G293,0)</f>
        <v>0</v>
      </c>
      <c r="H294" s="1799">
        <f>IFERROR(H292/G293,0)</f>
        <v>0</v>
      </c>
      <c r="I294" s="1800"/>
      <c r="J294" s="1801">
        <f>IFERROR(J292/G293,0)</f>
        <v>0</v>
      </c>
      <c r="K294" s="1802"/>
      <c r="Z294" s="617"/>
    </row>
    <row r="295" spans="6:43" ht="14.4" thickBot="1" x14ac:dyDescent="0.3">
      <c r="Z295" s="617"/>
    </row>
    <row r="296" spans="6:43" ht="27.6" thickBot="1" x14ac:dyDescent="0.35">
      <c r="F296" s="798" t="s">
        <v>293</v>
      </c>
      <c r="G296" s="1807">
        <f>IFERROR(G294*G290+H294*H290+J294*J290,0)</f>
        <v>0</v>
      </c>
      <c r="H296" s="1808"/>
      <c r="I296" s="1808"/>
      <c r="J296" s="1808"/>
      <c r="K296" s="1809"/>
      <c r="Z296" s="617"/>
    </row>
    <row r="297" spans="6:43" ht="15.6" x14ac:dyDescent="0.3">
      <c r="F297" s="799"/>
      <c r="G297" s="800"/>
      <c r="H297" s="800"/>
      <c r="I297" s="800"/>
      <c r="J297" s="800"/>
      <c r="K297" s="800"/>
      <c r="Z297" s="617"/>
    </row>
    <row r="298" spans="6:43" x14ac:dyDescent="0.25">
      <c r="F298" s="801" t="s">
        <v>294</v>
      </c>
      <c r="G298" s="802">
        <f>IFERROR(AS282/AP282,0)</f>
        <v>0</v>
      </c>
      <c r="H298" s="1810">
        <f>IFERROR(AT282/AQ282,0)</f>
        <v>0</v>
      </c>
      <c r="I298" s="1811"/>
      <c r="J298" s="1810">
        <f>IFERROR(AU282/AR282,0)</f>
        <v>0</v>
      </c>
      <c r="K298" s="1811"/>
      <c r="Z298" s="617"/>
    </row>
    <row r="299" spans="6:43" ht="14.4" thickBot="1" x14ac:dyDescent="0.3">
      <c r="Y299" s="803"/>
      <c r="Z299" s="617"/>
    </row>
    <row r="300" spans="6:43" ht="14.4" thickBot="1" x14ac:dyDescent="0.3">
      <c r="F300" s="1790" t="s">
        <v>146</v>
      </c>
      <c r="G300" s="1791"/>
      <c r="H300" s="1791"/>
      <c r="I300" s="1791"/>
      <c r="J300" s="1791"/>
      <c r="K300" s="1791"/>
      <c r="L300" s="1791"/>
      <c r="M300" s="1791"/>
      <c r="N300" s="1791"/>
      <c r="O300" s="1791"/>
      <c r="P300" s="1791"/>
      <c r="Q300" s="1791"/>
      <c r="R300" s="1791"/>
      <c r="S300" s="1791"/>
      <c r="T300" s="1791"/>
      <c r="U300" s="1791"/>
      <c r="V300" s="1791"/>
      <c r="W300" s="1791"/>
      <c r="X300" s="1791"/>
      <c r="Y300" s="1792"/>
      <c r="Z300" s="804"/>
      <c r="AA300" s="804"/>
      <c r="AB300" s="804"/>
      <c r="AC300" s="804"/>
      <c r="AD300" s="804"/>
      <c r="AE300" s="804"/>
      <c r="AF300" s="804"/>
      <c r="AG300" s="804"/>
      <c r="AH300" s="804"/>
      <c r="AI300" s="804"/>
      <c r="AJ300" s="804"/>
      <c r="AK300" s="804"/>
      <c r="AL300" s="804"/>
      <c r="AM300" s="804"/>
      <c r="AN300" s="804"/>
      <c r="AO300" s="804"/>
      <c r="AP300" s="805"/>
      <c r="AQ300" s="805"/>
    </row>
    <row r="301" spans="6:43" x14ac:dyDescent="0.25">
      <c r="Y301" s="1577"/>
    </row>
    <row r="302" spans="6:43" x14ac:dyDescent="0.25">
      <c r="F302" s="1043"/>
      <c r="G302" s="1043"/>
    </row>
    <row r="303" spans="6:43" x14ac:dyDescent="0.25">
      <c r="F303" s="1043"/>
      <c r="G303" s="1043"/>
    </row>
    <row r="304" spans="6:43" x14ac:dyDescent="0.25">
      <c r="F304" s="1044"/>
      <c r="G304" s="1044"/>
      <c r="H304" s="19"/>
      <c r="I304" s="19"/>
      <c r="J304" s="19"/>
      <c r="K304" s="19"/>
      <c r="L304" s="19"/>
      <c r="M304" s="19"/>
      <c r="N304" s="19"/>
    </row>
    <row r="305" spans="6:14" x14ac:dyDescent="0.25">
      <c r="F305" s="19"/>
      <c r="G305" s="19"/>
      <c r="H305" s="19"/>
      <c r="I305" s="19"/>
      <c r="J305" s="19"/>
      <c r="K305" s="19"/>
      <c r="L305" s="19"/>
      <c r="M305" s="19"/>
      <c r="N305" s="19"/>
    </row>
    <row r="306" spans="6:14" x14ac:dyDescent="0.25">
      <c r="F306" s="19"/>
      <c r="G306" s="19"/>
      <c r="H306" s="19"/>
      <c r="I306" s="19"/>
      <c r="J306" s="19"/>
      <c r="K306" s="19"/>
      <c r="L306" s="19"/>
      <c r="M306" s="19"/>
      <c r="N306" s="19"/>
    </row>
    <row r="307" spans="6:14" x14ac:dyDescent="0.25">
      <c r="F307" s="19"/>
      <c r="G307" s="19"/>
      <c r="H307" s="19"/>
      <c r="I307" s="19"/>
      <c r="J307" s="19"/>
      <c r="K307" s="19"/>
      <c r="L307" s="19"/>
      <c r="M307" s="19"/>
      <c r="N307" s="19"/>
    </row>
    <row r="308" spans="6:14" x14ac:dyDescent="0.25">
      <c r="F308" s="19"/>
      <c r="G308" s="19"/>
      <c r="H308" s="19"/>
      <c r="I308" s="19"/>
      <c r="J308" s="19"/>
      <c r="K308" s="19"/>
      <c r="L308" s="19"/>
      <c r="M308" s="19"/>
      <c r="N308" s="19"/>
    </row>
    <row r="309" spans="6:14" x14ac:dyDescent="0.25">
      <c r="F309" s="19"/>
      <c r="G309" s="19"/>
      <c r="H309" s="19"/>
      <c r="I309" s="19"/>
      <c r="J309" s="19"/>
      <c r="K309" s="19"/>
      <c r="L309" s="19"/>
      <c r="M309" s="19"/>
      <c r="N309" s="19"/>
    </row>
    <row r="310" spans="6:14" x14ac:dyDescent="0.25">
      <c r="F310" s="19"/>
      <c r="G310" s="19"/>
      <c r="H310" s="19"/>
      <c r="I310" s="19"/>
      <c r="J310" s="19"/>
      <c r="K310" s="19"/>
      <c r="L310" s="19"/>
      <c r="M310" s="19"/>
      <c r="N310" s="19"/>
    </row>
  </sheetData>
  <sheetProtection algorithmName="SHA-512" hashValue="xmbZ/CviTT+HrIY4tVlS7GbbX+oRHWPeyLGa5eX/BFuviV+vUaLKQHbP846f5Gbj3VgurW05282x64pKhHtq4g==" saltValue="Bxe9wswnS8YNArI+RIlRvA==" spinCount="100000" sheet="1" selectLockedCells="1"/>
  <mergeCells count="84">
    <mergeCell ref="A263:D263"/>
    <mergeCell ref="F263:K263"/>
    <mergeCell ref="G296:K296"/>
    <mergeCell ref="H298:I298"/>
    <mergeCell ref="J298:K298"/>
    <mergeCell ref="H286:I286"/>
    <mergeCell ref="J286:K286"/>
    <mergeCell ref="H288:I288"/>
    <mergeCell ref="J288:K288"/>
    <mergeCell ref="H289:I289"/>
    <mergeCell ref="J289:K289"/>
    <mergeCell ref="H285:I285"/>
    <mergeCell ref="J285:K285"/>
    <mergeCell ref="F300:Y300"/>
    <mergeCell ref="H290:I290"/>
    <mergeCell ref="J290:K290"/>
    <mergeCell ref="H292:I292"/>
    <mergeCell ref="J292:K292"/>
    <mergeCell ref="G293:K293"/>
    <mergeCell ref="H294:I294"/>
    <mergeCell ref="J294:K294"/>
    <mergeCell ref="F190:G190"/>
    <mergeCell ref="F214:G214"/>
    <mergeCell ref="P218:Y218"/>
    <mergeCell ref="P227:Y227"/>
    <mergeCell ref="F165:G165"/>
    <mergeCell ref="F75:G75"/>
    <mergeCell ref="F109:G109"/>
    <mergeCell ref="P111:Y111"/>
    <mergeCell ref="F151:G151"/>
    <mergeCell ref="P157:Y157"/>
    <mergeCell ref="F33:G33"/>
    <mergeCell ref="AA35:AE35"/>
    <mergeCell ref="AF35:AJ35"/>
    <mergeCell ref="AK35:AO35"/>
    <mergeCell ref="I70:W74"/>
    <mergeCell ref="B4:D4"/>
    <mergeCell ref="B5:D5"/>
    <mergeCell ref="A11:E11"/>
    <mergeCell ref="F11:Y11"/>
    <mergeCell ref="G22:G24"/>
    <mergeCell ref="V22:W22"/>
    <mergeCell ref="X22:X24"/>
    <mergeCell ref="Y22:Y24"/>
    <mergeCell ref="T23:T24"/>
    <mergeCell ref="M22:S22"/>
    <mergeCell ref="U23:U24"/>
    <mergeCell ref="V23:W23"/>
    <mergeCell ref="M23:M24"/>
    <mergeCell ref="N23:N24"/>
    <mergeCell ref="T22:U22"/>
    <mergeCell ref="K22:L22"/>
    <mergeCell ref="AH11:AH12"/>
    <mergeCell ref="AI11:AI12"/>
    <mergeCell ref="F216:G216"/>
    <mergeCell ref="A252:D252"/>
    <mergeCell ref="F252:K252"/>
    <mergeCell ref="H156:L156"/>
    <mergeCell ref="M13:O13"/>
    <mergeCell ref="M14:Q14"/>
    <mergeCell ref="A21:E21"/>
    <mergeCell ref="F21:Y21"/>
    <mergeCell ref="A22:A24"/>
    <mergeCell ref="B22:B24"/>
    <mergeCell ref="C22:C24"/>
    <mergeCell ref="D22:D24"/>
    <mergeCell ref="E22:E24"/>
    <mergeCell ref="AA23:AE23"/>
    <mergeCell ref="A20:B20"/>
    <mergeCell ref="AA284:AE284"/>
    <mergeCell ref="AF284:AJ284"/>
    <mergeCell ref="AK284:AO284"/>
    <mergeCell ref="AS23:AU23"/>
    <mergeCell ref="AP23:AR23"/>
    <mergeCell ref="AF23:AJ23"/>
    <mergeCell ref="K23:L23"/>
    <mergeCell ref="F22:F24"/>
    <mergeCell ref="AK23:AO23"/>
    <mergeCell ref="I22:I24"/>
    <mergeCell ref="J22:J24"/>
    <mergeCell ref="O23:O24"/>
    <mergeCell ref="R23:S23"/>
    <mergeCell ref="H22:H24"/>
    <mergeCell ref="F154:G154"/>
  </mergeCells>
  <conditionalFormatting sqref="J13:L13">
    <cfRule type="expression" dxfId="106" priority="11">
      <formula>$M$12="ja"</formula>
    </cfRule>
  </conditionalFormatting>
  <conditionalFormatting sqref="L24 L27:L32 L38:L69 L78:L108 L112:L149 L170:L189 L193:L213 L219:L224 L228:L251">
    <cfRule type="expression" dxfId="105" priority="9">
      <formula>$K$24="VK"</formula>
    </cfRule>
  </conditionalFormatting>
  <conditionalFormatting sqref="L150 L264:L273">
    <cfRule type="expression" dxfId="104" priority="8">
      <formula>$K$24="VK"</formula>
    </cfRule>
  </conditionalFormatting>
  <conditionalFormatting sqref="L159:L164">
    <cfRule type="expression" dxfId="103" priority="3">
      <formula>$K$24="VK"</formula>
    </cfRule>
  </conditionalFormatting>
  <conditionalFormatting sqref="L253:L262">
    <cfRule type="expression" dxfId="102" priority="6">
      <formula>$K$24="VK"</formula>
    </cfRule>
  </conditionalFormatting>
  <conditionalFormatting sqref="M156">
    <cfRule type="expression" dxfId="101" priority="12">
      <formula>$I$156=""</formula>
    </cfRule>
  </conditionalFormatting>
  <conditionalFormatting sqref="M13:O13">
    <cfRule type="expression" dxfId="100" priority="10">
      <formula>$M$12="ja"</formula>
    </cfRule>
  </conditionalFormatting>
  <conditionalFormatting sqref="P15">
    <cfRule type="expression" dxfId="99" priority="4">
      <formula>$M$12=""</formula>
    </cfRule>
    <cfRule type="expression" dxfId="98" priority="5">
      <formula>$M$13="regional übliches Entgelt"</formula>
    </cfRule>
  </conditionalFormatting>
  <dataValidations count="13">
    <dataValidation type="custom" allowBlank="1" showInputMessage="1" showErrorMessage="1" prompt="für Leiharbeitnehmer den VK-Umfang entsprechend der gepplanten wö. Stundenzahl und Einsatzzeitraum angeben, Eingabe mit maximal 4 Nachkommastellen" sqref="B70:B74" xr:uid="{00000000-0002-0000-0500-000000000000}">
      <formula1>MOD(B70*10^4,1)=0</formula1>
    </dataValidation>
    <dataValidation allowBlank="1" showInputMessage="1" showErrorMessage="1" promptTitle="Eingabe" prompt="mit maximal 4 Nachkommastellen" sqref="H253:H262 H219:H224 B219:B224 B193:B213 H193:H213 H170:H189 B170:B189 H78:H108 B78:B108 B27:B32 H27:H32 B253:B262 B38:B69 H38:H69 B228:B251 H228:H251 B112:B150 H112:H150 B159:B164 H159:H164 H264:H273 B264:B273" xr:uid="{00000000-0002-0000-0500-000001000000}"/>
    <dataValidation allowBlank="1" showErrorMessage="1" sqref="G253:G262 G264:G273" xr:uid="{00000000-0002-0000-0500-000002000000}"/>
    <dataValidation type="list" allowBlank="1" showInputMessage="1" showErrorMessage="1" sqref="P15" xr:uid="{00000000-0002-0000-0500-000004000000}">
      <formula1>"sind beigefügt,wurde bereits eingereicht"</formula1>
    </dataValidation>
    <dataValidation type="list" allowBlank="1" showInputMessage="1" showErrorMessage="1" promptTitle="Beschäftigungsgruppen / Funktion" prompt="PDL = Pflegedienstleitung_x000a_stellv. = Pflegedienstleitung_x000a_" sqref="G27:G32" xr:uid="{00000000-0002-0000-0500-000005000000}">
      <formula1>"PDL,stellv. PDL"</formula1>
    </dataValidation>
    <dataValidation type="list" allowBlank="1" showInputMessage="1" showErrorMessage="1" promptTitle="Bitte auswählen." prompt="Stellenumfang: Grundlohn / Stellenumfang_x000a_VK: Grundlohn / VK" sqref="K24" xr:uid="{00000000-0002-0000-0500-000006000000}">
      <formula1>"Bitte auswählen,Stellenumfang,VK"</formula1>
    </dataValidation>
    <dataValidation type="whole" allowBlank="1" showInputMessage="1" showErrorMessage="1" promptTitle="Eingabe" prompt="ohne Nachkommastellen" sqref="V279:V280 B279:B280" xr:uid="{00000000-0002-0000-0500-000008000000}">
      <formula1>0</formula1>
      <formula2>20</formula2>
    </dataValidation>
    <dataValidation type="list" allowBlank="1" showInputMessage="1" sqref="F38:F69 F219:F224 A38:A69 A219:A224 A78:A108 F170:F189 A170:A189 F193:F213 A193:A213 F27:F32 A27:A32 F78:F108 F253:F262 A253:A262 A228:A251 F228:F251 A112:A150 F112:F150 F159:F164 A159:A164 F264:F273 A264:A273" xr:uid="{00000000-0002-0000-0500-000009000000}">
      <formula1>"GfB"</formula1>
    </dataValidation>
    <dataValidation allowBlank="1" showInputMessage="1" showErrorMessage="1" prompt="geplanten Gesamtpersonalkosten für Leiharbeitnehmer entsprechend des VK-Umfanges angeben" sqref="X70" xr:uid="{00000000-0002-0000-0500-00000A000000}"/>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500-00000B000000}"/>
    <dataValidation type="list" allowBlank="1" showInputMessage="1" showErrorMessage="1" promptTitle="Funktionen" prompt="PDL = Pflegedienstleitung_x000a_stellv. PDL = stellvertretende Pflegedienstleitung_x000a_" sqref="G38:G69 G159:G164" xr:uid="{00000000-0002-0000-0500-00000C000000}">
      <formula1>"PDL,stellv. PDL"</formula1>
    </dataValidation>
    <dataValidation type="list" allowBlank="1" showInputMessage="1" showErrorMessage="1" promptTitle="Funktionen" prompt="PDL = Pflegedienstleitung_x000a_stellv. PDL = Pflegedienstleitung" sqref="G219:G224" xr:uid="{00000000-0002-0000-0500-00000D000000}">
      <formula1>"PDL,stellv. PDL"</formula1>
    </dataValidation>
    <dataValidation type="custom" allowBlank="1" showInputMessage="1" showErrorMessage="1" prompt="für Leiharbeitnehmer den VK-Umfang entsprechend der geplanten wö. Stundenzahl und Einsatzzeitraum angeben, Eingabe mit maximal 4 Nachkommastellen" sqref="H70:H74" xr:uid="{9261E7C3-90ED-447F-BBD5-4A7722D583A2}">
      <formula1>MOD(H70*10^4,1)=0</formula1>
    </dataValidation>
  </dataValidations>
  <hyperlinks>
    <hyperlink ref="F300:O300" location="Sachaufwendungen!A1" display="gehe weiter zu Sachaufwendungen" xr:uid="{00000000-0004-0000-0500-000000000000}"/>
    <hyperlink ref="F300:Y300" location="Personalaufwendungen!A1" display="gehe weiter zu Personalaufwendungen" xr:uid="{00000000-0004-0000-0500-000001000000}"/>
  </hyperlinks>
  <pageMargins left="0.70866141732283472" right="0.70866141732283472" top="0.78740157480314965" bottom="0.78740157480314965" header="0.31496062992125984" footer="0.31496062992125984"/>
  <pageSetup paperSize="9" scale="27" fitToHeight="0" orientation="landscape"/>
  <headerFooter>
    <oddHeader>&amp;C&amp;9&amp;A</oddHeader>
    <oddFooter>&amp;L&amp;9Version: &amp;K00000012.10.2026&amp;C&amp;9Verhandlungsunterlagen KZP SGB XI&amp;R&amp;9PSK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B88DC906-1811-4094-97BE-664A56008F09}">
            <xm:f>KAT!$A$32="nein"</xm:f>
            <x14:dxf>
              <fill>
                <patternFill>
                  <bgColor theme="0"/>
                </patternFill>
              </fill>
            </x14:dxf>
          </x14:cfRule>
          <xm:sqref>H34 H156 H217 H226 H275</xm:sqref>
        </x14:conditionalFormatting>
        <x14:conditionalFormatting xmlns:xm="http://schemas.microsoft.com/office/excel/2006/main">
          <x14:cfRule type="expression" priority="2" id="{56072B46-CE8C-4AC5-B2C5-F72EBBE89DAC}">
            <xm:f>KAT!$A$32="nein"</xm:f>
            <x14:dxf>
              <fill>
                <patternFill>
                  <bgColor theme="7" tint="0.79998168889431442"/>
                </patternFill>
              </fill>
            </x14:dxf>
          </x14:cfRule>
          <xm:sqref>R14 O15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E000000}">
          <x14:formula1>
            <xm:f>KAT!$F$2:$F$4</xm:f>
          </x14:formula1>
          <xm:sqref>M12</xm:sqref>
        </x14:dataValidation>
        <x14:dataValidation type="list" allowBlank="1" showInputMessage="1" showErrorMessage="1" xr:uid="{00000000-0002-0000-0500-00000F000000}">
          <x14:formula1>
            <xm:f>KAT!$D$21:$D$23</xm:f>
          </x14:formula1>
          <xm:sqref>M13:O13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tabColor theme="5" tint="0.79998168889431442"/>
    <pageSetUpPr fitToPage="1"/>
  </sheetPr>
  <dimension ref="A1:P63"/>
  <sheetViews>
    <sheetView showGridLines="0" zoomScaleNormal="100" workbookViewId="0">
      <selection activeCell="A5" sqref="A5"/>
    </sheetView>
  </sheetViews>
  <sheetFormatPr baseColWidth="10" defaultRowHeight="13.8" x14ac:dyDescent="0.25"/>
  <cols>
    <col min="1" max="1" width="1.5" customWidth="1"/>
    <col min="2" max="2" width="3.69921875" customWidth="1"/>
    <col min="3" max="3" width="5.3984375" customWidth="1"/>
    <col min="4" max="4" width="7.3984375" customWidth="1"/>
    <col min="6" max="6" width="19.19921875" customWidth="1"/>
    <col min="7" max="8" width="9.3984375" customWidth="1"/>
    <col min="9" max="10" width="15.59765625" customWidth="1"/>
    <col min="11" max="11" width="1.19921875" customWidth="1"/>
    <col min="12" max="12" width="41.59765625" customWidth="1"/>
    <col min="13" max="13" width="3.59765625" customWidth="1"/>
    <col min="14" max="14" width="14.09765625" customWidth="1"/>
  </cols>
  <sheetData>
    <row r="1" spans="1:14" ht="15" customHeight="1" x14ac:dyDescent="0.25">
      <c r="A1" s="1649" t="str">
        <f>'Allgemeine Angaben'!A1:N1</f>
        <v>Aufforderung zum Abschluss einer Pflegesatzvereinbarung gemäß §§ 84, 85 SGB XI</v>
      </c>
      <c r="B1" s="1650"/>
      <c r="C1" s="1650"/>
      <c r="D1" s="1650"/>
      <c r="E1" s="1650"/>
      <c r="F1" s="1650"/>
      <c r="G1" s="1650"/>
      <c r="H1" s="1650"/>
      <c r="I1" s="1650"/>
      <c r="J1" s="1824"/>
      <c r="K1" s="1825"/>
      <c r="L1" s="266"/>
    </row>
    <row r="2" spans="1:14" ht="15" customHeight="1" x14ac:dyDescent="0.25">
      <c r="A2" s="1652" t="s">
        <v>35</v>
      </c>
      <c r="B2" s="1653"/>
      <c r="C2" s="1653"/>
      <c r="D2" s="1653"/>
      <c r="E2" s="1653"/>
      <c r="F2" s="1653"/>
      <c r="G2" s="1653"/>
      <c r="H2" s="1653"/>
      <c r="I2" s="1653"/>
      <c r="J2" s="1826"/>
      <c r="K2" s="1827"/>
      <c r="L2" s="208"/>
    </row>
    <row r="3" spans="1:14" ht="15" customHeight="1" x14ac:dyDescent="0.25">
      <c r="A3" s="1668" t="str">
        <f>'Allgemeine Angaben'!A3:N3</f>
        <v/>
      </c>
      <c r="B3" s="1669"/>
      <c r="C3" s="1669"/>
      <c r="D3" s="1669"/>
      <c r="E3" s="1669"/>
      <c r="F3" s="1669"/>
      <c r="G3" s="1669"/>
      <c r="H3" s="1669"/>
      <c r="I3" s="1669"/>
      <c r="J3" s="1826"/>
      <c r="K3" s="1827"/>
      <c r="L3" s="271"/>
    </row>
    <row r="4" spans="1:14" ht="15" customHeight="1" x14ac:dyDescent="0.25">
      <c r="A4" s="1671" t="str">
        <f>'Allgemeine Angaben'!A4:N4</f>
        <v/>
      </c>
      <c r="B4" s="1672"/>
      <c r="C4" s="1672"/>
      <c r="D4" s="1672"/>
      <c r="E4" s="1672"/>
      <c r="F4" s="1672"/>
      <c r="G4" s="1672"/>
      <c r="H4" s="1672"/>
      <c r="I4" s="1672"/>
      <c r="J4" s="1828"/>
      <c r="K4" s="1829"/>
      <c r="L4" s="282"/>
      <c r="N4" s="208"/>
    </row>
    <row r="5" spans="1:14" s="1" customFormat="1" ht="13.5" customHeight="1" x14ac:dyDescent="0.25">
      <c r="A5" s="1483"/>
      <c r="B5" s="71"/>
      <c r="C5" s="71"/>
      <c r="D5" s="71"/>
      <c r="E5" s="71"/>
      <c r="F5" s="71"/>
      <c r="G5" s="71"/>
      <c r="H5" s="1405"/>
      <c r="I5" s="71"/>
      <c r="J5" s="71"/>
      <c r="K5" s="12"/>
      <c r="M5"/>
    </row>
    <row r="6" spans="1:14" s="1" customFormat="1" ht="36" customHeight="1" x14ac:dyDescent="0.25">
      <c r="A6" s="74"/>
      <c r="B6" s="71"/>
      <c r="C6" s="71"/>
      <c r="D6" s="71"/>
      <c r="E6" s="1406"/>
      <c r="F6" s="1406"/>
      <c r="G6" s="1407" t="s">
        <v>36</v>
      </c>
      <c r="H6" s="1408" t="s">
        <v>36</v>
      </c>
      <c r="I6" s="1409" t="s">
        <v>262</v>
      </c>
      <c r="J6" s="1410" t="s">
        <v>147</v>
      </c>
      <c r="K6" s="12"/>
      <c r="L6" s="43"/>
      <c r="M6"/>
    </row>
    <row r="7" spans="1:14" s="1" customFormat="1" ht="35.25" customHeight="1" x14ac:dyDescent="0.25">
      <c r="A7" s="74"/>
      <c r="B7" s="71"/>
      <c r="C7" s="71"/>
      <c r="D7" s="71"/>
      <c r="E7" s="71"/>
      <c r="F7" s="71"/>
      <c r="G7" s="1411" t="s">
        <v>37</v>
      </c>
      <c r="H7" s="1406" t="s">
        <v>37</v>
      </c>
      <c r="I7" s="1412" t="s">
        <v>264</v>
      </c>
      <c r="J7" s="1413" t="s">
        <v>263</v>
      </c>
      <c r="K7" s="12"/>
      <c r="M7"/>
    </row>
    <row r="8" spans="1:14" s="1" customFormat="1" ht="14.1" customHeight="1" x14ac:dyDescent="0.25">
      <c r="A8" s="74"/>
      <c r="B8" s="71"/>
      <c r="C8" s="71"/>
      <c r="D8" s="71"/>
      <c r="E8" s="71"/>
      <c r="F8" s="1414"/>
      <c r="G8" s="1415" t="str">
        <f>IF('Belegung_wö. Arbeitszeit'!D14&gt;0,'Belegung_wö. Arbeitszeit'!D14,"")</f>
        <v/>
      </c>
      <c r="H8" s="1408"/>
      <c r="I8" s="1416" t="s">
        <v>38</v>
      </c>
      <c r="J8" s="1417"/>
      <c r="K8" s="12"/>
      <c r="L8" s="283"/>
      <c r="M8"/>
    </row>
    <row r="9" spans="1:14" s="1" customFormat="1" ht="13.5" customHeight="1" x14ac:dyDescent="0.25">
      <c r="A9" s="74"/>
      <c r="B9" s="71"/>
      <c r="C9" s="71"/>
      <c r="D9" s="71"/>
      <c r="E9" s="71"/>
      <c r="F9" s="1406"/>
      <c r="G9" s="1418" t="s">
        <v>39</v>
      </c>
      <c r="H9" s="1419" t="s">
        <v>34</v>
      </c>
      <c r="I9" s="1418" t="s">
        <v>34</v>
      </c>
      <c r="J9" s="1420" t="s">
        <v>34</v>
      </c>
      <c r="K9" s="12"/>
      <c r="M9"/>
    </row>
    <row r="10" spans="1:14" s="1" customFormat="1" ht="13.5" customHeight="1" x14ac:dyDescent="0.25">
      <c r="A10" s="74"/>
      <c r="B10" s="16" t="s">
        <v>40</v>
      </c>
      <c r="C10" s="16" t="s">
        <v>423</v>
      </c>
      <c r="D10" s="71"/>
      <c r="E10" s="71"/>
      <c r="F10" s="1406"/>
      <c r="G10" s="1421"/>
      <c r="H10" s="1421"/>
      <c r="I10" s="1421"/>
      <c r="J10" s="1422"/>
      <c r="K10" s="12"/>
      <c r="M10"/>
    </row>
    <row r="11" spans="1:14" s="1" customFormat="1" ht="13.5" customHeight="1" thickBot="1" x14ac:dyDescent="0.3">
      <c r="A11" s="74"/>
      <c r="B11" s="11"/>
      <c r="C11" s="11"/>
      <c r="D11" s="71"/>
      <c r="E11" s="71"/>
      <c r="F11" s="1406"/>
      <c r="G11" s="1421"/>
      <c r="H11" s="1421"/>
      <c r="I11" s="1421"/>
      <c r="J11" s="1422"/>
      <c r="K11" s="12"/>
      <c r="M11"/>
    </row>
    <row r="12" spans="1:14" s="1" customFormat="1" ht="13.5" customHeight="1" thickBot="1" x14ac:dyDescent="0.3">
      <c r="A12" s="74"/>
      <c r="B12" s="16" t="s">
        <v>111</v>
      </c>
      <c r="C12" s="853" t="s">
        <v>424</v>
      </c>
      <c r="D12" s="5"/>
      <c r="E12" s="71"/>
      <c r="F12" s="1406"/>
      <c r="G12" s="1142"/>
      <c r="H12" s="1423">
        <f>Personalkostenaufstellung!H33</f>
        <v>0</v>
      </c>
      <c r="I12" s="1424">
        <f>Personalkostenaufstellung!Y33</f>
        <v>0</v>
      </c>
      <c r="J12" s="159" t="str">
        <f>IFERROR((H12*I12)*(1+pnk+I46)*(1+risiko),"")</f>
        <v/>
      </c>
      <c r="K12" s="12"/>
      <c r="M12"/>
    </row>
    <row r="13" spans="1:14" s="1" customFormat="1" ht="13.5" customHeight="1" x14ac:dyDescent="0.25">
      <c r="A13" s="74"/>
      <c r="B13" s="71"/>
      <c r="C13" s="850"/>
      <c r="D13" s="11"/>
      <c r="E13" s="11"/>
      <c r="F13" s="71"/>
      <c r="G13" s="1421"/>
      <c r="H13" s="1425" t="str">
        <f>IF(H12&gt;KAT!C12,"max. Stellenumfang lt. Rahmenvertrag überschritten","")</f>
        <v/>
      </c>
      <c r="I13" s="1421"/>
      <c r="J13" s="1422"/>
      <c r="K13" s="12"/>
      <c r="M13"/>
    </row>
    <row r="14" spans="1:14" s="1" customFormat="1" ht="14.1" customHeight="1" thickBot="1" x14ac:dyDescent="0.3">
      <c r="A14" s="74"/>
      <c r="B14" s="16" t="s">
        <v>112</v>
      </c>
      <c r="C14" s="16" t="s">
        <v>425</v>
      </c>
      <c r="D14" s="1426"/>
      <c r="E14" s="71"/>
      <c r="F14" s="1406"/>
      <c r="G14" s="71"/>
      <c r="H14" s="71"/>
      <c r="I14" s="71"/>
      <c r="J14" s="229"/>
      <c r="K14" s="12"/>
      <c r="M14"/>
    </row>
    <row r="15" spans="1:14" s="1" customFormat="1" ht="27.75" customHeight="1" thickBot="1" x14ac:dyDescent="0.3">
      <c r="A15" s="74"/>
      <c r="B15" s="16"/>
      <c r="C15" s="1197" t="s">
        <v>426</v>
      </c>
      <c r="D15" s="1830" t="s">
        <v>429</v>
      </c>
      <c r="E15" s="1830"/>
      <c r="F15" s="1831"/>
      <c r="G15" s="1143"/>
      <c r="H15" s="1129">
        <f>Personalkostenaufstellung!H75</f>
        <v>0</v>
      </c>
      <c r="I15" s="1573">
        <f>Personalkostenaufstellung!Y75</f>
        <v>0</v>
      </c>
      <c r="J15" s="1338" t="str">
        <f>IFERROR((H15*I15)*(1+pnk+I46)*(1+risiko),"")</f>
        <v/>
      </c>
      <c r="K15" s="12"/>
      <c r="L15" s="43"/>
      <c r="M15"/>
    </row>
    <row r="16" spans="1:14" s="1" customFormat="1" ht="14.4" thickBot="1" x14ac:dyDescent="0.3">
      <c r="A16" s="74"/>
      <c r="B16" s="16"/>
      <c r="C16" s="1197"/>
      <c r="D16" s="851"/>
      <c r="E16" s="851"/>
      <c r="F16" s="851"/>
      <c r="G16" s="915"/>
      <c r="H16" s="915"/>
      <c r="I16" s="1574"/>
      <c r="J16" s="1339"/>
      <c r="K16" s="12"/>
      <c r="L16" s="43"/>
      <c r="M16"/>
    </row>
    <row r="17" spans="1:16" s="1" customFormat="1" ht="26.25" customHeight="1" thickBot="1" x14ac:dyDescent="0.3">
      <c r="A17" s="74"/>
      <c r="B17" s="16"/>
      <c r="C17" s="1197" t="s">
        <v>427</v>
      </c>
      <c r="D17" s="1830" t="s">
        <v>431</v>
      </c>
      <c r="E17" s="1830"/>
      <c r="F17" s="1831"/>
      <c r="G17" s="1143"/>
      <c r="H17" s="1129">
        <f>Personalkostenaufstellung!H109</f>
        <v>0</v>
      </c>
      <c r="I17" s="1427">
        <f>Personalkostenaufstellung!Y109</f>
        <v>0</v>
      </c>
      <c r="J17" s="1338" t="str">
        <f>IFERROR((H17*I17)*(1+pnk+I46)*(1+risiko),"")</f>
        <v/>
      </c>
      <c r="K17" s="12"/>
      <c r="L17" s="43"/>
      <c r="M17"/>
    </row>
    <row r="18" spans="1:16" s="1" customFormat="1" ht="14.4" thickBot="1" x14ac:dyDescent="0.3">
      <c r="A18" s="74"/>
      <c r="B18" s="16"/>
      <c r="C18" s="1197"/>
      <c r="D18" s="852"/>
      <c r="E18" s="852"/>
      <c r="F18" s="852"/>
      <c r="G18" s="1428"/>
      <c r="H18" s="1428"/>
      <c r="I18" s="1429"/>
      <c r="J18" s="1338"/>
      <c r="K18" s="12"/>
      <c r="L18" s="43"/>
      <c r="M18"/>
    </row>
    <row r="19" spans="1:16" s="1" customFormat="1" ht="23.25" customHeight="1" thickBot="1" x14ac:dyDescent="0.3">
      <c r="A19" s="74"/>
      <c r="B19" s="16"/>
      <c r="C19" s="1197" t="s">
        <v>428</v>
      </c>
      <c r="D19" s="1830" t="s">
        <v>430</v>
      </c>
      <c r="E19" s="1830"/>
      <c r="F19" s="1831"/>
      <c r="G19" s="1143"/>
      <c r="H19" s="1129">
        <f>Personalkostenaufstellung!H151</f>
        <v>0</v>
      </c>
      <c r="I19" s="1427">
        <f>Personalkostenaufstellung!Y151</f>
        <v>0</v>
      </c>
      <c r="J19" s="1339" t="str">
        <f>IFERROR((H19*I19)*(1+pnk+I46)*(1+risiko),"")</f>
        <v/>
      </c>
      <c r="K19" s="12"/>
      <c r="L19" s="43"/>
      <c r="M19" s="133"/>
    </row>
    <row r="20" spans="1:16" s="1" customFormat="1" ht="12.75" customHeight="1" x14ac:dyDescent="0.25">
      <c r="A20" s="74"/>
      <c r="B20" s="16"/>
      <c r="C20" s="71"/>
      <c r="D20" s="71"/>
      <c r="E20" s="71"/>
      <c r="F20" s="71"/>
      <c r="G20" s="1430"/>
      <c r="H20" s="1430"/>
      <c r="I20" s="1430"/>
      <c r="J20" s="298" t="str">
        <f>IF(AND('Allgemeine Angaben'!F7&lt;&gt;"4.",I20&gt;0),"Eintragung nur bei Einrichtungen der 4. Generation!","")</f>
        <v/>
      </c>
      <c r="K20" s="12"/>
      <c r="L20" s="43"/>
      <c r="M20" s="209"/>
    </row>
    <row r="21" spans="1:16" s="1" customFormat="1" ht="8.25" customHeight="1" thickBot="1" x14ac:dyDescent="0.3">
      <c r="A21" s="74"/>
      <c r="B21" s="16"/>
      <c r="C21" s="71"/>
      <c r="D21" s="71"/>
      <c r="E21" s="71"/>
      <c r="F21" s="71"/>
      <c r="G21" s="157"/>
      <c r="H21" s="157"/>
      <c r="I21" s="1429"/>
      <c r="J21" s="231"/>
      <c r="K21" s="12"/>
    </row>
    <row r="22" spans="1:16" s="1" customFormat="1" ht="14.1" customHeight="1" thickBot="1" x14ac:dyDescent="0.3">
      <c r="A22" s="74"/>
      <c r="B22" s="16"/>
      <c r="C22" s="16"/>
      <c r="D22" s="98" t="s">
        <v>432</v>
      </c>
      <c r="E22" s="1431"/>
      <c r="F22" s="1431"/>
      <c r="G22" s="1130">
        <f>G15+G17+G19</f>
        <v>0</v>
      </c>
      <c r="H22" s="1131">
        <f>H15+H17+H19</f>
        <v>0</v>
      </c>
      <c r="I22" s="160">
        <f>Personalkostenaufstellung!Y154</f>
        <v>0</v>
      </c>
      <c r="J22" s="159" t="str">
        <f>IFERROR((H22*I22)*(1+pnk+I46)*(1+risiko),"")</f>
        <v/>
      </c>
      <c r="K22" s="12"/>
      <c r="L22" s="43"/>
      <c r="N22" s="210"/>
      <c r="O22" s="211"/>
      <c r="P22" s="210"/>
    </row>
    <row r="23" spans="1:16" s="1" customFormat="1" ht="17.25" customHeight="1" thickBot="1" x14ac:dyDescent="0.3">
      <c r="A23" s="74"/>
      <c r="B23" s="16"/>
      <c r="C23" s="71"/>
      <c r="D23" s="71"/>
      <c r="E23" s="71"/>
      <c r="F23" s="71"/>
      <c r="G23" s="157"/>
      <c r="H23" s="1128" t="str">
        <f>IF(H22&gt;KAT!C13,"max. Stellenumfang lt. Rahmenvertrag überschritten","")</f>
        <v/>
      </c>
      <c r="I23" s="1429"/>
      <c r="J23" s="231"/>
      <c r="K23" s="12"/>
      <c r="N23" s="210"/>
      <c r="O23" s="211"/>
      <c r="P23" s="210"/>
    </row>
    <row r="24" spans="1:16" s="1" customFormat="1" thickBot="1" x14ac:dyDescent="0.3">
      <c r="A24" s="74"/>
      <c r="B24" s="16"/>
      <c r="C24" s="1247" t="s">
        <v>515</v>
      </c>
      <c r="D24" s="16"/>
      <c r="E24" s="71"/>
      <c r="F24" s="16"/>
      <c r="G24" s="1134"/>
      <c r="H24" s="1144"/>
      <c r="I24" s="1191"/>
      <c r="J24" s="231"/>
      <c r="K24" s="12"/>
      <c r="L24" s="212"/>
      <c r="N24" s="210"/>
      <c r="O24" s="211"/>
      <c r="P24" s="210"/>
    </row>
    <row r="25" spans="1:16" s="1" customFormat="1" ht="12.75" customHeight="1" x14ac:dyDescent="0.25">
      <c r="A25" s="74"/>
      <c r="B25" s="16"/>
      <c r="C25" s="71"/>
      <c r="D25" s="71"/>
      <c r="E25" s="71"/>
      <c r="F25" s="71"/>
      <c r="G25" s="1191"/>
      <c r="H25" s="1432"/>
      <c r="I25" s="1429"/>
      <c r="J25" s="231"/>
      <c r="K25" s="12"/>
      <c r="N25" s="210"/>
      <c r="O25" s="211"/>
      <c r="P25" s="210"/>
    </row>
    <row r="26" spans="1:16" s="1" customFormat="1" ht="14.1" customHeight="1" thickBot="1" x14ac:dyDescent="0.3">
      <c r="A26" s="74"/>
      <c r="B26" s="16" t="s">
        <v>113</v>
      </c>
      <c r="C26" s="16" t="s">
        <v>44</v>
      </c>
      <c r="D26" s="71"/>
      <c r="E26" s="71"/>
      <c r="F26" s="71"/>
      <c r="G26" s="37"/>
      <c r="H26" s="37"/>
      <c r="I26" s="37"/>
      <c r="J26" s="232"/>
      <c r="K26" s="12"/>
      <c r="M26"/>
      <c r="N26" s="210"/>
      <c r="O26" s="211"/>
      <c r="P26" s="210"/>
    </row>
    <row r="27" spans="1:16" s="1" customFormat="1" ht="14.1" customHeight="1" thickBot="1" x14ac:dyDescent="0.3">
      <c r="A27" s="74"/>
      <c r="B27" s="16"/>
      <c r="C27" s="16" t="s">
        <v>45</v>
      </c>
      <c r="D27" s="71"/>
      <c r="E27" s="71"/>
      <c r="F27" s="71"/>
      <c r="G27" s="1133"/>
      <c r="H27" s="1433">
        <f>Personalkostenaufstellung!H216</f>
        <v>0</v>
      </c>
      <c r="I27" s="160">
        <f>Personalkostenaufstellung!Y216</f>
        <v>0</v>
      </c>
      <c r="J27" s="159" t="str">
        <f>IFERROR((H27*I27)*(1+pnk+I46)*(1+risiko),"")</f>
        <v/>
      </c>
      <c r="K27" s="12"/>
      <c r="N27" s="210"/>
      <c r="O27" s="211"/>
      <c r="P27" s="210"/>
    </row>
    <row r="28" spans="1:16" s="1" customFormat="1" ht="12.75" customHeight="1" x14ac:dyDescent="0.25">
      <c r="A28" s="74"/>
      <c r="B28" s="71"/>
      <c r="C28" s="71"/>
      <c r="D28" s="71"/>
      <c r="E28" s="71"/>
      <c r="F28" s="71"/>
      <c r="G28" s="1191"/>
      <c r="H28" s="998" t="str">
        <f>IF(H27&gt;KAT!C16,"max. Stellenumfang liegt über gesetzlicher Bestimmung","")</f>
        <v/>
      </c>
      <c r="I28" s="1429"/>
      <c r="J28" s="231"/>
      <c r="K28" s="12"/>
      <c r="N28" s="210"/>
      <c r="O28" s="211"/>
      <c r="P28" s="210"/>
    </row>
    <row r="29" spans="1:16" s="1" customFormat="1" ht="14.1" customHeight="1" thickBot="1" x14ac:dyDescent="0.3">
      <c r="A29" s="74"/>
      <c r="B29" s="16"/>
      <c r="C29" s="16"/>
      <c r="D29" s="71"/>
      <c r="E29" s="71"/>
      <c r="F29" s="71"/>
      <c r="G29" s="1191"/>
      <c r="H29" s="1434"/>
      <c r="I29" s="1429"/>
      <c r="J29" s="231"/>
      <c r="K29" s="12"/>
      <c r="N29" s="210"/>
      <c r="O29" s="211"/>
      <c r="P29" s="210"/>
    </row>
    <row r="30" spans="1:16" s="1" customFormat="1" ht="14.1" customHeight="1" thickBot="1" x14ac:dyDescent="0.3">
      <c r="A30" s="74"/>
      <c r="B30" s="16" t="s">
        <v>114</v>
      </c>
      <c r="C30" s="16" t="s">
        <v>42</v>
      </c>
      <c r="D30" s="16"/>
      <c r="E30" s="71"/>
      <c r="F30" s="71"/>
      <c r="G30" s="1133"/>
      <c r="H30" s="1132">
        <f>Personalkostenaufstellung!H225</f>
        <v>0</v>
      </c>
      <c r="I30" s="160">
        <f>Personalkostenaufstellung!Y225</f>
        <v>0</v>
      </c>
      <c r="J30" s="159" t="str">
        <f>IFERROR((H30*I30)*(1+pnk+I46)*(1+risiko),"")</f>
        <v/>
      </c>
      <c r="K30" s="12"/>
    </row>
    <row r="31" spans="1:16" s="1" customFormat="1" ht="12.75" customHeight="1" x14ac:dyDescent="0.25">
      <c r="A31" s="74"/>
      <c r="B31" s="16"/>
      <c r="C31" s="71"/>
      <c r="D31" s="71"/>
      <c r="E31" s="71"/>
      <c r="F31" s="71"/>
      <c r="G31" s="1191"/>
      <c r="H31" s="1435" t="str">
        <f>IF(H30&gt;KAT!C14,"max. Stellenumfang lt. Rahmenvertrag überschritten",IF(AND(H30=KAT!C14,H30&gt;0),"max. Stellenumfang lt. Rahmenvertrag erreicht",""))</f>
        <v/>
      </c>
      <c r="I31" s="1429"/>
      <c r="J31" s="231"/>
      <c r="K31" s="12"/>
    </row>
    <row r="32" spans="1:16" s="1" customFormat="1" ht="14.1" customHeight="1" thickBot="1" x14ac:dyDescent="0.3">
      <c r="A32" s="74"/>
      <c r="B32" s="16"/>
      <c r="C32" s="16"/>
      <c r="D32" s="71"/>
      <c r="E32" s="71"/>
      <c r="F32" s="71"/>
      <c r="G32" s="1191"/>
      <c r="H32" s="1191"/>
      <c r="I32" s="1429"/>
      <c r="J32" s="231"/>
      <c r="K32" s="12"/>
    </row>
    <row r="33" spans="1:13" s="1" customFormat="1" thickBot="1" x14ac:dyDescent="0.3">
      <c r="A33" s="74"/>
      <c r="B33" s="16" t="s">
        <v>115</v>
      </c>
      <c r="C33" s="16" t="s">
        <v>433</v>
      </c>
      <c r="D33" s="16"/>
      <c r="E33" s="71"/>
      <c r="F33" s="71"/>
      <c r="G33" s="1451"/>
      <c r="H33" s="1132">
        <f>Personalkostenaufstellung!H274</f>
        <v>0</v>
      </c>
      <c r="I33" s="160">
        <f>Personalkostenaufstellung!Y274</f>
        <v>0</v>
      </c>
      <c r="J33" s="159" t="str">
        <f>IFERROR((H33*I33)*(1+pnk+I46)*(1+risiko),"")</f>
        <v/>
      </c>
      <c r="K33" s="12"/>
      <c r="L33" s="315"/>
    </row>
    <row r="34" spans="1:13" s="1" customFormat="1" ht="12.75" customHeight="1" x14ac:dyDescent="0.25">
      <c r="A34" s="74"/>
      <c r="B34" s="16"/>
      <c r="C34" s="71"/>
      <c r="D34" s="71"/>
      <c r="E34" s="71"/>
      <c r="F34" s="71"/>
      <c r="G34" s="37"/>
      <c r="H34" s="1435" t="str">
        <f>IF(H33&gt;KAT!C15,"max. Stellenumfang lt. Rahmenvertrag überschritten",IF(AND(H33=KAT!C15,H33&gt;0),"max. Stellenumfang lt. Rahmenvertrag erreicht",""))</f>
        <v/>
      </c>
      <c r="I34" s="37"/>
      <c r="J34" s="232"/>
      <c r="K34" s="12"/>
    </row>
    <row r="35" spans="1:13" s="1" customFormat="1" ht="13.2" x14ac:dyDescent="0.25">
      <c r="A35" s="74"/>
      <c r="B35" s="16"/>
      <c r="C35" s="16"/>
      <c r="D35" s="71"/>
      <c r="E35" s="71"/>
      <c r="F35" s="71"/>
      <c r="G35" s="1191"/>
      <c r="H35" s="1434"/>
      <c r="I35" s="1191"/>
      <c r="J35" s="230"/>
      <c r="K35" s="12"/>
      <c r="L35" s="283"/>
    </row>
    <row r="36" spans="1:13" s="1" customFormat="1" thickBot="1" x14ac:dyDescent="0.3">
      <c r="A36" s="74"/>
      <c r="B36" s="16"/>
      <c r="C36" s="1436" t="s">
        <v>154</v>
      </c>
      <c r="D36" s="1437"/>
      <c r="E36" s="1437"/>
      <c r="F36" s="1437"/>
      <c r="G36" s="1438"/>
      <c r="H36" s="1438"/>
      <c r="I36" s="297">
        <f>H12*I12+H22*I22+H27*I27+H30*I30+H33*I33</f>
        <v>0</v>
      </c>
      <c r="J36" s="233">
        <f>IFERROR(ROUND(SUM(J22,J27,J30,J33,J12),2),"")</f>
        <v>0</v>
      </c>
      <c r="K36" s="12"/>
      <c r="L36" s="280"/>
    </row>
    <row r="37" spans="1:13" s="1" customFormat="1" ht="12.75" customHeight="1" thickTop="1" x14ac:dyDescent="0.25">
      <c r="A37" s="74"/>
      <c r="B37" s="16"/>
      <c r="C37" s="16"/>
      <c r="D37" s="71"/>
      <c r="E37" s="71"/>
      <c r="F37" s="71"/>
      <c r="G37" s="71"/>
      <c r="H37" s="71"/>
      <c r="I37" s="71"/>
      <c r="J37" s="229"/>
      <c r="K37" s="12"/>
    </row>
    <row r="38" spans="1:13" s="1" customFormat="1" ht="13.2" x14ac:dyDescent="0.25">
      <c r="A38" s="74"/>
      <c r="B38" s="16" t="s">
        <v>156</v>
      </c>
      <c r="C38" s="16" t="s">
        <v>134</v>
      </c>
      <c r="D38" s="16"/>
      <c r="E38" s="71"/>
      <c r="F38" s="11"/>
      <c r="G38" s="11"/>
      <c r="H38" s="11"/>
      <c r="I38" s="11"/>
      <c r="J38" s="234"/>
      <c r="K38" s="12"/>
      <c r="L38" s="43"/>
    </row>
    <row r="39" spans="1:13" s="1" customFormat="1" ht="12.75" customHeight="1" x14ac:dyDescent="0.25">
      <c r="A39" s="74"/>
      <c r="B39" s="16"/>
      <c r="C39" s="71"/>
      <c r="D39" s="71" t="s">
        <v>149</v>
      </c>
      <c r="E39" s="71"/>
      <c r="F39" s="1439"/>
      <c r="G39" s="1440" t="s">
        <v>155</v>
      </c>
      <c r="H39" s="313"/>
      <c r="I39" s="1441"/>
      <c r="J39" s="206"/>
      <c r="K39" s="12"/>
    </row>
    <row r="40" spans="1:13" s="1" customFormat="1" ht="12.75" customHeight="1" x14ac:dyDescent="0.25">
      <c r="A40" s="74"/>
      <c r="B40" s="16"/>
      <c r="C40" s="71"/>
      <c r="D40" s="71" t="s">
        <v>150</v>
      </c>
      <c r="E40" s="71"/>
      <c r="F40" s="1439"/>
      <c r="G40" s="1440" t="s">
        <v>155</v>
      </c>
      <c r="H40" s="313"/>
      <c r="I40" s="1441"/>
      <c r="J40" s="206"/>
      <c r="K40" s="12"/>
    </row>
    <row r="41" spans="1:13" s="1" customFormat="1" ht="12.75" customHeight="1" x14ac:dyDescent="0.25">
      <c r="A41" s="74"/>
      <c r="B41" s="16"/>
      <c r="C41" s="71"/>
      <c r="D41" s="71" t="s">
        <v>151</v>
      </c>
      <c r="E41" s="71"/>
      <c r="F41" s="1439"/>
      <c r="G41" s="1440" t="s">
        <v>155</v>
      </c>
      <c r="H41" s="313"/>
      <c r="I41" s="1441"/>
      <c r="J41" s="206"/>
      <c r="K41" s="12"/>
    </row>
    <row r="42" spans="1:13" s="1" customFormat="1" ht="12.75" customHeight="1" x14ac:dyDescent="0.25">
      <c r="A42" s="74"/>
      <c r="B42" s="16"/>
      <c r="C42" s="71"/>
      <c r="D42" s="71" t="s">
        <v>152</v>
      </c>
      <c r="E42" s="71"/>
      <c r="F42" s="71"/>
      <c r="G42" s="1442" t="s">
        <v>155</v>
      </c>
      <c r="H42" s="313"/>
      <c r="I42" s="1441"/>
      <c r="J42" s="206"/>
      <c r="K42" s="12"/>
      <c r="L42" s="271"/>
    </row>
    <row r="43" spans="1:13" s="1" customFormat="1" ht="12.75" customHeight="1" thickBot="1" x14ac:dyDescent="0.3">
      <c r="A43" s="74"/>
      <c r="B43" s="71"/>
      <c r="C43" s="71"/>
      <c r="D43" s="71"/>
      <c r="E43" s="71"/>
      <c r="F43" s="202"/>
      <c r="G43" s="273"/>
      <c r="H43" s="274"/>
      <c r="I43" s="1441"/>
      <c r="J43" s="206"/>
      <c r="K43" s="12"/>
      <c r="L43" s="262"/>
    </row>
    <row r="44" spans="1:13" s="1" customFormat="1" ht="12.75" customHeight="1" thickBot="1" x14ac:dyDescent="0.3">
      <c r="A44" s="74"/>
      <c r="B44" s="71"/>
      <c r="C44" s="71"/>
      <c r="D44" s="98" t="s">
        <v>153</v>
      </c>
      <c r="E44" s="1431"/>
      <c r="F44" s="1431"/>
      <c r="G44" s="71"/>
      <c r="H44" s="71"/>
      <c r="I44" s="158" t="str">
        <f>IFERROR(ROUND(J44/I36,4),"")</f>
        <v/>
      </c>
      <c r="J44" s="159">
        <f>SUM(H39:H42)</f>
        <v>0</v>
      </c>
      <c r="K44" s="12"/>
      <c r="L44" s="271"/>
    </row>
    <row r="45" spans="1:13" s="1" customFormat="1" ht="12.75" customHeight="1" thickBot="1" x14ac:dyDescent="0.3">
      <c r="A45" s="74"/>
      <c r="B45" s="71"/>
      <c r="C45" s="71"/>
      <c r="D45" s="71"/>
      <c r="E45" s="71"/>
      <c r="F45" s="71"/>
      <c r="G45" s="71"/>
      <c r="H45" s="71"/>
      <c r="I45" s="1441"/>
      <c r="J45" s="206"/>
      <c r="K45" s="12"/>
    </row>
    <row r="46" spans="1:13" s="1" customFormat="1" ht="12.75" customHeight="1" thickBot="1" x14ac:dyDescent="0.3">
      <c r="A46" s="74"/>
      <c r="B46" s="16" t="s">
        <v>156</v>
      </c>
      <c r="C46" s="16" t="s">
        <v>268</v>
      </c>
      <c r="D46" s="71"/>
      <c r="E46" s="71"/>
      <c r="F46" s="71"/>
      <c r="G46" s="71"/>
      <c r="H46" s="71"/>
      <c r="I46" s="158" t="str">
        <f>IFERROR(J46/I36,"")</f>
        <v/>
      </c>
      <c r="J46" s="304"/>
      <c r="K46" s="12"/>
    </row>
    <row r="47" spans="1:13" s="1" customFormat="1" ht="12.75" customHeight="1" thickBot="1" x14ac:dyDescent="0.3">
      <c r="A47" s="74"/>
      <c r="B47" s="71"/>
      <c r="C47" s="337" t="str">
        <f>IF(J46&gt;0,"Bitte Forderung für steuerfreie Sachbezüge nach § 8 Abs. 2 EStG begründen.","")</f>
        <v/>
      </c>
      <c r="D47" s="71"/>
      <c r="E47" s="71"/>
      <c r="F47" s="71"/>
      <c r="G47" s="71"/>
      <c r="H47" s="71"/>
      <c r="I47" s="1441"/>
      <c r="J47" s="206"/>
      <c r="K47" s="12"/>
    </row>
    <row r="48" spans="1:13" s="1" customFormat="1" ht="12.75" customHeight="1" thickBot="1" x14ac:dyDescent="0.3">
      <c r="A48" s="74"/>
      <c r="B48" s="16" t="s">
        <v>156</v>
      </c>
      <c r="C48" s="16" t="s">
        <v>259</v>
      </c>
      <c r="D48" s="71"/>
      <c r="E48" s="71"/>
      <c r="F48" s="71"/>
      <c r="G48" s="1249"/>
      <c r="H48" s="1443" t="s">
        <v>241</v>
      </c>
      <c r="I48" s="220"/>
      <c r="J48" s="160">
        <f>IFERROR(I36*risiko,"")</f>
        <v>0</v>
      </c>
      <c r="K48" s="12"/>
      <c r="L48" s="262"/>
      <c r="M48" s="213"/>
    </row>
    <row r="49" spans="1:13" s="1" customFormat="1" ht="12.75" customHeight="1" x14ac:dyDescent="0.25">
      <c r="A49" s="74"/>
      <c r="B49" s="71"/>
      <c r="C49" s="71"/>
      <c r="D49" s="71"/>
      <c r="E49" s="71"/>
      <c r="F49" s="71"/>
      <c r="G49" s="71"/>
      <c r="H49" s="71"/>
      <c r="I49" s="1444" t="str">
        <f>IF(risiko&gt;0.02,"Hinweis: Risiken über 2 % sind zu begründen und mit Nachweisen zu belegen","")</f>
        <v/>
      </c>
      <c r="J49" s="206"/>
      <c r="K49" s="12"/>
      <c r="L49" s="262"/>
    </row>
    <row r="50" spans="1:13" s="1" customFormat="1" ht="12.75" customHeight="1" thickBot="1" x14ac:dyDescent="0.3">
      <c r="A50" s="74"/>
      <c r="B50" s="71"/>
      <c r="C50" s="71"/>
      <c r="D50" s="71"/>
      <c r="E50" s="71"/>
      <c r="F50" s="71"/>
      <c r="G50" s="1445" t="s">
        <v>236</v>
      </c>
      <c r="H50" s="1445" t="s">
        <v>236</v>
      </c>
      <c r="I50" s="1446" t="s">
        <v>261</v>
      </c>
      <c r="J50" s="206"/>
      <c r="K50" s="12"/>
    </row>
    <row r="51" spans="1:13" s="1" customFormat="1" ht="14.4" thickBot="1" x14ac:dyDescent="0.3">
      <c r="A51" s="74"/>
      <c r="B51" s="16" t="s">
        <v>459</v>
      </c>
      <c r="C51" s="16" t="s">
        <v>235</v>
      </c>
      <c r="D51" s="71"/>
      <c r="E51" s="71"/>
      <c r="F51" s="71"/>
      <c r="G51" s="73"/>
      <c r="H51" s="1447">
        <f>Personalkostenaufstellung!V279</f>
        <v>0</v>
      </c>
      <c r="I51" s="1448">
        <f>Personalkostenaufstellung!W279</f>
        <v>0</v>
      </c>
      <c r="J51" s="206"/>
      <c r="K51" s="12"/>
      <c r="L51" s="281"/>
    </row>
    <row r="52" spans="1:13" s="11" customFormat="1" ht="5.25" customHeight="1" thickBot="1" x14ac:dyDescent="0.3">
      <c r="A52" s="74"/>
      <c r="B52" s="16"/>
      <c r="C52" s="16"/>
      <c r="D52" s="71"/>
      <c r="E52" s="71"/>
      <c r="F52" s="71"/>
      <c r="G52" s="110"/>
      <c r="H52" s="110"/>
      <c r="I52" s="143"/>
      <c r="J52" s="206"/>
      <c r="K52" s="12"/>
    </row>
    <row r="53" spans="1:13" s="1" customFormat="1" thickBot="1" x14ac:dyDescent="0.3">
      <c r="A53" s="28"/>
      <c r="B53" s="11"/>
      <c r="C53" s="5" t="s">
        <v>237</v>
      </c>
      <c r="D53" s="11"/>
      <c r="E53" s="11"/>
      <c r="F53" s="11"/>
      <c r="G53" s="73"/>
      <c r="H53" s="1447">
        <f>Personalkostenaufstellung!V280</f>
        <v>0</v>
      </c>
      <c r="I53" s="1448">
        <f>Personalkostenaufstellung!W280</f>
        <v>0</v>
      </c>
      <c r="J53" s="206"/>
      <c r="K53" s="12"/>
    </row>
    <row r="54" spans="1:13" s="1" customFormat="1" ht="12.75" customHeight="1" x14ac:dyDescent="0.25">
      <c r="A54" s="28"/>
      <c r="B54" s="11"/>
      <c r="C54" s="11"/>
      <c r="D54" s="11"/>
      <c r="E54" s="11"/>
      <c r="F54" s="11"/>
      <c r="G54" s="11"/>
      <c r="H54" s="11"/>
      <c r="I54" s="11"/>
      <c r="J54" s="234"/>
      <c r="K54" s="12"/>
      <c r="L54" s="75"/>
    </row>
    <row r="55" spans="1:13" s="1" customFormat="1" ht="13.2" x14ac:dyDescent="0.25">
      <c r="A55" s="74"/>
      <c r="B55" s="1145"/>
      <c r="C55" s="1145"/>
      <c r="D55" s="202"/>
      <c r="E55" s="202"/>
      <c r="F55" s="202"/>
      <c r="G55" s="1146"/>
      <c r="H55" s="1146"/>
      <c r="I55" s="1147"/>
      <c r="J55" s="1148"/>
      <c r="K55" s="12"/>
      <c r="L55" s="262"/>
    </row>
    <row r="56" spans="1:13" s="1" customFormat="1" ht="13.2" x14ac:dyDescent="0.25">
      <c r="A56" s="26"/>
      <c r="B56" s="27"/>
      <c r="C56" s="27"/>
      <c r="D56" s="27"/>
      <c r="E56" s="27"/>
      <c r="F56" s="27"/>
      <c r="G56" s="27"/>
      <c r="H56" s="1449"/>
      <c r="I56" s="27"/>
      <c r="J56" s="27"/>
      <c r="K56" s="1450"/>
      <c r="L56" s="262"/>
    </row>
    <row r="57" spans="1:13" s="1" customFormat="1" ht="13.2" x14ac:dyDescent="0.25"/>
    <row r="58" spans="1:13" s="76" customFormat="1" ht="10.199999999999999" x14ac:dyDescent="0.2">
      <c r="A58" s="76" t="s">
        <v>46</v>
      </c>
      <c r="B58" s="76" t="s">
        <v>47</v>
      </c>
    </row>
    <row r="59" spans="1:13" s="76" customFormat="1" ht="10.199999999999999" x14ac:dyDescent="0.2">
      <c r="B59" s="76" t="s">
        <v>48</v>
      </c>
      <c r="L59" s="214"/>
      <c r="M59" s="214"/>
    </row>
    <row r="60" spans="1:13" s="76" customFormat="1" ht="8.1" customHeight="1" x14ac:dyDescent="0.2"/>
    <row r="61" spans="1:13" s="76" customFormat="1" ht="8.1" customHeight="1" thickBot="1" x14ac:dyDescent="0.25"/>
    <row r="62" spans="1:13" ht="14.4" thickBot="1" x14ac:dyDescent="0.3">
      <c r="C62" s="1633" t="s">
        <v>157</v>
      </c>
      <c r="D62" s="1634"/>
      <c r="E62" s="1634"/>
      <c r="F62" s="1634"/>
      <c r="G62" s="1634"/>
      <c r="H62" s="1634"/>
      <c r="I62" s="1635"/>
      <c r="L62" s="283"/>
    </row>
    <row r="63" spans="1:13" x14ac:dyDescent="0.25">
      <c r="I63" s="1576"/>
    </row>
  </sheetData>
  <sheetProtection algorithmName="SHA-512" hashValue="OJ7aKQLpTNhyVlVM8QiM5U46Y1uVhtJz7lsxNjOGjuxIgFtbXR27yDjPxuDwj/Tn4DUcw7uCkW9493NdZN7QdQ==" saltValue="sySMlMTfB8P4c2I7XcjvJw==" spinCount="100000" sheet="1" selectLockedCells="1"/>
  <customSheetViews>
    <customSheetView guid="{CDDBAA41-0D3E-44AF-A85A-332C81A5DAE4}" showGridLines="0" fitToPage="1">
      <pane ySplit="9" topLeftCell="A10" activePane="bottomLeft" state="frozen"/>
      <selection pane="bottomLeft" activeCell="I57" sqref="I57"/>
      <pageMargins left="0.70866141732283472" right="0.70866141732283472" top="0.78740157480314965" bottom="0.78740157480314965" header="0.31496062992125984" footer="0.31496062992125984"/>
      <pageSetup paperSize="9" scale="82" orientation="portrait"/>
      <headerFooter>
        <oddHeader>&amp;C&amp;9Seite 3</oddHeader>
        <oddFooter>&amp;C&amp;8Verhandlungsunterlagen SGB XI&amp;R&amp;8Version Kostenträger Stand: 29.11.2018</oddFooter>
      </headerFooter>
    </customSheetView>
  </customSheetViews>
  <mergeCells count="8">
    <mergeCell ref="C62:I62"/>
    <mergeCell ref="A1:K1"/>
    <mergeCell ref="A2:K2"/>
    <mergeCell ref="A3:K3"/>
    <mergeCell ref="A4:K4"/>
    <mergeCell ref="D15:F15"/>
    <mergeCell ref="D17:F17"/>
    <mergeCell ref="D19:F19"/>
  </mergeCells>
  <conditionalFormatting sqref="G22">
    <cfRule type="expression" priority="35">
      <formula>$H$22=0</formula>
    </cfRule>
    <cfRule type="expression" dxfId="95" priority="36">
      <formula>$G$22=0</formula>
    </cfRule>
  </conditionalFormatting>
  <conditionalFormatting sqref="G33">
    <cfRule type="expression" dxfId="94" priority="29">
      <formula>$G$33=0</formula>
    </cfRule>
  </conditionalFormatting>
  <conditionalFormatting sqref="H22">
    <cfRule type="expression" dxfId="92" priority="34">
      <formula>$H$22=0</formula>
    </cfRule>
  </conditionalFormatting>
  <conditionalFormatting sqref="H30">
    <cfRule type="expression" dxfId="91" priority="30">
      <formula>$H$30=0</formula>
    </cfRule>
  </conditionalFormatting>
  <conditionalFormatting sqref="H33">
    <cfRule type="expression" dxfId="88" priority="28">
      <formula>$H$33=0</formula>
    </cfRule>
  </conditionalFormatting>
  <conditionalFormatting sqref="J36">
    <cfRule type="expression" dxfId="84" priority="27">
      <formula>$J$36=0</formula>
    </cfRule>
  </conditionalFormatting>
  <conditionalFormatting sqref="J44">
    <cfRule type="expression" dxfId="83" priority="26">
      <formula>$J$44=0</formula>
    </cfRule>
  </conditionalFormatting>
  <dataValidations count="5">
    <dataValidation allowBlank="1" showInputMessage="1" showErrorMessage="1" promptTitle="Eingabe" prompt="mit drei Nachkommastellen" sqref="G18:H18" xr:uid="{00000000-0002-0000-0600-000000000000}"/>
    <dataValidation type="whole" allowBlank="1" showInputMessage="1" showErrorMessage="1" promptTitle="Eingabe" prompt="ohne Nachkommastellen" sqref="G51:H51 G53:H53" xr:uid="{00000000-0002-0000-0600-000001000000}">
      <formula1>0</formula1>
      <formula2>20</formula2>
    </dataValidation>
    <dataValidation errorStyle="information" allowBlank="1" showInputMessage="1" showErrorMessage="1" errorTitle="Unternehmerrisiko" promptTitle="Unternehmerrisiko" prompt="siehe allgemeine Hinweise" sqref="I48" xr:uid="{00000000-0002-0000-0600-000002000000}"/>
    <dataValidation allowBlank="1" showErrorMessage="1" sqref="H19 H27 H17" xr:uid="{C972EE6D-D5E5-466C-B78E-A6E5F999911F}"/>
    <dataValidation allowBlank="1" showInputMessage="1" showErrorMessage="1" promptTitle="Eingabe" prompt="mit vier Nachkommastellen" sqref="G27 G15 G17 G19 G30 G33 G12" xr:uid="{6ACBE84C-C054-4640-A66B-75B83649F374}"/>
  </dataValidations>
  <hyperlinks>
    <hyperlink ref="C62" location="'Anlage 1'!A1" display="Anlage 1" xr:uid="{00000000-0004-0000-0600-000000000000}"/>
    <hyperlink ref="C62:I62" location="Sachaufwendungen!A1" display="gehe weiter zu Sachaufwendungen" xr:uid="{00000000-0004-0000-0600-000001000000}"/>
  </hyperlinks>
  <pageMargins left="0.70866141732283472" right="0.70866141732283472" top="0.78740157480314965" bottom="0.78740157480314965" header="0.31496062992125984" footer="0.31496062992125984"/>
  <pageSetup paperSize="9" scale="80" orientation="portrait"/>
  <headerFooter>
    <oddHeader>&amp;C&amp;9&amp;A</oddHeader>
    <oddFooter>&amp;L&amp;8&amp;K000000Version: 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3" id="{A467EB21-999D-4268-A6B2-9141C262D0FA}">
            <xm:f>KAT!$A$32="nein"</xm:f>
            <x14:dxf>
              <fill>
                <patternFill>
                  <bgColor theme="0"/>
                </patternFill>
              </fill>
            </x14:dxf>
          </x14:cfRule>
          <xm:sqref>C47 I49</xm:sqref>
        </x14:conditionalFormatting>
        <x14:conditionalFormatting xmlns:xm="http://schemas.microsoft.com/office/excel/2006/main">
          <x14:cfRule type="expression" priority="9" id="{F181EA52-3354-4625-B71B-F0132808D1D9}">
            <xm:f>KAT!$A$32="nein"</xm:f>
            <x14:dxf>
              <fill>
                <patternFill>
                  <bgColor theme="0"/>
                </patternFill>
              </fill>
            </x14:dxf>
          </x14:cfRule>
          <xm:sqref>H13 H23 H28</xm:sqref>
        </x14:conditionalFormatting>
        <x14:conditionalFormatting xmlns:xm="http://schemas.microsoft.com/office/excel/2006/main">
          <x14:cfRule type="expression" priority="2" id="{8FFDB98B-6B82-4BBE-AD18-835E5CE26B14}">
            <xm:f>AND(H30=KAT!C14,H30&gt;0)</xm:f>
            <x14:dxf>
              <font>
                <color theme="1"/>
              </font>
            </x14:dxf>
          </x14:cfRule>
          <x14:cfRule type="expression" priority="8" id="{42D8AA5A-E5F1-4F1E-8B84-79D9250903A0}">
            <xm:f>KAT!$A$32="nein"</xm:f>
            <x14:dxf>
              <fill>
                <patternFill>
                  <bgColor theme="0"/>
                </patternFill>
              </fill>
            </x14:dxf>
          </x14:cfRule>
          <xm:sqref>H31</xm:sqref>
        </x14:conditionalFormatting>
        <x14:conditionalFormatting xmlns:xm="http://schemas.microsoft.com/office/excel/2006/main">
          <x14:cfRule type="expression" priority="1" id="{0A7C5C61-4EB8-466C-A5E9-510CFF22CD9B}">
            <xm:f>AND(H33=KAT!C15,H33&gt;0)</xm:f>
            <x14:dxf>
              <font>
                <color theme="1"/>
              </font>
            </x14:dxf>
          </x14:cfRule>
          <x14:cfRule type="expression" priority="4" id="{EB5071E9-0DE5-41E9-81D6-2F09382FDA36}">
            <xm:f>KAT!$A$32="nein"</xm:f>
            <x14:dxf>
              <fill>
                <patternFill>
                  <bgColor theme="0"/>
                </patternFill>
              </fill>
            </x14:dxf>
          </x14:cfRule>
          <xm:sqref>H34</xm:sqref>
        </x14:conditionalFormatting>
        <x14:conditionalFormatting xmlns:xm="http://schemas.microsoft.com/office/excel/2006/main">
          <x14:cfRule type="expression" priority="17" id="{C03678E3-B045-4C55-BC0A-BF84B7CC5B7C}">
            <xm:f>'Allgemeine Angaben'!$D$6:$G$6="4. Generation"</xm:f>
            <x14:dxf>
              <fill>
                <patternFill>
                  <bgColor rgb="FFFFFF99"/>
                </patternFill>
              </fill>
              <border>
                <left style="thin">
                  <color auto="1"/>
                </left>
                <right style="thin">
                  <color auto="1"/>
                </right>
                <top style="thin">
                  <color auto="1"/>
                </top>
                <bottom style="thin">
                  <color auto="1"/>
                </bottom>
                <vertical/>
                <horizontal/>
              </border>
            </x14:dxf>
          </x14:cfRule>
          <xm:sqref>I20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A8C4015-3E26-4B9C-825C-4BF2358AA700}">
          <x14:formula1>
            <xm:f>KAT!$F$3:$F$4</xm:f>
          </x14:formula1>
          <xm:sqref>H24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pageSetUpPr fitToPage="1"/>
  </sheetPr>
  <dimension ref="A1:S60"/>
  <sheetViews>
    <sheetView showGridLines="0" zoomScaleNormal="100" workbookViewId="0">
      <selection activeCell="A5" sqref="A5"/>
    </sheetView>
  </sheetViews>
  <sheetFormatPr baseColWidth="10" defaultColWidth="11" defaultRowHeight="13.8" x14ac:dyDescent="0.25"/>
  <cols>
    <col min="1" max="1" width="3.59765625" style="3" customWidth="1"/>
    <col min="2" max="2" width="4.19921875" style="3" customWidth="1"/>
    <col min="3" max="3" width="3" style="3" customWidth="1"/>
    <col min="4" max="4" width="14.5" style="3" customWidth="1"/>
    <col min="5" max="5" width="2.59765625" style="3" customWidth="1"/>
    <col min="6" max="6" width="14.09765625" style="3" customWidth="1"/>
    <col min="7" max="7" width="3.3984375" style="3" customWidth="1"/>
    <col min="8" max="8" width="13.3984375" style="3" customWidth="1"/>
    <col min="9" max="9" width="2.59765625" style="3" customWidth="1"/>
    <col min="10" max="10" width="14.5" style="3" customWidth="1"/>
    <col min="11" max="11" width="2.59765625" style="3" customWidth="1"/>
    <col min="12" max="12" width="14.5" style="3" customWidth="1"/>
    <col min="13" max="13" width="5" style="3" customWidth="1"/>
    <col min="14" max="14" width="2.59765625" style="3" customWidth="1"/>
    <col min="15" max="15" width="12.09765625" style="3" hidden="1" customWidth="1"/>
    <col min="16" max="16" width="3.59765625" style="3" customWidth="1"/>
    <col min="17" max="27" width="11" style="3" customWidth="1"/>
    <col min="28" max="16384" width="11" style="3"/>
  </cols>
  <sheetData>
    <row r="1" spans="1:17" ht="15" customHeight="1" x14ac:dyDescent="0.25">
      <c r="A1" s="1649" t="str">
        <f>'Allgemeine Angaben'!A1</f>
        <v>Aufforderung zum Abschluss einer Pflegesatzvereinbarung gemäß §§ 84, 85 SGB XI</v>
      </c>
      <c r="B1" s="1650"/>
      <c r="C1" s="1650"/>
      <c r="D1" s="1650"/>
      <c r="E1" s="1650"/>
      <c r="F1" s="1650"/>
      <c r="G1" s="1650"/>
      <c r="H1" s="1650"/>
      <c r="I1" s="1650"/>
      <c r="J1" s="1650"/>
      <c r="K1" s="1650"/>
      <c r="L1" s="1824"/>
      <c r="M1" s="1824"/>
      <c r="N1" s="1824"/>
      <c r="O1" s="1824"/>
      <c r="P1" s="1825"/>
      <c r="Q1" s="1060"/>
    </row>
    <row r="2" spans="1:17" ht="15" customHeight="1" x14ac:dyDescent="0.25">
      <c r="A2" s="1652" t="s">
        <v>506</v>
      </c>
      <c r="B2" s="1653"/>
      <c r="C2" s="1653"/>
      <c r="D2" s="1653"/>
      <c r="E2" s="1653"/>
      <c r="F2" s="1653"/>
      <c r="G2" s="1653"/>
      <c r="H2" s="1653"/>
      <c r="I2" s="1653"/>
      <c r="J2" s="1653"/>
      <c r="K2" s="1653"/>
      <c r="L2" s="1826"/>
      <c r="M2" s="1826"/>
      <c r="N2" s="1826"/>
      <c r="O2" s="1826"/>
      <c r="P2" s="1827"/>
      <c r="Q2" s="1061"/>
    </row>
    <row r="3" spans="1:17" ht="15" customHeight="1" x14ac:dyDescent="0.25">
      <c r="A3" s="1668" t="str">
        <f>'Allgemeine Angaben'!A3</f>
        <v/>
      </c>
      <c r="B3" s="1669"/>
      <c r="C3" s="1669"/>
      <c r="D3" s="1669"/>
      <c r="E3" s="1669"/>
      <c r="F3" s="1669"/>
      <c r="G3" s="1669"/>
      <c r="H3" s="1669"/>
      <c r="I3" s="1669"/>
      <c r="J3" s="1669"/>
      <c r="K3" s="1669"/>
      <c r="L3" s="1826"/>
      <c r="M3" s="1826"/>
      <c r="N3" s="1826"/>
      <c r="O3" s="1826"/>
      <c r="P3" s="1827"/>
    </row>
    <row r="4" spans="1:17" ht="15" customHeight="1" x14ac:dyDescent="0.25">
      <c r="A4" s="325"/>
      <c r="B4" s="326"/>
      <c r="C4" s="326"/>
      <c r="D4" s="326"/>
      <c r="E4" s="326"/>
      <c r="F4" s="326"/>
      <c r="G4" s="326"/>
      <c r="H4" s="1059" t="str">
        <f>'Allgemeine Angaben'!A4</f>
        <v/>
      </c>
      <c r="I4" s="326"/>
      <c r="J4" s="1062"/>
      <c r="K4" s="326"/>
      <c r="L4" s="1063"/>
      <c r="M4" s="326"/>
      <c r="N4" s="326"/>
      <c r="O4" s="326"/>
      <c r="P4" s="327"/>
    </row>
    <row r="5" spans="1:17" s="10" customFormat="1" ht="14.25" customHeight="1" x14ac:dyDescent="0.25">
      <c r="A5" s="1064"/>
      <c r="P5" s="78"/>
    </row>
    <row r="6" spans="1:17" ht="14.25" customHeight="1" x14ac:dyDescent="0.25">
      <c r="A6" s="2"/>
      <c r="B6" s="1065"/>
      <c r="C6" s="391"/>
      <c r="D6" s="1066"/>
      <c r="E6" s="1067"/>
      <c r="F6" s="1068"/>
      <c r="G6" s="1068"/>
      <c r="H6" s="1068"/>
      <c r="I6" s="391"/>
      <c r="J6" s="1069"/>
      <c r="K6" s="1069"/>
      <c r="L6" s="391"/>
      <c r="M6" s="1065"/>
      <c r="N6" s="1065"/>
      <c r="O6" s="1065"/>
      <c r="P6" s="1070"/>
    </row>
    <row r="7" spans="1:17" ht="15" customHeight="1" x14ac:dyDescent="0.25">
      <c r="A7" s="80"/>
      <c r="B7" s="81" t="s">
        <v>116</v>
      </c>
      <c r="C7" s="79"/>
      <c r="D7" s="79"/>
      <c r="E7" s="79"/>
      <c r="F7" s="79"/>
      <c r="G7" s="82"/>
      <c r="H7" s="82"/>
      <c r="I7" s="79"/>
      <c r="J7" s="79"/>
      <c r="K7" s="79"/>
      <c r="L7" s="82"/>
      <c r="M7" s="79"/>
      <c r="N7" s="79"/>
      <c r="O7" s="79"/>
      <c r="P7" s="4"/>
    </row>
    <row r="8" spans="1:17" ht="14.25" customHeight="1" x14ac:dyDescent="0.25">
      <c r="A8" s="2"/>
      <c r="P8" s="1070"/>
    </row>
    <row r="9" spans="1:17" ht="14.25" customHeight="1" x14ac:dyDescent="0.3">
      <c r="A9" s="83"/>
      <c r="P9" s="4"/>
      <c r="Q9" s="225"/>
    </row>
    <row r="10" spans="1:17" ht="40.200000000000003" customHeight="1" x14ac:dyDescent="0.3">
      <c r="A10" s="83"/>
      <c r="C10" s="944"/>
      <c r="D10" s="944"/>
      <c r="E10" s="944"/>
      <c r="F10" s="944"/>
      <c r="H10" s="1071"/>
      <c r="J10" s="84"/>
      <c r="L10" s="223"/>
      <c r="M10" s="1832" t="s">
        <v>52</v>
      </c>
      <c r="P10" s="4"/>
      <c r="Q10" s="225"/>
    </row>
    <row r="11" spans="1:17" ht="40.200000000000003" customHeight="1" x14ac:dyDescent="0.3">
      <c r="A11" s="83"/>
      <c r="C11" s="944"/>
      <c r="D11" s="944"/>
      <c r="E11" s="944"/>
      <c r="F11" s="944"/>
      <c r="H11" s="1072" t="s">
        <v>507</v>
      </c>
      <c r="J11" s="1073" t="s">
        <v>53</v>
      </c>
      <c r="L11" s="1074" t="s">
        <v>53</v>
      </c>
      <c r="M11" s="1833"/>
      <c r="P11" s="4"/>
      <c r="Q11" s="225"/>
    </row>
    <row r="12" spans="1:17" ht="14.25" customHeight="1" x14ac:dyDescent="0.25">
      <c r="A12" s="2"/>
      <c r="C12" s="944"/>
      <c r="D12" s="944"/>
      <c r="E12" s="944"/>
      <c r="F12" s="944"/>
      <c r="H12" s="1076"/>
      <c r="J12" s="85"/>
      <c r="L12" s="1116" t="s">
        <v>239</v>
      </c>
      <c r="M12" s="1833"/>
      <c r="P12" s="4"/>
      <c r="Q12" s="9"/>
    </row>
    <row r="13" spans="1:17" ht="14.25" customHeight="1" x14ac:dyDescent="0.25">
      <c r="A13" s="2"/>
      <c r="H13" s="1077" t="s">
        <v>54</v>
      </c>
      <c r="J13" s="1078" t="s">
        <v>54</v>
      </c>
      <c r="L13" s="222" t="s">
        <v>54</v>
      </c>
      <c r="M13" s="1834"/>
      <c r="P13" s="1070"/>
    </row>
    <row r="14" spans="1:17" ht="14.25" customHeight="1" x14ac:dyDescent="0.25">
      <c r="A14" s="2"/>
      <c r="C14" s="5" t="s">
        <v>441</v>
      </c>
      <c r="G14" s="86"/>
      <c r="H14" s="86"/>
      <c r="J14" s="86"/>
      <c r="L14" s="86"/>
      <c r="P14" s="1070"/>
    </row>
    <row r="15" spans="1:17" ht="14.25" customHeight="1" x14ac:dyDescent="0.25">
      <c r="A15" s="2"/>
      <c r="C15" s="890" t="s">
        <v>442</v>
      </c>
      <c r="P15" s="1070"/>
    </row>
    <row r="16" spans="1:17" ht="14.25" customHeight="1" x14ac:dyDescent="0.25">
      <c r="A16" s="2"/>
      <c r="C16" s="1838"/>
      <c r="D16" s="1838"/>
      <c r="E16" s="1838"/>
      <c r="F16" s="891" t="s">
        <v>443</v>
      </c>
      <c r="G16" s="892"/>
      <c r="H16" s="1079"/>
      <c r="P16" s="1070"/>
    </row>
    <row r="17" spans="1:18" ht="14.25" customHeight="1" x14ac:dyDescent="0.25">
      <c r="A17" s="2"/>
      <c r="C17" s="1838"/>
      <c r="D17" s="1838"/>
      <c r="E17" s="1838"/>
      <c r="F17" s="893" t="s">
        <v>133</v>
      </c>
      <c r="H17" s="1079"/>
      <c r="P17" s="1070"/>
      <c r="Q17" s="10"/>
    </row>
    <row r="18" spans="1:18" ht="14.25" customHeight="1" x14ac:dyDescent="0.25">
      <c r="A18" s="2"/>
      <c r="C18" s="894" t="s">
        <v>444</v>
      </c>
      <c r="H18" s="1080"/>
      <c r="P18" s="1070"/>
    </row>
    <row r="19" spans="1:18" ht="14.25" customHeight="1" x14ac:dyDescent="0.25">
      <c r="A19" s="2"/>
      <c r="F19" s="385">
        <f>IF(C16&lt;&gt;"entsprechend von einem abweichenden Zeitraum",0,1)</f>
        <v>0</v>
      </c>
      <c r="P19" s="1070"/>
    </row>
    <row r="20" spans="1:18" ht="14.25" customHeight="1" x14ac:dyDescent="0.25">
      <c r="A20" s="2"/>
      <c r="B20" s="87" t="s">
        <v>55</v>
      </c>
      <c r="C20" s="1081" t="s">
        <v>56</v>
      </c>
      <c r="D20" s="1082"/>
      <c r="E20" s="1082"/>
      <c r="F20" s="1082"/>
      <c r="G20" s="1083"/>
      <c r="H20" s="1084"/>
      <c r="I20" s="88"/>
      <c r="J20" s="1085"/>
      <c r="K20" s="88"/>
      <c r="L20" s="1086">
        <f>IFERROR(J20*(1+J$53),"")</f>
        <v>0</v>
      </c>
      <c r="M20" s="89" t="str">
        <f t="shared" ref="M20:M30" si="0">IFERROR(L20/divisor,"")</f>
        <v/>
      </c>
      <c r="N20" s="36"/>
      <c r="O20" s="90"/>
      <c r="P20" s="1070"/>
    </row>
    <row r="21" spans="1:18" ht="14.25" customHeight="1" x14ac:dyDescent="0.25">
      <c r="A21" s="2"/>
      <c r="B21" s="87" t="s">
        <v>57</v>
      </c>
      <c r="C21" s="1087" t="s">
        <v>58</v>
      </c>
      <c r="D21" s="1088"/>
      <c r="E21" s="1088"/>
      <c r="F21" s="1089"/>
      <c r="G21" s="1083"/>
      <c r="H21" s="1084"/>
      <c r="I21" s="88"/>
      <c r="J21" s="1085"/>
      <c r="K21" s="88"/>
      <c r="L21" s="1086">
        <f t="shared" ref="L21:L29" si="1">IFERROR(J21*(1+J$53),"")</f>
        <v>0</v>
      </c>
      <c r="M21" s="89" t="str">
        <f t="shared" si="0"/>
        <v/>
      </c>
      <c r="N21" s="36"/>
      <c r="O21" s="90"/>
      <c r="P21" s="1070"/>
      <c r="R21" s="1090"/>
    </row>
    <row r="22" spans="1:18" ht="14.25" customHeight="1" x14ac:dyDescent="0.25">
      <c r="A22" s="2"/>
      <c r="B22" s="87" t="s">
        <v>59</v>
      </c>
      <c r="C22" s="1037" t="s">
        <v>60</v>
      </c>
      <c r="D22" s="912"/>
      <c r="E22" s="912"/>
      <c r="F22" s="926"/>
      <c r="G22" s="1091"/>
      <c r="H22" s="1092"/>
      <c r="I22" s="91"/>
      <c r="J22" s="1085"/>
      <c r="K22" s="91"/>
      <c r="L22" s="1086">
        <f t="shared" si="1"/>
        <v>0</v>
      </c>
      <c r="M22" s="89" t="str">
        <f t="shared" si="0"/>
        <v/>
      </c>
      <c r="N22" s="1127"/>
      <c r="O22" s="92"/>
      <c r="P22" s="1070"/>
      <c r="R22" s="1090"/>
    </row>
    <row r="23" spans="1:18" ht="14.25" customHeight="1" x14ac:dyDescent="0.25">
      <c r="A23" s="2"/>
      <c r="B23" s="87" t="s">
        <v>61</v>
      </c>
      <c r="C23" s="1037" t="s">
        <v>62</v>
      </c>
      <c r="D23" s="912"/>
      <c r="E23" s="912"/>
      <c r="F23" s="912"/>
      <c r="G23" s="1091"/>
      <c r="H23" s="1092"/>
      <c r="I23" s="91"/>
      <c r="J23" s="1085"/>
      <c r="K23" s="91"/>
      <c r="L23" s="1086">
        <f t="shared" si="1"/>
        <v>0</v>
      </c>
      <c r="M23" s="89" t="str">
        <f t="shared" si="0"/>
        <v/>
      </c>
      <c r="N23" s="1127"/>
      <c r="O23" s="92"/>
      <c r="P23" s="1070"/>
      <c r="R23" s="1090"/>
    </row>
    <row r="24" spans="1:18" ht="14.25" customHeight="1" x14ac:dyDescent="0.25">
      <c r="A24" s="2"/>
      <c r="B24" s="87" t="s">
        <v>63</v>
      </c>
      <c r="C24" s="1037" t="s">
        <v>64</v>
      </c>
      <c r="D24" s="912"/>
      <c r="E24" s="912"/>
      <c r="F24" s="912"/>
      <c r="G24" s="1091"/>
      <c r="H24" s="1092"/>
      <c r="I24" s="91"/>
      <c r="J24" s="1085"/>
      <c r="K24" s="91"/>
      <c r="L24" s="1086">
        <f t="shared" si="1"/>
        <v>0</v>
      </c>
      <c r="M24" s="89" t="str">
        <f t="shared" si="0"/>
        <v/>
      </c>
      <c r="N24" s="1127"/>
      <c r="O24" s="92"/>
      <c r="P24" s="1070"/>
      <c r="R24" s="1090"/>
    </row>
    <row r="25" spans="1:18" ht="13.95" customHeight="1" x14ac:dyDescent="0.25">
      <c r="A25" s="1093"/>
      <c r="B25" s="87" t="s">
        <v>65</v>
      </c>
      <c r="C25" s="1087" t="s">
        <v>66</v>
      </c>
      <c r="D25" s="1088"/>
      <c r="E25" s="1088"/>
      <c r="F25" s="1088"/>
      <c r="G25" s="1083"/>
      <c r="H25" s="1084"/>
      <c r="I25" s="88"/>
      <c r="J25" s="1085"/>
      <c r="K25" s="88"/>
      <c r="L25" s="1086">
        <f t="shared" si="1"/>
        <v>0</v>
      </c>
      <c r="M25" s="89" t="str">
        <f t="shared" si="0"/>
        <v/>
      </c>
      <c r="N25" s="36"/>
      <c r="O25" s="90"/>
      <c r="P25" s="4"/>
    </row>
    <row r="26" spans="1:18" ht="13.95" customHeight="1" x14ac:dyDescent="0.25">
      <c r="A26" s="2"/>
      <c r="B26" s="87" t="s">
        <v>67</v>
      </c>
      <c r="C26" s="1087" t="s">
        <v>68</v>
      </c>
      <c r="D26" s="1088"/>
      <c r="E26" s="1088"/>
      <c r="F26" s="1088"/>
      <c r="G26" s="1083"/>
      <c r="H26" s="1084"/>
      <c r="I26" s="88"/>
      <c r="J26" s="1085"/>
      <c r="K26" s="88"/>
      <c r="L26" s="1086">
        <f t="shared" si="1"/>
        <v>0</v>
      </c>
      <c r="M26" s="89" t="str">
        <f t="shared" si="0"/>
        <v/>
      </c>
      <c r="N26" s="36"/>
      <c r="O26" s="90"/>
      <c r="P26" s="4"/>
    </row>
    <row r="27" spans="1:18" ht="13.95" customHeight="1" x14ac:dyDescent="0.3">
      <c r="A27" s="83"/>
      <c r="B27" s="87" t="s">
        <v>69</v>
      </c>
      <c r="C27" s="1087" t="s">
        <v>70</v>
      </c>
      <c r="D27" s="1088"/>
      <c r="E27" s="1088"/>
      <c r="F27" s="1088"/>
      <c r="G27" s="1083"/>
      <c r="H27" s="1084"/>
      <c r="I27" s="88"/>
      <c r="J27" s="1085"/>
      <c r="K27" s="88"/>
      <c r="L27" s="1086">
        <f t="shared" si="1"/>
        <v>0</v>
      </c>
      <c r="M27" s="89" t="str">
        <f t="shared" si="0"/>
        <v/>
      </c>
      <c r="N27" s="36"/>
      <c r="O27" s="90"/>
      <c r="P27" s="4"/>
      <c r="Q27" s="225"/>
    </row>
    <row r="28" spans="1:18" ht="14.25" customHeight="1" x14ac:dyDescent="0.25">
      <c r="A28" s="2"/>
      <c r="B28" s="87" t="s">
        <v>71</v>
      </c>
      <c r="C28" s="1087" t="s">
        <v>72</v>
      </c>
      <c r="D28" s="1088"/>
      <c r="E28" s="1088"/>
      <c r="F28" s="1088"/>
      <c r="G28" s="1083"/>
      <c r="H28" s="1084"/>
      <c r="I28" s="88"/>
      <c r="J28" s="1085"/>
      <c r="K28" s="88"/>
      <c r="L28" s="1086">
        <f t="shared" si="1"/>
        <v>0</v>
      </c>
      <c r="M28" s="89" t="str">
        <f t="shared" si="0"/>
        <v/>
      </c>
      <c r="N28" s="36"/>
      <c r="O28" s="90"/>
      <c r="P28" s="4"/>
      <c r="Q28" s="44"/>
    </row>
    <row r="29" spans="1:18" ht="14.25" customHeight="1" x14ac:dyDescent="0.3">
      <c r="A29" s="83"/>
      <c r="B29" s="87" t="s">
        <v>73</v>
      </c>
      <c r="C29" s="1087" t="s">
        <v>74</v>
      </c>
      <c r="D29" s="1088"/>
      <c r="E29" s="1088"/>
      <c r="F29" s="1088"/>
      <c r="G29" s="1083"/>
      <c r="H29" s="1084"/>
      <c r="I29" s="88"/>
      <c r="J29" s="1085"/>
      <c r="K29" s="88"/>
      <c r="L29" s="1086">
        <f t="shared" si="1"/>
        <v>0</v>
      </c>
      <c r="M29" s="89" t="str">
        <f t="shared" si="0"/>
        <v/>
      </c>
      <c r="N29" s="36"/>
      <c r="O29" s="90"/>
      <c r="P29" s="4"/>
      <c r="Q29" s="225"/>
    </row>
    <row r="30" spans="1:18" ht="14.25" customHeight="1" thickBot="1" x14ac:dyDescent="0.3">
      <c r="A30" s="2"/>
      <c r="B30" s="95"/>
      <c r="C30" s="1038" t="s">
        <v>508</v>
      </c>
      <c r="D30" s="1039"/>
      <c r="E30" s="1039"/>
      <c r="F30" s="1039"/>
      <c r="G30" s="1094"/>
      <c r="H30" s="217">
        <f>SUM(H20:H29)</f>
        <v>0</v>
      </c>
      <c r="I30" s="88"/>
      <c r="J30" s="217">
        <f>SUM(J20:J29)</f>
        <v>0</v>
      </c>
      <c r="K30" s="88"/>
      <c r="L30" s="235">
        <f>SUM(L20:L29)</f>
        <v>0</v>
      </c>
      <c r="M30" s="96" t="str">
        <f t="shared" si="0"/>
        <v/>
      </c>
      <c r="N30" s="36"/>
      <c r="O30" s="97"/>
      <c r="P30" s="4"/>
    </row>
    <row r="31" spans="1:18" ht="40.200000000000003" customHeight="1" thickTop="1" x14ac:dyDescent="0.25">
      <c r="A31" s="2"/>
      <c r="D31" s="1095" t="str">
        <f>IF(J29&gt;0,"Erläutern Sie in Ihrem Anschreiben die Kostenbestandteile der sonstigen Aufwendungen.","")</f>
        <v/>
      </c>
      <c r="L31" s="10"/>
      <c r="P31" s="4"/>
    </row>
    <row r="32" spans="1:18" ht="15" customHeight="1" x14ac:dyDescent="0.25">
      <c r="A32" s="2"/>
      <c r="B32" s="1096" t="s">
        <v>135</v>
      </c>
      <c r="C32" s="79"/>
      <c r="D32" s="79"/>
      <c r="E32" s="79"/>
      <c r="F32" s="79"/>
      <c r="G32" s="79"/>
      <c r="H32" s="79"/>
      <c r="I32" s="79"/>
      <c r="J32" s="79"/>
      <c r="K32" s="79"/>
      <c r="L32" s="79"/>
      <c r="M32" s="79"/>
      <c r="N32" s="79"/>
      <c r="O32" s="79"/>
      <c r="P32" s="4"/>
    </row>
    <row r="33" spans="1:19" ht="14.25" customHeight="1" x14ac:dyDescent="0.25">
      <c r="A33" s="2"/>
      <c r="P33" s="4"/>
      <c r="Q33" s="1075"/>
      <c r="S33" s="224"/>
    </row>
    <row r="34" spans="1:19" ht="14.25" customHeight="1" x14ac:dyDescent="0.25">
      <c r="A34" s="2"/>
      <c r="G34" s="1097"/>
      <c r="H34" s="1098"/>
      <c r="J34" s="1099"/>
      <c r="L34" s="221"/>
      <c r="M34" s="1832" t="s">
        <v>52</v>
      </c>
      <c r="P34" s="4"/>
    </row>
    <row r="35" spans="1:19" ht="40.200000000000003" customHeight="1" x14ac:dyDescent="0.25">
      <c r="A35" s="2"/>
      <c r="H35" s="1100" t="s">
        <v>440</v>
      </c>
      <c r="J35" s="1101" t="s">
        <v>75</v>
      </c>
      <c r="L35" s="1074" t="s">
        <v>75</v>
      </c>
      <c r="M35" s="1833"/>
      <c r="P35" s="4"/>
    </row>
    <row r="36" spans="1:19" s="38" customFormat="1" ht="14.25" customHeight="1" x14ac:dyDescent="0.25">
      <c r="A36" s="36"/>
      <c r="B36" s="3"/>
      <c r="C36" s="3"/>
      <c r="D36" s="3"/>
      <c r="E36" s="3"/>
      <c r="F36" s="3"/>
      <c r="G36" s="3"/>
      <c r="H36" s="1103"/>
      <c r="I36" s="3"/>
      <c r="J36" s="1102"/>
      <c r="K36" s="3"/>
      <c r="L36" s="1116" t="s">
        <v>239</v>
      </c>
      <c r="M36" s="1833"/>
      <c r="N36" s="3"/>
      <c r="O36" s="3"/>
      <c r="P36" s="39"/>
      <c r="Q36" s="3"/>
      <c r="R36" s="1090"/>
    </row>
    <row r="37" spans="1:19" s="38" customFormat="1" ht="14.25" customHeight="1" x14ac:dyDescent="0.25">
      <c r="A37" s="36"/>
      <c r="B37" s="3"/>
      <c r="C37" s="3"/>
      <c r="D37" s="3"/>
      <c r="E37" s="3"/>
      <c r="F37" s="3"/>
      <c r="G37" s="3"/>
      <c r="H37" s="1078" t="s">
        <v>54</v>
      </c>
      <c r="I37" s="86"/>
      <c r="J37" s="1078" t="s">
        <v>54</v>
      </c>
      <c r="K37" s="86"/>
      <c r="L37" s="222" t="s">
        <v>54</v>
      </c>
      <c r="M37" s="1834"/>
      <c r="N37" s="3"/>
      <c r="O37" s="3"/>
      <c r="P37" s="39"/>
      <c r="Q37" s="3"/>
      <c r="R37" s="1090"/>
    </row>
    <row r="38" spans="1:19" s="38" customFormat="1" ht="14.25" customHeight="1" x14ac:dyDescent="0.25">
      <c r="A38" s="36"/>
      <c r="B38" s="3"/>
      <c r="C38" s="3"/>
      <c r="D38" s="3"/>
      <c r="E38" s="3"/>
      <c r="F38" s="3"/>
      <c r="G38" s="3"/>
      <c r="I38" s="3"/>
      <c r="J38" s="3"/>
      <c r="K38" s="3"/>
      <c r="L38" s="3"/>
      <c r="M38" s="3"/>
      <c r="N38" s="3"/>
      <c r="O38" s="3"/>
      <c r="P38" s="39"/>
      <c r="Q38" s="3"/>
      <c r="R38" s="1090"/>
    </row>
    <row r="39" spans="1:19" s="38" customFormat="1" ht="14.25" customHeight="1" x14ac:dyDescent="0.25">
      <c r="A39" s="36"/>
      <c r="C39" s="34" t="str">
        <f>C14</f>
        <v>Aufwendungen der 12 Kalendermonate:</v>
      </c>
      <c r="P39" s="39"/>
      <c r="Q39" s="3"/>
      <c r="R39" s="1090"/>
    </row>
    <row r="40" spans="1:19" s="38" customFormat="1" ht="14.25" customHeight="1" x14ac:dyDescent="0.25">
      <c r="A40" s="36"/>
      <c r="C40" s="1839">
        <f>C16</f>
        <v>0</v>
      </c>
      <c r="D40" s="1839"/>
      <c r="E40" s="1839"/>
      <c r="F40" s="1104" t="str">
        <f>IF(C40="entsprechend von einem abweichenden Zeitraum","vom:","")</f>
        <v/>
      </c>
      <c r="H40" s="1105" t="str">
        <f>IF(C40="entsprechend von einem abweichenden Zeitraum",H16,"")</f>
        <v/>
      </c>
      <c r="P40" s="94"/>
      <c r="Q40" s="3"/>
      <c r="R40" s="1090"/>
    </row>
    <row r="41" spans="1:19" s="38" customFormat="1" ht="14.25" customHeight="1" x14ac:dyDescent="0.25">
      <c r="A41" s="36"/>
      <c r="C41" s="1839"/>
      <c r="D41" s="1839"/>
      <c r="E41" s="1839"/>
      <c r="F41" s="1104" t="str">
        <f>IF(C40="entsprechend von einem abweichenden Zeitraum","bis:","")</f>
        <v/>
      </c>
      <c r="H41" s="1105" t="str">
        <f>IF(C40="entsprechend von einem abweichenden Zeitraum",H17,"")</f>
        <v/>
      </c>
      <c r="P41" s="39"/>
      <c r="Q41" s="3"/>
      <c r="R41" s="1090"/>
    </row>
    <row r="42" spans="1:19" s="38" customFormat="1" ht="15" customHeight="1" x14ac:dyDescent="0.25">
      <c r="A42" s="36"/>
      <c r="P42" s="39"/>
      <c r="Q42" s="3"/>
      <c r="R42" s="1090"/>
    </row>
    <row r="43" spans="1:19" ht="14.25" customHeight="1" x14ac:dyDescent="0.25">
      <c r="A43" s="2"/>
      <c r="B43" s="99" t="s">
        <v>76</v>
      </c>
      <c r="C43" s="1040" t="s">
        <v>77</v>
      </c>
      <c r="D43" s="1041"/>
      <c r="E43" s="1041"/>
      <c r="F43" s="1042"/>
      <c r="G43" s="1094"/>
      <c r="H43" s="1084"/>
      <c r="I43" s="100"/>
      <c r="J43" s="1085"/>
      <c r="K43" s="100"/>
      <c r="L43" s="1086">
        <f>IFERROR(J43*(1+J53),"")</f>
        <v>0</v>
      </c>
      <c r="M43" s="101" t="str">
        <f t="shared" ref="M43:M49" si="2">IFERROR(L43/divisor,"")</f>
        <v/>
      </c>
      <c r="N43" s="36"/>
      <c r="O43" s="38"/>
      <c r="P43" s="4"/>
    </row>
    <row r="44" spans="1:19" ht="14.25" customHeight="1" x14ac:dyDescent="0.25">
      <c r="A44" s="2"/>
      <c r="B44" s="99" t="s">
        <v>78</v>
      </c>
      <c r="C44" s="1087" t="s">
        <v>49</v>
      </c>
      <c r="D44" s="1088"/>
      <c r="E44" s="1088"/>
      <c r="F44" s="1089"/>
      <c r="G44" s="1094"/>
      <c r="H44" s="1106"/>
      <c r="I44" s="100"/>
      <c r="J44" s="1085"/>
      <c r="K44" s="100"/>
      <c r="L44" s="1086">
        <f>IFERROR(J44*(1+J53),"")</f>
        <v>0</v>
      </c>
      <c r="M44" s="101" t="str">
        <f t="shared" si="2"/>
        <v/>
      </c>
      <c r="N44" s="36"/>
      <c r="O44" s="90"/>
      <c r="P44" s="4"/>
      <c r="Q44" s="44"/>
    </row>
    <row r="45" spans="1:19" ht="14.25" customHeight="1" x14ac:dyDescent="0.25">
      <c r="A45" s="2"/>
      <c r="B45" s="99" t="s">
        <v>79</v>
      </c>
      <c r="C45" s="1087" t="s">
        <v>50</v>
      </c>
      <c r="D45" s="1088"/>
      <c r="E45" s="1088"/>
      <c r="F45" s="1089"/>
      <c r="G45" s="1094"/>
      <c r="H45" s="1106"/>
      <c r="I45" s="100"/>
      <c r="J45" s="1085"/>
      <c r="K45" s="100"/>
      <c r="L45" s="1086">
        <f>IFERROR(J45*(1+J53),"")</f>
        <v>0</v>
      </c>
      <c r="M45" s="101" t="str">
        <f t="shared" si="2"/>
        <v/>
      </c>
      <c r="N45" s="36"/>
      <c r="O45" s="90"/>
      <c r="P45" s="4"/>
    </row>
    <row r="46" spans="1:19" ht="14.25" customHeight="1" x14ac:dyDescent="0.25">
      <c r="A46" s="2"/>
      <c r="B46" s="99" t="s">
        <v>80</v>
      </c>
      <c r="C46" s="1087" t="s">
        <v>43</v>
      </c>
      <c r="D46" s="1088"/>
      <c r="E46" s="1088"/>
      <c r="F46" s="1089"/>
      <c r="G46" s="922"/>
      <c r="H46" s="1106"/>
      <c r="I46" s="100"/>
      <c r="J46" s="1085"/>
      <c r="K46" s="100"/>
      <c r="L46" s="1086">
        <f>IFERROR(J46*(1+J53),"")</f>
        <v>0</v>
      </c>
      <c r="M46" s="101" t="str">
        <f t="shared" si="2"/>
        <v/>
      </c>
      <c r="N46" s="36"/>
      <c r="O46" s="90"/>
      <c r="P46" s="4"/>
    </row>
    <row r="47" spans="1:19" ht="14.25" customHeight="1" x14ac:dyDescent="0.25">
      <c r="A47" s="2"/>
      <c r="B47" s="99" t="s">
        <v>81</v>
      </c>
      <c r="C47" s="1087" t="s">
        <v>51</v>
      </c>
      <c r="D47" s="1088"/>
      <c r="E47" s="1088"/>
      <c r="F47" s="1089"/>
      <c r="G47" s="1094"/>
      <c r="H47" s="1106"/>
      <c r="I47" s="100"/>
      <c r="J47" s="1085"/>
      <c r="K47" s="100"/>
      <c r="L47" s="1086">
        <f>IFERROR(J47*(1+J53),"")</f>
        <v>0</v>
      </c>
      <c r="M47" s="101" t="str">
        <f t="shared" si="2"/>
        <v/>
      </c>
      <c r="N47" s="36"/>
      <c r="O47" s="90"/>
      <c r="P47" s="4"/>
    </row>
    <row r="48" spans="1:19" ht="14.1" customHeight="1" x14ac:dyDescent="0.25">
      <c r="A48" s="2"/>
      <c r="B48" s="99" t="s">
        <v>82</v>
      </c>
      <c r="C48" s="1835"/>
      <c r="D48" s="1836"/>
      <c r="E48" s="1836"/>
      <c r="F48" s="1837"/>
      <c r="G48" s="1094"/>
      <c r="H48" s="1106"/>
      <c r="I48" s="100"/>
      <c r="J48" s="1085"/>
      <c r="K48" s="100"/>
      <c r="L48" s="1086">
        <f>IFERROR(J48*(1+J53),"")</f>
        <v>0</v>
      </c>
      <c r="M48" s="101" t="str">
        <f t="shared" si="2"/>
        <v/>
      </c>
      <c r="N48" s="36"/>
      <c r="O48" s="90"/>
      <c r="P48" s="4"/>
      <c r="Q48" s="1075"/>
      <c r="S48" s="224"/>
    </row>
    <row r="49" spans="1:17" ht="14.25" customHeight="1" x14ac:dyDescent="0.25">
      <c r="A49" s="2"/>
      <c r="B49" s="99" t="s">
        <v>83</v>
      </c>
      <c r="C49" s="1835"/>
      <c r="D49" s="1836"/>
      <c r="E49" s="1836"/>
      <c r="F49" s="1837"/>
      <c r="G49" s="1094"/>
      <c r="H49" s="1106"/>
      <c r="I49" s="100"/>
      <c r="J49" s="1085"/>
      <c r="K49" s="100"/>
      <c r="L49" s="1086">
        <f>IFERROR(J49*(1+J53),"")</f>
        <v>0</v>
      </c>
      <c r="M49" s="101" t="str">
        <f t="shared" si="2"/>
        <v/>
      </c>
      <c r="N49" s="36"/>
      <c r="O49" s="90"/>
      <c r="P49" s="4"/>
    </row>
    <row r="50" spans="1:17" ht="14.1" customHeight="1" thickBot="1" x14ac:dyDescent="0.3">
      <c r="A50" s="2"/>
      <c r="B50" s="1107"/>
      <c r="C50" s="1108" t="s">
        <v>508</v>
      </c>
      <c r="D50" s="1109"/>
      <c r="E50" s="1109"/>
      <c r="F50" s="1110"/>
      <c r="G50" s="1094"/>
      <c r="H50" s="217">
        <f>SUM(H43:H49)</f>
        <v>0</v>
      </c>
      <c r="I50" s="102"/>
      <c r="J50" s="217">
        <f>SUM(J43:J49)</f>
        <v>0</v>
      </c>
      <c r="K50" s="102"/>
      <c r="L50" s="235">
        <f>SUM(L43:L49)</f>
        <v>0</v>
      </c>
      <c r="M50" s="96" t="str">
        <f>IFERROR(L50/divisor,"")</f>
        <v/>
      </c>
      <c r="N50" s="1107"/>
      <c r="O50" s="1107"/>
      <c r="P50" s="39"/>
    </row>
    <row r="51" spans="1:17" s="38" customFormat="1" ht="14.25" customHeight="1" thickTop="1" x14ac:dyDescent="0.25">
      <c r="A51" s="36"/>
      <c r="B51" s="1107"/>
      <c r="C51" s="40" t="str">
        <f>IF(AND(J48&gt;0,J49&gt;0,C48="",C49=""),"Kostenbestandteile für Punkt 3.7 und 3.8 angegeben.",IF(AND(J48&gt;0,C48=""),"Kostenbestandteile für Punkt 3.7 angeben.",IF(AND(J49&gt;0,C49=""),"Kostenbestandteile für Punkt 3.8 angeben.","")))</f>
        <v/>
      </c>
      <c r="D51" s="1107"/>
      <c r="E51" s="1107"/>
      <c r="F51" s="1107"/>
      <c r="G51" s="1111"/>
      <c r="H51" s="1107"/>
      <c r="I51" s="1107"/>
      <c r="J51" s="1107"/>
      <c r="K51" s="1107"/>
      <c r="L51" s="1107"/>
      <c r="M51" s="1107"/>
      <c r="N51" s="1107"/>
      <c r="O51" s="1107"/>
      <c r="P51" s="39"/>
      <c r="Q51" s="40"/>
    </row>
    <row r="52" spans="1:17" s="38" customFormat="1" ht="14.25" customHeight="1" thickBot="1" x14ac:dyDescent="0.3">
      <c r="A52" s="36"/>
      <c r="B52" s="1107"/>
      <c r="D52" s="1107"/>
      <c r="E52" s="1107"/>
      <c r="F52" s="1107"/>
      <c r="G52" s="1107"/>
      <c r="H52" s="1107"/>
      <c r="I52" s="1107"/>
      <c r="J52" s="1107"/>
      <c r="K52" s="1107"/>
      <c r="L52" s="1107"/>
      <c r="M52" s="1107"/>
      <c r="N52" s="1107"/>
      <c r="O52" s="1107"/>
      <c r="P52" s="39"/>
    </row>
    <row r="53" spans="1:17" s="38" customFormat="1" ht="14.25" customHeight="1" thickBot="1" x14ac:dyDescent="0.3">
      <c r="A53" s="36"/>
      <c r="B53" s="18" t="s">
        <v>259</v>
      </c>
      <c r="C53" s="18"/>
      <c r="D53" s="19"/>
      <c r="E53" s="19"/>
      <c r="F53" s="19"/>
      <c r="G53" s="237" t="s">
        <v>242</v>
      </c>
      <c r="H53" s="156"/>
      <c r="I53" s="1112"/>
      <c r="J53" s="1113"/>
      <c r="K53" s="34"/>
      <c r="L53" s="257" t="str">
        <f>IF((J30+J50&gt;0),(J30+J50)*J53,"")</f>
        <v/>
      </c>
      <c r="M53" s="1107"/>
      <c r="N53" s="1107"/>
      <c r="O53" s="1107"/>
      <c r="P53" s="39"/>
      <c r="Q53" s="1114"/>
    </row>
    <row r="54" spans="1:17" s="38" customFormat="1" ht="14.25" customHeight="1" x14ac:dyDescent="0.25">
      <c r="A54" s="36"/>
      <c r="J54" s="1125" t="str">
        <f>IF(J53&gt;0.02,"Hinweis: Risiken über 2 % sind zu begründen und mit Nachweisen zu belegen","")</f>
        <v/>
      </c>
      <c r="P54" s="39"/>
      <c r="Q54" s="93"/>
    </row>
    <row r="55" spans="1:17" s="38" customFormat="1" ht="14.25" customHeight="1" x14ac:dyDescent="0.25">
      <c r="A55" s="36"/>
      <c r="P55" s="39"/>
    </row>
    <row r="56" spans="1:17" ht="14.25" customHeight="1" x14ac:dyDescent="0.25">
      <c r="A56" s="41"/>
      <c r="B56" s="42"/>
      <c r="C56" s="42"/>
      <c r="D56" s="42"/>
      <c r="E56" s="42"/>
      <c r="F56" s="42"/>
      <c r="G56" s="1115"/>
      <c r="H56" s="1115"/>
      <c r="I56" s="1115"/>
      <c r="J56" s="1115"/>
      <c r="K56" s="1115"/>
      <c r="L56" s="1115"/>
      <c r="M56" s="42"/>
      <c r="N56" s="42"/>
      <c r="O56" s="42"/>
      <c r="P56" s="376"/>
      <c r="Q56" s="236"/>
    </row>
    <row r="58" spans="1:17" ht="6.75" customHeight="1" thickBot="1" x14ac:dyDescent="0.3"/>
    <row r="59" spans="1:17" ht="14.4" thickBot="1" x14ac:dyDescent="0.3">
      <c r="D59" s="1633" t="s">
        <v>158</v>
      </c>
      <c r="E59" s="1634"/>
      <c r="F59" s="1634"/>
      <c r="G59" s="1634"/>
      <c r="H59" s="1634"/>
      <c r="I59" s="1634"/>
      <c r="J59" s="1634"/>
      <c r="K59" s="1634"/>
      <c r="L59" s="1635"/>
    </row>
    <row r="60" spans="1:17" x14ac:dyDescent="0.25">
      <c r="L60" s="1576"/>
    </row>
  </sheetData>
  <sheetProtection algorithmName="SHA-512" hashValue="oxyk1eW4BNih7L78PAV7PlOYrNoIbpuXgE0I5LGPSwXNX4jGMWySpIgZi6aZdqCbqLqPSlXCjz6G/nMH6e5sHg==" saltValue="JNl8COgkb/NIFvQiq8TxBg==" spinCount="100000" sheet="1" selectLockedCells="1"/>
  <mergeCells count="10">
    <mergeCell ref="D59:L59"/>
    <mergeCell ref="C16:E17"/>
    <mergeCell ref="M34:M37"/>
    <mergeCell ref="C40:E41"/>
    <mergeCell ref="C48:F48"/>
    <mergeCell ref="A1:P1"/>
    <mergeCell ref="A2:P2"/>
    <mergeCell ref="A3:P3"/>
    <mergeCell ref="M10:M13"/>
    <mergeCell ref="C49:F49"/>
  </mergeCells>
  <phoneticPr fontId="43" type="noConversion"/>
  <conditionalFormatting sqref="C16 G16">
    <cfRule type="expression" dxfId="82" priority="6">
      <formula>$C$16="Bitte auswählen."</formula>
    </cfRule>
  </conditionalFormatting>
  <conditionalFormatting sqref="C40">
    <cfRule type="expression" dxfId="81" priority="3">
      <formula>$C$16="Bitte auswählen."</formula>
    </cfRule>
  </conditionalFormatting>
  <conditionalFormatting sqref="F16:F17 C18">
    <cfRule type="expression" dxfId="80" priority="5">
      <formula>$F$19=0</formula>
    </cfRule>
  </conditionalFormatting>
  <conditionalFormatting sqref="G30 G43:G45 G47:G51">
    <cfRule type="expression" dxfId="79" priority="10">
      <formula>$G$30=0</formula>
    </cfRule>
  </conditionalFormatting>
  <conditionalFormatting sqref="H16:H18">
    <cfRule type="expression" dxfId="78" priority="4">
      <formula>$F$19=0</formula>
    </cfRule>
  </conditionalFormatting>
  <conditionalFormatting sqref="H40:H41">
    <cfRule type="expression" dxfId="77" priority="2">
      <formula>$C$40="entsprechend dem Zeitraum der Ist-Personalkosten"</formula>
    </cfRule>
  </conditionalFormatting>
  <conditionalFormatting sqref="L20:L29 L43:L49">
    <cfRule type="cellIs" dxfId="75" priority="7" operator="equal">
      <formula>0</formula>
    </cfRule>
  </conditionalFormatting>
  <conditionalFormatting sqref="L30">
    <cfRule type="expression" dxfId="74" priority="9">
      <formula>$L$30=0</formula>
    </cfRule>
  </conditionalFormatting>
  <conditionalFormatting sqref="L50">
    <cfRule type="expression" dxfId="73" priority="8">
      <formula>$L$50=0</formula>
    </cfRule>
  </conditionalFormatting>
  <dataValidations count="3">
    <dataValidation type="list" allowBlank="1" showInputMessage="1" showErrorMessage="1" sqref="C16:E17" xr:uid="{00000000-0002-0000-0700-000000000000}">
      <formula1>"entsprechend dem Zeitraum der Ist-Personalkosten,entsprechend von einem abweichenden Zeitraum"</formula1>
    </dataValidation>
    <dataValidation errorStyle="information" allowBlank="1" showInputMessage="1" showErrorMessage="1" errorTitle="Unternehmerrisiko" promptTitle="Unternehmerrisiko" prompt="siehe allgemeine Hinweise" sqref="J53" xr:uid="{00000000-0002-0000-0700-000001000000}"/>
    <dataValidation type="whole" operator="greaterThan" allowBlank="1" showInputMessage="1" showErrorMessage="1" errorTitle="Eingabemöglichkeit" error="nur ganze Zahlen (bitte kaufmännisch runden)" prompt="nur ganze Zahlen, kaufmännisch gerundet" sqref="J20:J29 G20:H29 J43:J49 H43:H49 G43:G45 G47:G49" xr:uid="{00000000-0002-0000-0700-000002000000}">
      <formula1>-1</formula1>
    </dataValidation>
  </dataValidations>
  <hyperlinks>
    <hyperlink ref="D59" location="'Anlage 1'!A1" display="Anlage 1" xr:uid="{00000000-0004-0000-0700-000000000000}"/>
    <hyperlink ref="D59:L59" location="Forderung!A1" display="gehe weiter zu B_Forderung" xr:uid="{00000000-0004-0000-07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&amp;L&amp;8&amp;K000000Version: 12.10.2026&amp;C&amp;8Verhandlungsunterlagen KZP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1280" r:id="rId3" name="Check Box 16">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281" r:id="rId4" name="Check Box 17">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282" r:id="rId5" name="Check Box 18">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283" r:id="rId6" name="Check Box 19">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284" r:id="rId7" name="Check Box 2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285" r:id="rId8" name="Check Box 21">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286" r:id="rId9" name="Check Box 22">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287" r:id="rId10" name="Check Box 2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288" r:id="rId11" name="Check Box 24">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289" r:id="rId12" name="Check Box 25">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290" r:id="rId13" name="Check Box 26">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291" r:id="rId14" name="Check Box 27">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292" r:id="rId15" name="Check Box 28">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293" r:id="rId16" name="Check Box 29">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294" r:id="rId17" name="Check Box 30">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295" r:id="rId18" name="Check Box 31">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296" r:id="rId19" name="Check Box 32">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11297" r:id="rId20" name="Check Box 33">
              <controlPr defaultSize="0" autoFill="0" autoLine="0" autoPict="0">
                <anchor moveWithCells="1">
                  <from>
                    <xdr:col>3</xdr:col>
                    <xdr:colOff>990600</xdr:colOff>
                    <xdr:row>9</xdr:row>
                    <xdr:rowOff>0</xdr:rowOff>
                  </from>
                  <to>
                    <xdr:col>3</xdr:col>
                    <xdr:colOff>990600</xdr:colOff>
                    <xdr:row>9</xdr:row>
                    <xdr:rowOff>175260</xdr:rowOff>
                  </to>
                </anchor>
              </controlPr>
            </control>
          </mc:Choice>
        </mc:AlternateContent>
        <mc:AlternateContent xmlns:mc="http://schemas.openxmlformats.org/markup-compatibility/2006">
          <mc:Choice Requires="x14">
            <control shapeId="11298" r:id="rId21" name="Check Box 34">
              <controlPr defaultSize="0" autoFill="0" autoLine="0" autoPict="0">
                <anchor moveWithCells="1">
                  <from>
                    <xdr:col>3</xdr:col>
                    <xdr:colOff>914400</xdr:colOff>
                    <xdr:row>9</xdr:row>
                    <xdr:rowOff>0</xdr:rowOff>
                  </from>
                  <to>
                    <xdr:col>3</xdr:col>
                    <xdr:colOff>914400</xdr:colOff>
                    <xdr:row>9</xdr:row>
                    <xdr:rowOff>175260</xdr:rowOff>
                  </to>
                </anchor>
              </controlPr>
            </control>
          </mc:Choice>
        </mc:AlternateContent>
        <mc:AlternateContent xmlns:mc="http://schemas.openxmlformats.org/markup-compatibility/2006">
          <mc:Choice Requires="x14">
            <control shapeId="11299" r:id="rId22" name="Check Box 35">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300" r:id="rId23" name="Check Box 36">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11301" r:id="rId24" name="Check Box 37">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2" r:id="rId25" name="Check Box 38">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3" r:id="rId26" name="Check Box 39">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304" r:id="rId27" name="Check Box 40">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5" r:id="rId28" name="Check Box 41">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306" r:id="rId29" name="Check Box 42">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07" r:id="rId30" name="Check Box 43">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08" r:id="rId31" name="Check Box 44">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309" r:id="rId32" name="Check Box 45">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10" r:id="rId33" name="Check Box 46">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311" r:id="rId34" name="Check Box 4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2" r:id="rId35" name="Check Box 48">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3" r:id="rId36" name="Check Box 49">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314" r:id="rId37" name="Check Box 50">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5" r:id="rId38" name="Check Box 51">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316" r:id="rId39" name="Check Box 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17" r:id="rId40" name="Check Box 5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18" r:id="rId41" name="Check Box 54">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19" r:id="rId42" name="Check Box 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20" r:id="rId43" name="Check Box 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21" r:id="rId44" name="Check Box 57">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2" r:id="rId45" name="Check Box 58">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3" r:id="rId46" name="Check Box 59">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24" r:id="rId47" name="Check Box 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5" r:id="rId48" name="Check Box 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27" r:id="rId49" name="Check Box 63">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28" r:id="rId50" name="Check Box 64">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29" r:id="rId51" name="Check Box 65">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0" r:id="rId52" name="Check Box 66">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1" r:id="rId53" name="Check Box 67">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32" r:id="rId54" name="Check Box 68">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3" r:id="rId55" name="Check Box 69">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34" r:id="rId56" name="Check Box 7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5" r:id="rId57" name="Check Box 7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6" r:id="rId58" name="Check Box 7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37" r:id="rId59" name="Check Box 7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8" r:id="rId60" name="Check Box 7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9" r:id="rId61" name="Check Box 75">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0" r:id="rId62" name="Check Box 76">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1" r:id="rId63" name="Check Box 77">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2" r:id="rId64" name="Check Box 7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3" r:id="rId65" name="Check Box 79">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4" r:id="rId66" name="Check Box 8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5" r:id="rId67" name="Check Box 8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6" r:id="rId68" name="Check Box 8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7" r:id="rId69" name="Check Box 8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8" r:id="rId70" name="Check Box 8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9" r:id="rId71" name="Check Box 85">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0" r:id="rId72" name="Check Box 86">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1" r:id="rId73" name="Check Box 8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2" r:id="rId74" name="Check Box 8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3" r:id="rId75" name="Check Box 89">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4" r:id="rId76" name="Check Box 9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5" r:id="rId77" name="Check Box 9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6" r:id="rId78" name="Check Box 9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7" r:id="rId79" name="Check Box 9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8" r:id="rId80" name="Check Box 94">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59" r:id="rId81" name="Check Box 9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0" r:id="rId82" name="Check Box 9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1" r:id="rId83" name="Check Box 97">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2" r:id="rId84" name="Check Box 98">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3" r:id="rId85" name="Check Box 99">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4" r:id="rId86" name="Check Box 10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5" r:id="rId87" name="Check Box 10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6" r:id="rId88" name="Check Box 102">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67" r:id="rId89" name="Check Box 10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68" r:id="rId90" name="Check Box 10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69" r:id="rId91" name="Check Box 105">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0" r:id="rId92" name="Check Box 10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1" r:id="rId93" name="Check Box 107">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72" r:id="rId94" name="Check Box 10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3" r:id="rId95" name="Check Box 10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74" r:id="rId96" name="Check Box 110">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5" r:id="rId97" name="Check Box 111">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6" r:id="rId98" name="Check Box 112">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77" r:id="rId99" name="Check Box 113">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8" r:id="rId100" name="Check Box 114">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9" r:id="rId101" name="Check Box 115">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80" r:id="rId102" name="Check Box 116">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81" r:id="rId103" name="Check Box 117">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59A59746-50FF-4EB6-8BB4-60FF22C0A257}">
            <xm:f>KAT!$A$32="nein"</xm:f>
            <x14:dxf>
              <fill>
                <patternFill>
                  <bgColor theme="0"/>
                </patternFill>
              </fill>
            </x14:dxf>
          </x14:cfRule>
          <xm:sqref>J54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tabColor theme="7" tint="0.59999389629810485"/>
    <pageSetUpPr fitToPage="1"/>
  </sheetPr>
  <dimension ref="A1:AC75"/>
  <sheetViews>
    <sheetView showGridLines="0" zoomScaleNormal="100" workbookViewId="0">
      <selection activeCell="A5" sqref="A5"/>
    </sheetView>
  </sheetViews>
  <sheetFormatPr baseColWidth="10" defaultColWidth="11" defaultRowHeight="13.8" x14ac:dyDescent="0.25"/>
  <cols>
    <col min="1" max="1" width="3.59765625" style="3" customWidth="1"/>
    <col min="2" max="2" width="4.69921875" style="3" customWidth="1"/>
    <col min="3" max="4" width="11" style="3"/>
    <col min="5" max="5" width="7.69921875" style="3" customWidth="1"/>
    <col min="6" max="6" width="14.3984375" style="3" customWidth="1"/>
    <col min="7" max="7" width="1" style="3" customWidth="1"/>
    <col min="8" max="8" width="5.8984375" style="3" customWidth="1"/>
    <col min="9" max="9" width="1.8984375" style="3" customWidth="1"/>
    <col min="10" max="10" width="8.59765625" style="3" customWidth="1"/>
    <col min="11" max="11" width="10.69921875" style="3" customWidth="1"/>
    <col min="12" max="12" width="8.59765625" style="3" customWidth="1"/>
    <col min="13" max="13" width="9" style="3" customWidth="1"/>
    <col min="14" max="16" width="10.59765625" style="3" customWidth="1"/>
    <col min="17" max="17" width="16.19921875" style="3" customWidth="1"/>
    <col min="18" max="22" width="7.09765625" style="3" customWidth="1"/>
    <col min="23" max="31" width="11" style="3" customWidth="1"/>
    <col min="32" max="16384" width="11" style="3"/>
  </cols>
  <sheetData>
    <row r="1" spans="1:22" ht="15" customHeight="1" x14ac:dyDescent="0.25">
      <c r="A1" s="1649" t="str">
        <f>'Allgemeine Angaben'!A1:N1</f>
        <v>Aufforderung zum Abschluss einer Pflegesatzvereinbarung gemäß §§ 84, 85 SGB XI</v>
      </c>
      <c r="B1" s="1650"/>
      <c r="C1" s="1650"/>
      <c r="D1" s="1650"/>
      <c r="E1" s="1650"/>
      <c r="F1" s="1650"/>
      <c r="G1" s="1650"/>
      <c r="H1" s="1650"/>
      <c r="I1" s="1650"/>
      <c r="J1" s="1650"/>
      <c r="K1" s="1650"/>
      <c r="L1" s="1650"/>
      <c r="M1" s="1650"/>
      <c r="N1" s="1650"/>
      <c r="O1" s="1650"/>
      <c r="P1" s="1651"/>
    </row>
    <row r="2" spans="1:22" ht="19.5" customHeight="1" x14ac:dyDescent="0.25">
      <c r="A2" s="1652" t="s">
        <v>85</v>
      </c>
      <c r="B2" s="1653"/>
      <c r="C2" s="1653"/>
      <c r="D2" s="1653"/>
      <c r="E2" s="1653"/>
      <c r="F2" s="1653"/>
      <c r="G2" s="1653"/>
      <c r="H2" s="1653"/>
      <c r="I2" s="1653"/>
      <c r="J2" s="1653"/>
      <c r="K2" s="1653"/>
      <c r="L2" s="1653"/>
      <c r="M2" s="1653"/>
      <c r="N2" s="1653"/>
      <c r="O2" s="1653"/>
      <c r="P2" s="1654"/>
    </row>
    <row r="3" spans="1:22" ht="15" customHeight="1" x14ac:dyDescent="0.25">
      <c r="A3" s="1668" t="str">
        <f>'Allgemeine Angaben'!A3:N3</f>
        <v/>
      </c>
      <c r="B3" s="1669"/>
      <c r="C3" s="1669"/>
      <c r="D3" s="1669"/>
      <c r="E3" s="1669"/>
      <c r="F3" s="1669"/>
      <c r="G3" s="1669"/>
      <c r="H3" s="1669"/>
      <c r="I3" s="1669"/>
      <c r="J3" s="1669"/>
      <c r="K3" s="1669"/>
      <c r="L3" s="1669"/>
      <c r="M3" s="1669"/>
      <c r="N3" s="1669"/>
      <c r="O3" s="1669"/>
      <c r="P3" s="1670"/>
    </row>
    <row r="4" spans="1:22" ht="15" customHeight="1" x14ac:dyDescent="0.25">
      <c r="A4" s="1668" t="str">
        <f>'Allgemeine Angaben'!A4:N4</f>
        <v/>
      </c>
      <c r="B4" s="1669"/>
      <c r="C4" s="1669"/>
      <c r="D4" s="1669"/>
      <c r="E4" s="1669"/>
      <c r="F4" s="1669"/>
      <c r="G4" s="1669"/>
      <c r="H4" s="1669"/>
      <c r="I4" s="1669"/>
      <c r="J4" s="1669"/>
      <c r="K4" s="1669"/>
      <c r="L4" s="1669"/>
      <c r="M4" s="1669"/>
      <c r="N4" s="1669"/>
      <c r="O4" s="1669"/>
      <c r="P4" s="1670"/>
      <c r="Q4" s="836"/>
    </row>
    <row r="5" spans="1:22" ht="14.25" customHeight="1" x14ac:dyDescent="0.25">
      <c r="A5" s="1482"/>
      <c r="L5" s="1185"/>
      <c r="P5" s="4"/>
    </row>
    <row r="6" spans="1:22" s="11" customFormat="1" x14ac:dyDescent="0.25">
      <c r="A6" s="28"/>
      <c r="B6" s="16" t="s">
        <v>86</v>
      </c>
      <c r="J6" s="1186" t="s">
        <v>36</v>
      </c>
      <c r="K6" s="1851" t="s">
        <v>87</v>
      </c>
      <c r="L6" s="1852"/>
      <c r="M6" s="1852"/>
      <c r="P6" s="33"/>
      <c r="Q6" s="121"/>
    </row>
    <row r="7" spans="1:22" s="11" customFormat="1" ht="13.2" x14ac:dyDescent="0.25">
      <c r="A7" s="28"/>
      <c r="B7" s="16"/>
      <c r="H7" s="1187"/>
      <c r="L7" s="1188"/>
      <c r="N7" s="1189"/>
      <c r="O7" s="61"/>
      <c r="P7" s="33"/>
    </row>
    <row r="8" spans="1:22" s="37" customFormat="1" ht="13.2" x14ac:dyDescent="0.25">
      <c r="A8" s="49"/>
      <c r="B8" s="914" t="s">
        <v>111</v>
      </c>
      <c r="C8" s="920" t="s">
        <v>424</v>
      </c>
      <c r="D8" s="921"/>
      <c r="E8" s="921"/>
      <c r="F8" s="922"/>
      <c r="J8" s="929">
        <f>Personalaufwendungen!H12</f>
        <v>0</v>
      </c>
      <c r="K8" s="34">
        <v>1</v>
      </c>
      <c r="L8" s="913" t="s">
        <v>88</v>
      </c>
      <c r="M8" s="928" t="str">
        <f>IF(J8&gt;0,ROUND('Allgemeine Angaben'!L46/J8,2),"")</f>
        <v/>
      </c>
      <c r="N8" s="923"/>
      <c r="O8" s="1190"/>
      <c r="P8" s="53"/>
    </row>
    <row r="9" spans="1:22" s="37" customFormat="1" ht="13.2" x14ac:dyDescent="0.25">
      <c r="A9" s="49"/>
      <c r="B9" s="1191"/>
      <c r="C9" s="1191"/>
      <c r="D9" s="1191"/>
      <c r="E9" s="1191"/>
      <c r="F9" s="1192"/>
      <c r="K9" s="1193"/>
      <c r="L9" s="51"/>
      <c r="M9" s="1194"/>
      <c r="N9" s="923"/>
      <c r="O9" s="923"/>
      <c r="P9" s="1195"/>
      <c r="Q9" s="917"/>
      <c r="R9" s="923"/>
      <c r="T9" s="924"/>
    </row>
    <row r="10" spans="1:22" s="37" customFormat="1" ht="13.2" x14ac:dyDescent="0.25">
      <c r="A10" s="49"/>
      <c r="B10" s="914" t="s">
        <v>112</v>
      </c>
      <c r="C10" s="915" t="s">
        <v>425</v>
      </c>
      <c r="D10" s="915"/>
      <c r="E10" s="915"/>
      <c r="F10" s="916" t="s">
        <v>446</v>
      </c>
      <c r="J10" s="929">
        <f>Personalaufwendungen!H22</f>
        <v>0</v>
      </c>
      <c r="K10" s="1193">
        <v>1</v>
      </c>
      <c r="L10" s="51" t="s">
        <v>88</v>
      </c>
      <c r="M10" s="928" t="str">
        <f>IF(J10&gt;0,ROUND('Allgemeine Angaben'!L46/J10,2),"")</f>
        <v/>
      </c>
      <c r="O10" s="917"/>
      <c r="P10" s="1196"/>
      <c r="Q10" s="919"/>
      <c r="R10" s="913"/>
      <c r="S10" s="913"/>
      <c r="T10" s="913"/>
      <c r="U10" s="913"/>
      <c r="V10" s="913"/>
    </row>
    <row r="11" spans="1:22" s="37" customFormat="1" ht="13.2" x14ac:dyDescent="0.25">
      <c r="A11" s="49"/>
      <c r="B11" s="1191"/>
      <c r="C11" s="1191"/>
      <c r="D11" s="1191"/>
      <c r="E11" s="1191"/>
      <c r="F11" s="1192"/>
      <c r="K11" s="1193"/>
      <c r="L11" s="51"/>
      <c r="M11" s="1194"/>
      <c r="O11" s="917"/>
      <c r="P11" s="1196"/>
      <c r="Q11" s="917"/>
      <c r="R11" s="918"/>
      <c r="T11" s="924"/>
    </row>
    <row r="12" spans="1:22" s="37" customFormat="1" ht="13.2" x14ac:dyDescent="0.25">
      <c r="A12" s="49"/>
      <c r="B12" s="925" t="s">
        <v>113</v>
      </c>
      <c r="C12" s="912" t="s">
        <v>144</v>
      </c>
      <c r="D12" s="912"/>
      <c r="E12" s="912"/>
      <c r="F12" s="926"/>
      <c r="G12" s="1197"/>
      <c r="J12" s="929">
        <f>Personalaufwendungen!H27</f>
        <v>0</v>
      </c>
      <c r="K12" s="1193">
        <v>1</v>
      </c>
      <c r="L12" s="51" t="s">
        <v>88</v>
      </c>
      <c r="M12" s="928" t="str">
        <f>IF(J12&gt;0,ROUND('Allgemeine Angaben'!L46/J12,2),"")</f>
        <v/>
      </c>
      <c r="N12" s="207"/>
      <c r="P12" s="53"/>
      <c r="Q12" s="1843"/>
      <c r="R12" s="897"/>
      <c r="S12" s="898"/>
      <c r="T12" s="896"/>
      <c r="U12" s="896"/>
      <c r="V12" s="896"/>
    </row>
    <row r="13" spans="1:22" s="37" customFormat="1" ht="13.2" x14ac:dyDescent="0.25">
      <c r="A13" s="49"/>
      <c r="B13" s="1191"/>
      <c r="C13" s="1191"/>
      <c r="D13" s="1191"/>
      <c r="E13" s="1191"/>
      <c r="F13" s="1191"/>
      <c r="L13" s="1190"/>
      <c r="M13" s="1194"/>
      <c r="N13" s="1198"/>
      <c r="P13" s="53"/>
      <c r="Q13" s="1843"/>
      <c r="R13" s="899"/>
      <c r="S13" s="900"/>
      <c r="T13" s="900"/>
      <c r="U13" s="900"/>
      <c r="V13" s="900"/>
    </row>
    <row r="14" spans="1:22" s="37" customFormat="1" ht="13.2" x14ac:dyDescent="0.25">
      <c r="A14" s="49"/>
      <c r="B14" s="925" t="s">
        <v>114</v>
      </c>
      <c r="C14" s="915" t="s">
        <v>89</v>
      </c>
      <c r="D14" s="915"/>
      <c r="E14" s="915"/>
      <c r="F14" s="922"/>
      <c r="J14" s="929">
        <f>Personalaufwendungen!H30</f>
        <v>0</v>
      </c>
      <c r="K14" s="52">
        <v>1</v>
      </c>
      <c r="L14" s="51" t="s">
        <v>88</v>
      </c>
      <c r="M14" s="928" t="str">
        <f>IF(J14&gt;0,ROUND('Allgemeine Angaben'!L46/J14,2),"")</f>
        <v/>
      </c>
      <c r="N14" s="1198"/>
      <c r="P14" s="53"/>
    </row>
    <row r="15" spans="1:22" s="37" customFormat="1" ht="13.2" x14ac:dyDescent="0.25">
      <c r="A15" s="49"/>
      <c r="B15" s="1191"/>
      <c r="C15" s="1191"/>
      <c r="D15" s="1191"/>
      <c r="E15" s="1191"/>
      <c r="F15" s="1191"/>
      <c r="L15" s="1190"/>
      <c r="M15" s="1194"/>
      <c r="N15" s="1198"/>
      <c r="P15" s="53"/>
      <c r="Q15" s="1842"/>
      <c r="R15" s="913"/>
      <c r="S15" s="913"/>
      <c r="T15" s="913"/>
      <c r="U15" s="913"/>
      <c r="V15" s="913"/>
    </row>
    <row r="16" spans="1:22" s="37" customFormat="1" ht="13.2" x14ac:dyDescent="0.25">
      <c r="A16" s="49"/>
      <c r="B16" s="925" t="s">
        <v>115</v>
      </c>
      <c r="C16" s="915" t="s">
        <v>433</v>
      </c>
      <c r="D16" s="915"/>
      <c r="E16" s="915"/>
      <c r="F16" s="922"/>
      <c r="J16" s="929">
        <f>Personalaufwendungen!H33</f>
        <v>0</v>
      </c>
      <c r="K16" s="1193">
        <v>1</v>
      </c>
      <c r="L16" s="51" t="s">
        <v>88</v>
      </c>
      <c r="M16" s="928" t="str">
        <f>IF(J16&gt;0,ROUND('Allgemeine Angaben'!L46/J16,2),"")</f>
        <v/>
      </c>
      <c r="N16" s="40"/>
      <c r="P16" s="53"/>
      <c r="Q16" s="1842"/>
      <c r="S16" s="927"/>
      <c r="T16" s="927"/>
      <c r="U16" s="927"/>
      <c r="V16" s="927"/>
    </row>
    <row r="17" spans="1:29" s="11" customFormat="1" ht="13.2" x14ac:dyDescent="0.25">
      <c r="A17" s="28"/>
      <c r="B17" s="71"/>
      <c r="C17" s="71"/>
      <c r="D17" s="71"/>
      <c r="E17" s="71"/>
      <c r="F17" s="71"/>
      <c r="J17" s="104"/>
      <c r="N17" s="1188"/>
      <c r="P17" s="33"/>
    </row>
    <row r="18" spans="1:29" s="11" customFormat="1" ht="13.2" x14ac:dyDescent="0.25">
      <c r="A18" s="28"/>
      <c r="B18" s="854" t="s">
        <v>459</v>
      </c>
      <c r="C18" s="113" t="s">
        <v>90</v>
      </c>
      <c r="D18" s="113"/>
      <c r="E18" s="1030"/>
      <c r="F18" s="71"/>
      <c r="G18" s="1199" t="s">
        <v>91</v>
      </c>
      <c r="H18" s="110"/>
      <c r="I18" s="1200"/>
      <c r="J18" s="1135" t="str">
        <f>IF(Personalkostenaufstellung!V281&gt;0,Personalkostenaufstellung!V281,"")</f>
        <v/>
      </c>
      <c r="L18" s="1201"/>
      <c r="N18" s="61"/>
      <c r="O18" s="61"/>
      <c r="P18" s="33"/>
    </row>
    <row r="19" spans="1:29" s="11" customFormat="1" ht="12.75" customHeight="1" x14ac:dyDescent="0.25">
      <c r="A19" s="28"/>
      <c r="B19" s="71"/>
      <c r="C19" s="71"/>
      <c r="D19" s="71"/>
      <c r="E19" s="71"/>
      <c r="F19" s="71"/>
      <c r="J19" s="104"/>
      <c r="N19" s="61"/>
      <c r="O19" s="61"/>
      <c r="P19" s="33"/>
    </row>
    <row r="20" spans="1:29" s="11" customFormat="1" ht="14.25" customHeight="1" x14ac:dyDescent="0.25">
      <c r="A20" s="28"/>
      <c r="B20" s="1202" t="s">
        <v>445</v>
      </c>
      <c r="G20" s="1203"/>
      <c r="H20" s="115"/>
      <c r="J20" s="1204"/>
      <c r="K20" s="1204"/>
      <c r="L20" s="1205"/>
      <c r="M20" s="1204"/>
      <c r="N20" s="70"/>
      <c r="O20" s="70"/>
      <c r="P20" s="1206"/>
      <c r="Q20" s="5"/>
      <c r="R20" s="5"/>
      <c r="T20" s="5"/>
      <c r="U20" s="5"/>
      <c r="AA20" s="909"/>
    </row>
    <row r="21" spans="1:29" s="11" customFormat="1" ht="14.25" customHeight="1" x14ac:dyDescent="0.25">
      <c r="A21" s="28"/>
      <c r="O21" s="61"/>
      <c r="P21" s="1207"/>
      <c r="Q21" s="104"/>
      <c r="R21" s="104"/>
      <c r="S21" s="901"/>
      <c r="T21" s="901"/>
      <c r="U21" s="61"/>
      <c r="V21" s="61"/>
    </row>
    <row r="22" spans="1:29" s="11" customFormat="1" ht="14.25" customHeight="1" x14ac:dyDescent="0.25">
      <c r="A22" s="28"/>
      <c r="B22" s="1187" t="s">
        <v>92</v>
      </c>
      <c r="D22" s="854" t="s">
        <v>434</v>
      </c>
      <c r="E22" s="114"/>
      <c r="F22" s="114"/>
      <c r="G22" s="111"/>
      <c r="J22" s="108" t="str">
        <f>IF(ISERROR(Gesamtkalkulation!H46),"",Gesamtkalkulation!H46)</f>
        <v/>
      </c>
      <c r="K22" s="61" t="s">
        <v>52</v>
      </c>
      <c r="L22" s="1208">
        <f>IFERROR(Gesamtkalkulation!H48,"")</f>
        <v>0</v>
      </c>
      <c r="O22" s="61"/>
      <c r="P22" s="1207"/>
      <c r="Q22" s="104"/>
      <c r="R22" s="104"/>
      <c r="S22" s="901"/>
      <c r="T22" s="901"/>
      <c r="U22" s="61"/>
      <c r="V22" s="61"/>
    </row>
    <row r="23" spans="1:29" s="11" customFormat="1" ht="13.5" customHeight="1" x14ac:dyDescent="0.25">
      <c r="A23" s="28"/>
      <c r="B23" s="71"/>
      <c r="C23" s="71"/>
      <c r="D23" s="71"/>
      <c r="E23" s="71"/>
      <c r="F23" s="71"/>
      <c r="J23" s="104"/>
      <c r="L23" s="104"/>
      <c r="O23" s="61"/>
      <c r="P23" s="1207"/>
      <c r="Q23" s="104"/>
      <c r="R23" s="104"/>
      <c r="S23" s="901"/>
      <c r="T23" s="901"/>
      <c r="U23" s="61"/>
      <c r="V23" s="61"/>
    </row>
    <row r="24" spans="1:29" s="11" customFormat="1" ht="14.25" customHeight="1" x14ac:dyDescent="0.25">
      <c r="A24" s="28"/>
      <c r="D24" s="112" t="s">
        <v>93</v>
      </c>
      <c r="E24" s="113"/>
      <c r="F24" s="114"/>
      <c r="G24" s="111"/>
      <c r="J24" s="108" t="str">
        <f>IF(ISERROR(Gesamtkalkulation!K46),"",Gesamtkalkulation!K46)</f>
        <v/>
      </c>
      <c r="K24" s="61" t="s">
        <v>52</v>
      </c>
      <c r="L24" s="1208" t="str">
        <f>IFERROR(Gesamtkalkulation!#REF!,"")</f>
        <v/>
      </c>
      <c r="N24" s="902"/>
      <c r="O24" s="903"/>
      <c r="P24" s="1209"/>
      <c r="Q24" s="903"/>
      <c r="R24" s="903"/>
      <c r="S24" s="903"/>
      <c r="T24" s="903"/>
      <c r="U24" s="903"/>
      <c r="V24" s="903"/>
      <c r="W24" s="903"/>
      <c r="X24" s="904"/>
      <c r="Y24" s="904"/>
      <c r="Z24" s="903"/>
      <c r="AA24" s="903"/>
      <c r="AB24" s="903"/>
      <c r="AC24" s="903"/>
    </row>
    <row r="25" spans="1:29" s="11" customFormat="1" ht="9.9" customHeight="1" x14ac:dyDescent="0.25">
      <c r="A25" s="28"/>
      <c r="B25" s="71"/>
      <c r="C25" s="71"/>
      <c r="D25" s="71"/>
      <c r="E25" s="71"/>
      <c r="F25" s="71"/>
      <c r="J25" s="104"/>
      <c r="L25" s="104"/>
      <c r="N25" s="903"/>
      <c r="O25" s="903"/>
      <c r="P25" s="1209"/>
      <c r="Q25" s="903"/>
      <c r="R25" s="903"/>
      <c r="S25" s="903"/>
      <c r="T25" s="903"/>
      <c r="U25" s="903"/>
      <c r="V25" s="903"/>
      <c r="W25" s="903"/>
      <c r="X25" s="903"/>
      <c r="Y25" s="903"/>
      <c r="Z25" s="903"/>
      <c r="AA25" s="903"/>
      <c r="AB25" s="903"/>
      <c r="AC25" s="903"/>
    </row>
    <row r="26" spans="1:29" s="11" customFormat="1" ht="14.25" customHeight="1" x14ac:dyDescent="0.25">
      <c r="A26" s="28"/>
      <c r="B26" s="1187" t="s">
        <v>94</v>
      </c>
      <c r="D26" s="116" t="s">
        <v>95</v>
      </c>
      <c r="E26" s="114"/>
      <c r="F26" s="114"/>
      <c r="G26" s="111"/>
      <c r="J26" s="108" t="str">
        <f>IF(ISERROR(Gesamtkalkulation!I46),"",Gesamtkalkulation!I46)</f>
        <v/>
      </c>
      <c r="K26" s="61" t="s">
        <v>52</v>
      </c>
      <c r="L26" s="1208" t="str">
        <f>IFERROR(Gesamtkalkulation!#REF!,"")</f>
        <v/>
      </c>
      <c r="N26" s="905"/>
      <c r="O26" s="905"/>
      <c r="P26" s="1209"/>
      <c r="Q26" s="903"/>
      <c r="R26" s="903"/>
      <c r="S26" s="903"/>
      <c r="T26" s="903"/>
      <c r="U26" s="903"/>
      <c r="V26" s="903"/>
      <c r="W26" s="906"/>
      <c r="X26" s="903"/>
      <c r="Y26" s="903"/>
      <c r="Z26" s="910"/>
      <c r="AA26" s="903"/>
      <c r="AB26" s="903"/>
      <c r="AC26" s="903"/>
    </row>
    <row r="27" spans="1:29" s="11" customFormat="1" ht="9.9" customHeight="1" x14ac:dyDescent="0.25">
      <c r="A27" s="28"/>
      <c r="B27" s="71"/>
      <c r="C27" s="71"/>
      <c r="D27" s="71"/>
      <c r="E27" s="71"/>
      <c r="F27" s="71"/>
      <c r="J27" s="104"/>
      <c r="L27" s="104"/>
      <c r="N27" s="905"/>
      <c r="O27" s="905"/>
      <c r="P27" s="1209"/>
      <c r="Q27" s="903"/>
      <c r="R27" s="903"/>
      <c r="S27" s="903"/>
      <c r="T27" s="903"/>
      <c r="U27" s="903"/>
      <c r="V27" s="903"/>
      <c r="W27" s="903"/>
      <c r="X27" s="903"/>
      <c r="Y27" s="903"/>
      <c r="Z27" s="903"/>
      <c r="AA27" s="903"/>
      <c r="AB27" s="903"/>
      <c r="AC27" s="903"/>
    </row>
    <row r="28" spans="1:29" s="11" customFormat="1" ht="14.25" customHeight="1" x14ac:dyDescent="0.25">
      <c r="A28" s="28"/>
      <c r="D28" s="116" t="s">
        <v>96</v>
      </c>
      <c r="E28" s="114"/>
      <c r="F28" s="114"/>
      <c r="G28" s="111"/>
      <c r="J28" s="108" t="str">
        <f>IF(ISERROR(Gesamtkalkulation!J46),"",Gesamtkalkulation!J46)</f>
        <v/>
      </c>
      <c r="K28" s="61" t="s">
        <v>52</v>
      </c>
      <c r="L28" s="1208" t="str">
        <f>IFERROR(Gesamtkalkulation!#REF!,"")</f>
        <v/>
      </c>
      <c r="N28" s="905"/>
      <c r="O28" s="905"/>
      <c r="P28" s="1209"/>
      <c r="Q28" s="903"/>
      <c r="R28" s="903"/>
      <c r="S28" s="903"/>
      <c r="T28" s="903"/>
      <c r="U28" s="903"/>
      <c r="V28" s="903"/>
      <c r="W28" s="903"/>
      <c r="X28" s="903"/>
      <c r="Y28" s="903"/>
      <c r="Z28" s="903"/>
      <c r="AA28" s="903"/>
      <c r="AB28" s="903"/>
      <c r="AC28" s="903"/>
    </row>
    <row r="29" spans="1:29" s="11" customFormat="1" ht="14.25" customHeight="1" x14ac:dyDescent="0.25">
      <c r="A29" s="28"/>
      <c r="L29" s="61"/>
      <c r="N29" s="905"/>
      <c r="O29" s="905"/>
      <c r="P29" s="1209"/>
      <c r="Q29" s="903"/>
      <c r="R29" s="903"/>
      <c r="S29" s="903"/>
      <c r="T29" s="903"/>
      <c r="U29" s="903"/>
      <c r="V29" s="903"/>
      <c r="W29" s="903"/>
      <c r="X29" s="903"/>
      <c r="Y29" s="903"/>
      <c r="Z29" s="903"/>
      <c r="AA29" s="903"/>
      <c r="AB29" s="903"/>
      <c r="AC29" s="903"/>
    </row>
    <row r="30" spans="1:29" s="11" customFormat="1" ht="14.25" customHeight="1" x14ac:dyDescent="0.25">
      <c r="A30" s="28"/>
      <c r="L30" s="61"/>
      <c r="N30" s="905"/>
      <c r="O30" s="905"/>
      <c r="P30" s="1209"/>
      <c r="Q30" s="903"/>
      <c r="R30" s="903"/>
      <c r="S30" s="903"/>
      <c r="T30" s="903"/>
      <c r="U30" s="903"/>
      <c r="V30" s="903"/>
      <c r="W30" s="903"/>
      <c r="X30" s="903"/>
      <c r="Y30" s="903"/>
      <c r="Z30" s="903"/>
      <c r="AA30" s="903"/>
      <c r="AB30" s="903"/>
      <c r="AC30" s="903"/>
    </row>
    <row r="31" spans="1:29" s="11" customFormat="1" ht="14.25" customHeight="1" x14ac:dyDescent="0.25">
      <c r="A31" s="28"/>
      <c r="B31" s="1210" t="s">
        <v>457</v>
      </c>
      <c r="C31" s="1211"/>
      <c r="D31" s="1187"/>
      <c r="E31" s="1187"/>
      <c r="F31" s="1187"/>
      <c r="G31" s="1187"/>
      <c r="H31" s="1187"/>
      <c r="I31" s="1187"/>
      <c r="J31" s="1187"/>
      <c r="K31" s="1187"/>
      <c r="L31" s="1187"/>
      <c r="M31" s="1187"/>
      <c r="N31" s="1187"/>
      <c r="O31" s="1187"/>
      <c r="P31" s="930"/>
      <c r="Q31" s="903"/>
      <c r="R31" s="903"/>
      <c r="S31" s="903"/>
      <c r="T31" s="903"/>
      <c r="U31" s="903"/>
      <c r="V31" s="903"/>
      <c r="W31" s="903"/>
      <c r="X31" s="903"/>
      <c r="Y31" s="903"/>
      <c r="Z31" s="903"/>
      <c r="AA31" s="903"/>
      <c r="AB31" s="903"/>
      <c r="AC31" s="903"/>
    </row>
    <row r="32" spans="1:29" s="11" customFormat="1" ht="28.5" customHeight="1" x14ac:dyDescent="0.25">
      <c r="A32" s="28"/>
      <c r="B32" s="821"/>
      <c r="C32" s="1212" t="s">
        <v>448</v>
      </c>
      <c r="D32" s="1213"/>
      <c r="E32" s="1213"/>
      <c r="F32" s="1213"/>
      <c r="G32" s="1213"/>
      <c r="H32" s="1213"/>
      <c r="I32" s="1213"/>
      <c r="J32" s="1213"/>
      <c r="K32" s="1214"/>
      <c r="L32" s="1215" t="s">
        <v>449</v>
      </c>
      <c r="M32" s="1213"/>
      <c r="N32" s="1846" t="s">
        <v>568</v>
      </c>
      <c r="O32" s="1846"/>
      <c r="P32" s="931"/>
      <c r="Q32" s="903"/>
      <c r="R32" s="903"/>
      <c r="S32" s="903"/>
      <c r="T32" s="903"/>
      <c r="U32" s="903"/>
      <c r="V32" s="903"/>
      <c r="W32" s="903"/>
      <c r="X32" s="903"/>
      <c r="Y32" s="903"/>
      <c r="Z32" s="903"/>
      <c r="AA32" s="903"/>
      <c r="AB32" s="903"/>
      <c r="AC32" s="903"/>
    </row>
    <row r="33" spans="1:29" s="11" customFormat="1" ht="14.25" customHeight="1" x14ac:dyDescent="0.25">
      <c r="A33" s="28"/>
      <c r="B33" s="821"/>
      <c r="C33" s="1213"/>
      <c r="D33" s="1213"/>
      <c r="E33" s="1213"/>
      <c r="F33" s="1213"/>
      <c r="G33" s="1213"/>
      <c r="H33" s="1213"/>
      <c r="I33" s="1213"/>
      <c r="J33" s="1213"/>
      <c r="K33" s="1214"/>
      <c r="L33" s="1214"/>
      <c r="M33" s="1213"/>
      <c r="N33" s="1216"/>
      <c r="O33" s="1216"/>
      <c r="P33" s="931"/>
      <c r="Q33" s="903"/>
      <c r="R33" s="903"/>
      <c r="S33" s="903"/>
      <c r="T33" s="903"/>
      <c r="U33" s="903"/>
      <c r="V33" s="903"/>
      <c r="W33" s="903"/>
      <c r="X33" s="903"/>
      <c r="Y33" s="903"/>
      <c r="Z33" s="903"/>
      <c r="AA33" s="903"/>
      <c r="AB33" s="903"/>
      <c r="AC33" s="903"/>
    </row>
    <row r="34" spans="1:29" s="11" customFormat="1" ht="14.25" customHeight="1" x14ac:dyDescent="0.25">
      <c r="A34" s="28"/>
      <c r="B34" s="821"/>
      <c r="C34" s="1213"/>
      <c r="D34" s="1213"/>
      <c r="E34" s="1213"/>
      <c r="F34" s="1213"/>
      <c r="G34" s="1213"/>
      <c r="H34" s="1213"/>
      <c r="I34" s="1213"/>
      <c r="J34" s="1213"/>
      <c r="K34" s="1214"/>
      <c r="L34" s="1214"/>
      <c r="M34" s="1213"/>
      <c r="N34" s="1213"/>
      <c r="O34" s="1213"/>
      <c r="P34" s="932"/>
      <c r="Q34" s="903"/>
      <c r="R34" s="903"/>
      <c r="S34" s="903"/>
      <c r="T34" s="903"/>
      <c r="U34" s="903"/>
      <c r="V34" s="903"/>
      <c r="W34" s="903"/>
      <c r="X34" s="903"/>
      <c r="Y34" s="903"/>
      <c r="Z34" s="903"/>
      <c r="AA34" s="903"/>
      <c r="AB34" s="903"/>
      <c r="AC34" s="903"/>
    </row>
    <row r="35" spans="1:29" s="11" customFormat="1" ht="14.25" customHeight="1" x14ac:dyDescent="0.25">
      <c r="A35" s="28"/>
      <c r="B35" s="821"/>
      <c r="C35" s="1217" t="s">
        <v>450</v>
      </c>
      <c r="D35" s="1218" t="s">
        <v>551</v>
      </c>
      <c r="E35" s="1219"/>
      <c r="F35" s="1219"/>
      <c r="G35" s="1213"/>
      <c r="H35" s="1213"/>
      <c r="I35" s="1213"/>
      <c r="J35" s="1213"/>
      <c r="K35" s="1220"/>
      <c r="L35" s="1221" t="str">
        <f>IF(KAT!F38=0,"ja","nein")</f>
        <v>nein</v>
      </c>
      <c r="M35" s="1222"/>
      <c r="N35" s="1484" t="s">
        <v>1</v>
      </c>
      <c r="O35" s="1223"/>
      <c r="P35" s="1183"/>
      <c r="Q35" s="208"/>
      <c r="R35" s="903"/>
      <c r="S35" s="903"/>
      <c r="T35" s="903"/>
      <c r="U35" s="903"/>
      <c r="V35" s="903"/>
      <c r="W35" s="903"/>
      <c r="X35" s="903"/>
      <c r="Y35" s="903"/>
      <c r="Z35" s="903"/>
      <c r="AA35" s="903"/>
      <c r="AB35" s="903"/>
      <c r="AC35" s="903"/>
    </row>
    <row r="36" spans="1:29" s="11" customFormat="1" ht="14.25" customHeight="1" x14ac:dyDescent="0.25">
      <c r="A36" s="28"/>
      <c r="B36" s="821"/>
      <c r="C36" s="1217"/>
      <c r="D36" s="1219"/>
      <c r="E36" s="1219"/>
      <c r="F36" s="1219"/>
      <c r="G36" s="1213"/>
      <c r="H36" s="1213"/>
      <c r="I36" s="1213"/>
      <c r="J36" s="1213"/>
      <c r="K36" s="1224"/>
      <c r="L36" s="1213"/>
      <c r="M36" s="1213"/>
      <c r="N36" s="1223"/>
      <c r="O36" s="1223"/>
      <c r="P36" s="1183"/>
      <c r="Q36" s="903"/>
      <c r="R36" s="903"/>
      <c r="S36" s="903"/>
      <c r="T36" s="903"/>
      <c r="U36" s="903"/>
      <c r="V36" s="903"/>
      <c r="W36" s="903"/>
      <c r="X36" s="903"/>
      <c r="Y36" s="903"/>
      <c r="Z36" s="903"/>
      <c r="AA36" s="903"/>
      <c r="AB36" s="903"/>
      <c r="AC36" s="903"/>
    </row>
    <row r="37" spans="1:29" s="11" customFormat="1" ht="14.25" customHeight="1" x14ac:dyDescent="0.25">
      <c r="A37" s="28"/>
      <c r="B37" s="821"/>
      <c r="C37" s="1217" t="s">
        <v>450</v>
      </c>
      <c r="D37" s="1225" t="s">
        <v>751</v>
      </c>
      <c r="E37" s="1219"/>
      <c r="F37" s="1219"/>
      <c r="G37" s="1213"/>
      <c r="H37" s="1213"/>
      <c r="I37" s="1213"/>
      <c r="J37" s="1213"/>
      <c r="K37" s="1220"/>
      <c r="L37" s="1226" t="str">
        <f>IF(KAT!F39=0,"ja","nein")</f>
        <v>ja</v>
      </c>
      <c r="M37" s="1213"/>
      <c r="N37" s="1847" t="s">
        <v>451</v>
      </c>
      <c r="O37" s="1840"/>
      <c r="P37" s="1841"/>
      <c r="Q37" s="903"/>
      <c r="R37" s="903"/>
      <c r="S37" s="903"/>
      <c r="T37" s="903"/>
      <c r="U37" s="903"/>
      <c r="V37" s="903"/>
      <c r="W37" s="903"/>
      <c r="X37" s="903"/>
      <c r="Y37" s="903"/>
      <c r="Z37" s="903"/>
      <c r="AA37" s="903"/>
      <c r="AB37" s="903"/>
      <c r="AC37" s="903"/>
    </row>
    <row r="38" spans="1:29" s="11" customFormat="1" ht="14.25" customHeight="1" x14ac:dyDescent="0.25">
      <c r="A38" s="28"/>
      <c r="B38" s="821"/>
      <c r="C38" s="1217"/>
      <c r="D38" s="1219"/>
      <c r="E38" s="1219"/>
      <c r="F38" s="1219"/>
      <c r="G38" s="1213"/>
      <c r="H38" s="1213"/>
      <c r="I38" s="1213"/>
      <c r="J38" s="1213"/>
      <c r="K38" s="1224"/>
      <c r="L38" s="1213"/>
      <c r="M38" s="1213"/>
      <c r="N38" s="1223"/>
      <c r="O38" s="1223" t="str">
        <f>IFERROR(#REF!,"")</f>
        <v/>
      </c>
      <c r="P38" s="1183"/>
      <c r="Q38" s="903"/>
      <c r="R38" s="903"/>
      <c r="S38" s="903"/>
      <c r="T38" s="903"/>
      <c r="U38" s="903"/>
      <c r="V38" s="903"/>
      <c r="W38" s="903"/>
      <c r="X38" s="903"/>
      <c r="Y38" s="903"/>
      <c r="Z38" s="903"/>
      <c r="AA38" s="903"/>
      <c r="AB38" s="903"/>
      <c r="AC38" s="903"/>
    </row>
    <row r="39" spans="1:29" s="11" customFormat="1" ht="14.25" customHeight="1" x14ac:dyDescent="0.25">
      <c r="A39" s="28"/>
      <c r="B39" s="821"/>
      <c r="C39" s="1217" t="s">
        <v>450</v>
      </c>
      <c r="D39" s="1219" t="s">
        <v>552</v>
      </c>
      <c r="E39" s="1219"/>
      <c r="F39" s="1219"/>
      <c r="G39" s="1213"/>
      <c r="H39" s="1213"/>
      <c r="I39" s="1213"/>
      <c r="J39" s="1213"/>
      <c r="K39" s="1220"/>
      <c r="L39" s="1226" t="str">
        <f>IF(KAT!F40=0,"ja","nein")</f>
        <v>ja</v>
      </c>
      <c r="M39" s="1213"/>
      <c r="N39" s="1485" t="s">
        <v>451</v>
      </c>
      <c r="O39" s="1223"/>
      <c r="P39" s="1183"/>
      <c r="Q39" s="903"/>
      <c r="R39" s="903"/>
      <c r="S39" s="903"/>
      <c r="T39" s="903"/>
      <c r="U39" s="903"/>
      <c r="V39" s="903"/>
      <c r="W39" s="903"/>
      <c r="X39" s="903"/>
      <c r="Y39" s="903"/>
      <c r="Z39" s="903"/>
      <c r="AA39" s="903"/>
      <c r="AB39" s="903"/>
      <c r="AC39" s="903"/>
    </row>
    <row r="40" spans="1:29" s="11" customFormat="1" ht="14.25" customHeight="1" x14ac:dyDescent="0.25">
      <c r="A40" s="28"/>
      <c r="B40" s="821"/>
      <c r="C40" s="1217"/>
      <c r="D40" s="1219"/>
      <c r="E40" s="1219"/>
      <c r="F40" s="1219"/>
      <c r="G40" s="1213"/>
      <c r="H40" s="1213"/>
      <c r="I40" s="1213"/>
      <c r="J40" s="1213"/>
      <c r="K40" s="1224"/>
      <c r="L40" s="1213"/>
      <c r="M40" s="1213"/>
      <c r="N40" s="1227"/>
      <c r="O40" s="1227"/>
      <c r="P40" s="1183"/>
      <c r="Q40" s="903"/>
      <c r="R40" s="903"/>
      <c r="S40" s="903"/>
      <c r="T40" s="903"/>
      <c r="U40" s="903"/>
      <c r="V40" s="903"/>
      <c r="W40" s="903"/>
      <c r="X40" s="903"/>
      <c r="Y40" s="903"/>
      <c r="Z40" s="903"/>
      <c r="AA40" s="903"/>
      <c r="AB40" s="903"/>
      <c r="AC40" s="903"/>
    </row>
    <row r="41" spans="1:29" s="11" customFormat="1" ht="14.25" customHeight="1" x14ac:dyDescent="0.25">
      <c r="A41" s="28"/>
      <c r="B41" s="1228"/>
      <c r="C41" s="1217" t="s">
        <v>450</v>
      </c>
      <c r="D41" s="1219" t="s">
        <v>553</v>
      </c>
      <c r="E41" s="1219"/>
      <c r="F41" s="1219"/>
      <c r="G41" s="1213"/>
      <c r="H41" s="1213"/>
      <c r="I41" s="1213"/>
      <c r="J41" s="1213"/>
      <c r="K41" s="1220"/>
      <c r="L41" s="1226" t="str">
        <f>IF(KAT!F41=0,"ja","nein")</f>
        <v>ja</v>
      </c>
      <c r="M41" s="1213"/>
      <c r="N41" s="1486" t="s">
        <v>452</v>
      </c>
      <c r="O41" s="1229"/>
      <c r="P41" s="1230"/>
      <c r="Q41" s="903"/>
      <c r="R41" s="903"/>
      <c r="S41" s="903"/>
      <c r="T41" s="903"/>
      <c r="U41" s="903"/>
      <c r="V41" s="903"/>
      <c r="W41" s="903"/>
      <c r="X41" s="903"/>
      <c r="Y41" s="903"/>
      <c r="Z41" s="903"/>
      <c r="AA41" s="903"/>
      <c r="AB41" s="903"/>
      <c r="AC41" s="903"/>
    </row>
    <row r="42" spans="1:29" s="11" customFormat="1" ht="14.25" customHeight="1" x14ac:dyDescent="0.25">
      <c r="A42" s="28"/>
      <c r="B42" s="1228"/>
      <c r="C42" s="1217"/>
      <c r="D42" s="1219"/>
      <c r="E42" s="1219"/>
      <c r="F42" s="1219"/>
      <c r="G42" s="1213"/>
      <c r="H42" s="1213"/>
      <c r="I42" s="1213"/>
      <c r="J42" s="1213"/>
      <c r="K42" s="1213"/>
      <c r="L42" s="1213"/>
      <c r="M42" s="1213"/>
      <c r="N42" s="1231"/>
      <c r="O42" s="1227"/>
      <c r="P42" s="1183"/>
      <c r="Q42" s="903"/>
      <c r="R42" s="903"/>
      <c r="S42" s="903"/>
      <c r="T42" s="903"/>
      <c r="U42" s="903"/>
      <c r="V42" s="903"/>
      <c r="W42" s="903"/>
      <c r="X42" s="903"/>
      <c r="Y42" s="903"/>
      <c r="Z42" s="903"/>
      <c r="AA42" s="903"/>
      <c r="AB42" s="903"/>
      <c r="AC42" s="903"/>
    </row>
    <row r="43" spans="1:29" s="11" customFormat="1" ht="14.25" customHeight="1" x14ac:dyDescent="0.25">
      <c r="A43" s="28"/>
      <c r="B43" s="3"/>
      <c r="C43" s="1217" t="s">
        <v>450</v>
      </c>
      <c r="D43" s="1219" t="s">
        <v>554</v>
      </c>
      <c r="E43" s="1232"/>
      <c r="F43" s="1232"/>
      <c r="G43" s="1232"/>
      <c r="H43" s="1232"/>
      <c r="I43" s="1232"/>
      <c r="J43" s="1232"/>
      <c r="K43" s="1233"/>
      <c r="L43" s="1226" t="str">
        <f>IF(KAT!F42=0,"ja","nein")</f>
        <v>nein</v>
      </c>
      <c r="M43" s="1232"/>
      <c r="N43" s="1484" t="s">
        <v>452</v>
      </c>
      <c r="O43" s="1234"/>
      <c r="P43" s="1184"/>
      <c r="Q43" s="903"/>
      <c r="R43" s="903"/>
      <c r="S43" s="903"/>
      <c r="T43" s="903"/>
      <c r="U43" s="903"/>
      <c r="V43" s="903"/>
      <c r="W43" s="903"/>
      <c r="X43" s="903"/>
      <c r="Y43" s="903"/>
      <c r="Z43" s="903"/>
      <c r="AA43" s="903"/>
      <c r="AB43" s="903"/>
      <c r="AC43" s="903"/>
    </row>
    <row r="44" spans="1:29" s="11" customFormat="1" ht="14.25" customHeight="1" x14ac:dyDescent="0.25">
      <c r="A44" s="28"/>
      <c r="B44" s="3"/>
      <c r="C44" s="1235"/>
      <c r="D44" s="1232"/>
      <c r="E44" s="1232"/>
      <c r="F44" s="1232"/>
      <c r="G44" s="1232"/>
      <c r="H44" s="1232"/>
      <c r="I44" s="1232"/>
      <c r="J44" s="1232"/>
      <c r="K44" s="1233"/>
      <c r="L44" s="1232"/>
      <c r="M44" s="1232"/>
      <c r="N44" s="1234"/>
      <c r="O44" s="1234"/>
      <c r="P44" s="1184"/>
      <c r="Q44" s="903"/>
      <c r="R44" s="903"/>
      <c r="S44" s="903"/>
      <c r="T44" s="903"/>
      <c r="U44" s="903"/>
      <c r="V44" s="903"/>
      <c r="W44" s="903"/>
      <c r="X44" s="903"/>
      <c r="Y44" s="903"/>
      <c r="Z44" s="903"/>
      <c r="AA44" s="903"/>
      <c r="AB44" s="903"/>
      <c r="AC44" s="903"/>
    </row>
    <row r="45" spans="1:29" s="11" customFormat="1" ht="14.25" customHeight="1" x14ac:dyDescent="0.25">
      <c r="A45" s="28"/>
      <c r="B45" s="3"/>
      <c r="C45" s="1217" t="s">
        <v>450</v>
      </c>
      <c r="D45" s="1236" t="s">
        <v>566</v>
      </c>
      <c r="E45" s="1232"/>
      <c r="F45" s="1232"/>
      <c r="G45" s="1232"/>
      <c r="H45" s="1232"/>
      <c r="I45" s="1232"/>
      <c r="J45" s="1232"/>
      <c r="K45" s="1233"/>
      <c r="L45" s="1226" t="str">
        <f>IF(KAT!F43=0,"ja","nein")</f>
        <v>ja</v>
      </c>
      <c r="M45" s="1232"/>
      <c r="N45" s="1484" t="s">
        <v>452</v>
      </c>
      <c r="O45" s="1234"/>
      <c r="P45" s="1184"/>
      <c r="Q45" s="903"/>
      <c r="R45" s="903"/>
      <c r="S45" s="903"/>
      <c r="T45" s="903"/>
      <c r="U45" s="903"/>
      <c r="V45" s="903"/>
      <c r="W45" s="903"/>
      <c r="X45" s="903"/>
      <c r="Y45" s="903"/>
      <c r="Z45" s="903"/>
      <c r="AA45" s="903"/>
      <c r="AB45" s="903"/>
      <c r="AC45" s="903"/>
    </row>
    <row r="46" spans="1:29" s="11" customFormat="1" ht="14.25" customHeight="1" x14ac:dyDescent="0.25">
      <c r="A46" s="28"/>
      <c r="B46" s="3"/>
      <c r="C46" s="1235"/>
      <c r="D46" s="1237" t="s">
        <v>567</v>
      </c>
      <c r="E46" s="1232"/>
      <c r="F46" s="1232"/>
      <c r="G46" s="1232"/>
      <c r="H46" s="1232"/>
      <c r="I46" s="1232"/>
      <c r="J46" s="1232"/>
      <c r="K46" s="1233"/>
      <c r="L46" s="1232"/>
      <c r="M46" s="1232"/>
      <c r="N46" s="1234"/>
      <c r="O46" s="1234"/>
      <c r="P46" s="1184"/>
      <c r="Q46" s="903"/>
      <c r="R46" s="903"/>
      <c r="S46" s="903"/>
      <c r="T46" s="903"/>
      <c r="U46" s="903"/>
      <c r="V46" s="903"/>
      <c r="W46" s="903"/>
      <c r="X46" s="903"/>
      <c r="Y46" s="903"/>
      <c r="Z46" s="903"/>
      <c r="AA46" s="903"/>
      <c r="AB46" s="903"/>
      <c r="AC46" s="903"/>
    </row>
    <row r="47" spans="1:29" s="11" customFormat="1" ht="14.25" customHeight="1" x14ac:dyDescent="0.25">
      <c r="A47" s="28"/>
      <c r="B47" s="3"/>
      <c r="C47" s="1235"/>
      <c r="D47" s="1237"/>
      <c r="E47" s="1232"/>
      <c r="F47" s="1232"/>
      <c r="G47" s="1232"/>
      <c r="H47" s="1232"/>
      <c r="I47" s="1232"/>
      <c r="J47" s="1232"/>
      <c r="K47" s="1233"/>
      <c r="L47" s="1232"/>
      <c r="M47" s="1232"/>
      <c r="N47" s="1238"/>
      <c r="O47" s="1238"/>
      <c r="P47" s="1179"/>
      <c r="Q47" s="903"/>
      <c r="R47" s="903"/>
      <c r="S47" s="903"/>
      <c r="T47" s="903"/>
      <c r="U47" s="903"/>
      <c r="V47" s="903"/>
      <c r="W47" s="903"/>
      <c r="X47" s="903"/>
      <c r="Y47" s="903"/>
      <c r="Z47" s="903"/>
      <c r="AA47" s="903"/>
      <c r="AB47" s="903"/>
      <c r="AC47" s="903"/>
    </row>
    <row r="48" spans="1:29" s="11" customFormat="1" ht="14.25" customHeight="1" x14ac:dyDescent="0.25">
      <c r="A48" s="28"/>
      <c r="B48" s="3"/>
      <c r="C48" s="1217" t="s">
        <v>450</v>
      </c>
      <c r="D48" s="1225" t="s">
        <v>555</v>
      </c>
      <c r="E48" s="1239"/>
      <c r="F48" s="1239"/>
      <c r="G48" s="1232"/>
      <c r="H48" s="1232"/>
      <c r="I48" s="1232"/>
      <c r="J48" s="1232"/>
      <c r="K48" s="1233"/>
      <c r="L48" s="1226" t="str">
        <f>IF(KAT!F44=0,"ja","nein")</f>
        <v>nein</v>
      </c>
      <c r="M48" s="1240"/>
      <c r="N48" s="1840" t="s">
        <v>565</v>
      </c>
      <c r="O48" s="1840"/>
      <c r="P48" s="1841"/>
      <c r="Q48" s="903"/>
      <c r="R48" s="903"/>
      <c r="S48" s="903"/>
      <c r="T48" s="903"/>
      <c r="U48" s="903"/>
      <c r="V48" s="903"/>
      <c r="W48" s="903"/>
      <c r="X48" s="903"/>
      <c r="Y48" s="903"/>
      <c r="Z48" s="903"/>
      <c r="AA48" s="903"/>
      <c r="AB48" s="903"/>
      <c r="AC48" s="903"/>
    </row>
    <row r="49" spans="1:29" s="11" customFormat="1" ht="14.25" customHeight="1" x14ac:dyDescent="0.25">
      <c r="A49" s="28"/>
      <c r="B49" s="3"/>
      <c r="C49" s="1217"/>
      <c r="D49" s="1219"/>
      <c r="E49" s="1225"/>
      <c r="F49" s="1225"/>
      <c r="G49" s="1241"/>
      <c r="H49" s="1240"/>
      <c r="I49" s="1240"/>
      <c r="J49" s="1242"/>
      <c r="K49" s="1243"/>
      <c r="L49" s="1242"/>
      <c r="M49" s="1240"/>
      <c r="N49" s="1238"/>
      <c r="O49" s="1238"/>
      <c r="P49" s="1179"/>
      <c r="Q49" s="903"/>
      <c r="R49" s="903"/>
      <c r="S49" s="903"/>
      <c r="T49" s="903"/>
      <c r="U49" s="903"/>
      <c r="V49" s="903"/>
      <c r="W49" s="903"/>
      <c r="X49" s="903"/>
      <c r="Y49" s="903"/>
      <c r="Z49" s="903"/>
      <c r="AA49" s="903"/>
      <c r="AB49" s="903"/>
      <c r="AC49" s="903"/>
    </row>
    <row r="50" spans="1:29" s="11" customFormat="1" ht="14.25" customHeight="1" x14ac:dyDescent="0.25">
      <c r="A50" s="28"/>
      <c r="B50" s="3"/>
      <c r="C50" s="1217" t="s">
        <v>450</v>
      </c>
      <c r="D50" s="1219" t="s">
        <v>556</v>
      </c>
      <c r="E50" s="1244"/>
      <c r="F50" s="1244"/>
      <c r="G50" s="1220"/>
      <c r="H50" s="1220"/>
      <c r="I50" s="1220"/>
      <c r="J50" s="1220"/>
      <c r="K50" s="1220"/>
      <c r="L50" s="1226" t="str">
        <f>IF(KAT!F45=0,"ja","nein")</f>
        <v>ja</v>
      </c>
      <c r="M50" s="1232"/>
      <c r="N50" s="1840" t="s">
        <v>453</v>
      </c>
      <c r="O50" s="1840"/>
      <c r="P50" s="1841"/>
      <c r="Q50" s="903"/>
      <c r="R50" s="903"/>
      <c r="S50" s="903"/>
      <c r="T50" s="903"/>
      <c r="U50" s="903"/>
      <c r="V50" s="903"/>
      <c r="W50" s="903"/>
      <c r="X50" s="903"/>
      <c r="Y50" s="903"/>
      <c r="Z50" s="903"/>
      <c r="AA50" s="903"/>
      <c r="AB50" s="903"/>
      <c r="AC50" s="903"/>
    </row>
    <row r="51" spans="1:29" s="11" customFormat="1" ht="14.25" customHeight="1" x14ac:dyDescent="0.25">
      <c r="A51" s="28"/>
      <c r="B51" s="3"/>
      <c r="C51" s="1232"/>
      <c r="D51" s="1239"/>
      <c r="E51" s="1239"/>
      <c r="F51" s="1239"/>
      <c r="G51" s="1232"/>
      <c r="H51" s="1232"/>
      <c r="I51" s="1232"/>
      <c r="J51" s="1232"/>
      <c r="K51" s="1233"/>
      <c r="L51" s="1213"/>
      <c r="M51" s="1232"/>
      <c r="N51" s="1238"/>
      <c r="O51" s="1238"/>
      <c r="P51" s="1179"/>
      <c r="Q51" s="903"/>
      <c r="R51" s="903"/>
      <c r="S51" s="903"/>
      <c r="T51" s="903"/>
      <c r="U51" s="903"/>
      <c r="V51" s="903"/>
      <c r="W51" s="903"/>
      <c r="X51" s="903"/>
      <c r="Y51" s="903"/>
      <c r="Z51" s="903"/>
      <c r="AA51" s="903"/>
      <c r="AB51" s="903"/>
      <c r="AC51" s="903"/>
    </row>
    <row r="52" spans="1:29" s="11" customFormat="1" ht="14.25" customHeight="1" x14ac:dyDescent="0.25">
      <c r="A52" s="28"/>
      <c r="B52" s="3"/>
      <c r="C52" s="1217" t="s">
        <v>450</v>
      </c>
      <c r="D52" s="1245" t="s">
        <v>557</v>
      </c>
      <c r="E52" s="1232"/>
      <c r="F52" s="1232"/>
      <c r="G52" s="1232"/>
      <c r="H52" s="1232"/>
      <c r="I52" s="1232"/>
      <c r="J52" s="1232"/>
      <c r="K52" s="1233"/>
      <c r="L52" s="1226" t="str">
        <f>IF(KAT!F46=0,"ja","nein")</f>
        <v>ja</v>
      </c>
      <c r="M52" s="1232"/>
      <c r="N52" s="1840" t="s">
        <v>116</v>
      </c>
      <c r="O52" s="1840"/>
      <c r="P52" s="1841"/>
      <c r="Q52" s="903"/>
      <c r="R52" s="903"/>
      <c r="S52" s="903"/>
      <c r="T52" s="903"/>
      <c r="U52" s="903"/>
      <c r="V52" s="903"/>
      <c r="W52" s="903"/>
      <c r="X52" s="903"/>
      <c r="Y52" s="903"/>
      <c r="Z52" s="903"/>
      <c r="AA52" s="903"/>
      <c r="AB52" s="903"/>
      <c r="AC52" s="903"/>
    </row>
    <row r="53" spans="1:29" s="11" customFormat="1" ht="14.25" customHeight="1" x14ac:dyDescent="0.25">
      <c r="A53" s="28"/>
      <c r="B53" s="3"/>
      <c r="C53" s="1213"/>
      <c r="D53" s="1213"/>
      <c r="E53" s="1213"/>
      <c r="F53" s="1213"/>
      <c r="G53" s="1213"/>
      <c r="H53" s="1213"/>
      <c r="I53" s="1213"/>
      <c r="J53" s="1213"/>
      <c r="K53" s="1213"/>
      <c r="L53" s="1213"/>
      <c r="M53" s="1213"/>
      <c r="N53" s="1240"/>
      <c r="O53" s="1240"/>
      <c r="P53" s="1178"/>
      <c r="Q53" s="903"/>
      <c r="R53" s="903"/>
      <c r="S53" s="903"/>
      <c r="T53" s="903"/>
      <c r="U53" s="903"/>
      <c r="V53" s="903"/>
      <c r="W53" s="903"/>
      <c r="X53" s="903"/>
      <c r="Y53" s="903"/>
      <c r="Z53" s="903"/>
      <c r="AA53" s="903"/>
      <c r="AB53" s="903"/>
      <c r="AC53" s="903"/>
    </row>
    <row r="54" spans="1:29" s="11" customFormat="1" ht="14.25" customHeight="1" x14ac:dyDescent="0.25">
      <c r="A54" s="28"/>
      <c r="B54" s="3"/>
      <c r="C54" s="1217" t="s">
        <v>450</v>
      </c>
      <c r="D54" s="1213" t="s">
        <v>558</v>
      </c>
      <c r="E54" s="1213"/>
      <c r="F54" s="1213"/>
      <c r="G54" s="1213"/>
      <c r="H54" s="1213"/>
      <c r="I54" s="1213"/>
      <c r="J54" s="1213"/>
      <c r="K54" s="1213"/>
      <c r="L54" s="1226" t="str">
        <f>IF(KAT!F47=0,"ja","nein")</f>
        <v>ja</v>
      </c>
      <c r="M54" s="1213"/>
      <c r="N54" s="1484" t="s">
        <v>452</v>
      </c>
      <c r="O54" s="1213"/>
      <c r="P54" s="932"/>
      <c r="Q54" s="903"/>
      <c r="R54" s="903"/>
      <c r="S54" s="903"/>
      <c r="T54" s="903"/>
      <c r="U54" s="903"/>
      <c r="V54" s="903"/>
      <c r="W54" s="903"/>
      <c r="X54" s="903"/>
      <c r="Y54" s="903"/>
      <c r="Z54" s="903"/>
      <c r="AA54" s="903"/>
      <c r="AB54" s="903"/>
      <c r="AC54" s="903"/>
    </row>
    <row r="55" spans="1:29" s="11" customFormat="1" ht="14.25" customHeight="1" x14ac:dyDescent="0.25">
      <c r="A55" s="28"/>
      <c r="B55" s="3"/>
      <c r="C55" s="1213"/>
      <c r="D55" s="1213"/>
      <c r="E55" s="1213"/>
      <c r="F55" s="1213"/>
      <c r="G55" s="1213"/>
      <c r="H55" s="1213"/>
      <c r="I55" s="1213"/>
      <c r="J55" s="1213"/>
      <c r="K55" s="1213"/>
      <c r="L55" s="1213"/>
      <c r="M55" s="1213"/>
      <c r="N55" s="1213"/>
      <c r="O55" s="1213"/>
      <c r="P55" s="932"/>
      <c r="Q55" s="903"/>
      <c r="R55" s="903"/>
      <c r="S55" s="903"/>
      <c r="T55" s="903"/>
      <c r="U55" s="903"/>
      <c r="V55" s="903"/>
      <c r="W55" s="903"/>
      <c r="X55" s="903"/>
      <c r="Y55" s="903"/>
      <c r="Z55" s="903"/>
      <c r="AA55" s="903"/>
      <c r="AB55" s="903"/>
      <c r="AC55" s="903"/>
    </row>
    <row r="56" spans="1:29" s="11" customFormat="1" ht="14.25" customHeight="1" x14ac:dyDescent="0.25">
      <c r="A56" s="28"/>
      <c r="B56" s="3"/>
      <c r="C56" s="1246" t="s">
        <v>454</v>
      </c>
      <c r="D56" s="1232"/>
      <c r="E56" s="1232"/>
      <c r="F56" s="1232"/>
      <c r="G56" s="1232"/>
      <c r="H56" s="1232"/>
      <c r="I56" s="1232"/>
      <c r="J56" s="1232"/>
      <c r="K56" s="1233"/>
      <c r="L56" s="1232"/>
      <c r="M56" s="1232"/>
      <c r="N56" s="1232"/>
      <c r="O56" s="1232"/>
      <c r="P56" s="933"/>
      <c r="Q56" s="903"/>
      <c r="R56" s="903"/>
      <c r="S56" s="903"/>
      <c r="T56" s="903"/>
      <c r="U56" s="903"/>
      <c r="V56" s="903"/>
      <c r="W56" s="903"/>
      <c r="X56" s="903"/>
      <c r="Y56" s="903"/>
      <c r="Z56" s="903"/>
      <c r="AA56" s="903"/>
      <c r="AB56" s="903"/>
      <c r="AC56" s="903"/>
    </row>
    <row r="57" spans="1:29" s="11" customFormat="1" ht="14.25" customHeight="1" x14ac:dyDescent="0.25">
      <c r="A57" s="28"/>
      <c r="B57" s="3"/>
      <c r="C57" s="1246" t="s">
        <v>455</v>
      </c>
      <c r="D57" s="1232"/>
      <c r="E57" s="1232"/>
      <c r="F57" s="1232"/>
      <c r="G57" s="1232"/>
      <c r="H57" s="1232"/>
      <c r="I57" s="1232"/>
      <c r="J57" s="1232"/>
      <c r="K57" s="1233"/>
      <c r="L57" s="1232"/>
      <c r="M57" s="1232"/>
      <c r="N57" s="1232"/>
      <c r="O57" s="1232"/>
      <c r="P57" s="933"/>
      <c r="Q57" s="903"/>
      <c r="R57" s="903"/>
      <c r="S57" s="903"/>
      <c r="T57" s="903"/>
      <c r="U57" s="903"/>
      <c r="V57" s="903"/>
      <c r="W57" s="903"/>
      <c r="X57" s="903"/>
      <c r="Y57" s="903"/>
      <c r="Z57" s="903"/>
      <c r="AA57" s="903"/>
      <c r="AB57" s="903"/>
      <c r="AC57" s="903"/>
    </row>
    <row r="58" spans="1:29" s="11" customFormat="1" ht="14.25" customHeight="1" x14ac:dyDescent="0.25">
      <c r="A58" s="28"/>
      <c r="B58" s="3"/>
      <c r="C58" s="1246" t="s">
        <v>456</v>
      </c>
      <c r="D58" s="1232"/>
      <c r="E58" s="1232"/>
      <c r="F58" s="1232"/>
      <c r="G58" s="1232"/>
      <c r="H58" s="1232"/>
      <c r="I58" s="1232"/>
      <c r="J58" s="1232"/>
      <c r="K58" s="1233"/>
      <c r="L58" s="1232"/>
      <c r="M58" s="1232"/>
      <c r="N58" s="1232"/>
      <c r="O58" s="1232"/>
      <c r="P58" s="933"/>
      <c r="Q58" s="903"/>
      <c r="R58" s="903"/>
      <c r="S58" s="903"/>
      <c r="T58" s="903"/>
      <c r="U58" s="903"/>
      <c r="V58" s="903"/>
      <c r="W58" s="903"/>
      <c r="X58" s="903"/>
      <c r="Y58" s="903"/>
      <c r="Z58" s="903"/>
      <c r="AA58" s="903"/>
      <c r="AB58" s="903"/>
      <c r="AC58" s="903"/>
    </row>
    <row r="59" spans="1:29" s="11" customFormat="1" ht="14.25" customHeight="1" x14ac:dyDescent="0.25">
      <c r="A59" s="28"/>
      <c r="B59" s="3"/>
      <c r="C59" s="1232"/>
      <c r="D59" s="1232"/>
      <c r="E59" s="1232"/>
      <c r="F59" s="1232"/>
      <c r="G59" s="1232"/>
      <c r="H59" s="1232"/>
      <c r="I59" s="1232"/>
      <c r="J59" s="1232"/>
      <c r="K59" s="1233"/>
      <c r="L59" s="1232"/>
      <c r="M59" s="1232"/>
      <c r="N59" s="1232"/>
      <c r="O59" s="1232"/>
      <c r="P59" s="933"/>
      <c r="Q59" s="903"/>
      <c r="R59" s="903"/>
      <c r="S59" s="903"/>
      <c r="T59" s="903"/>
      <c r="U59" s="903"/>
      <c r="V59" s="903"/>
      <c r="W59" s="903"/>
      <c r="X59" s="903"/>
      <c r="Y59" s="903"/>
      <c r="Z59" s="903"/>
      <c r="AA59" s="903"/>
      <c r="AB59" s="903"/>
      <c r="AC59" s="903"/>
    </row>
    <row r="60" spans="1:29" s="11" customFormat="1" ht="14.25" customHeight="1" x14ac:dyDescent="0.25">
      <c r="A60" s="28"/>
      <c r="C60" s="1247"/>
      <c r="K60" s="61"/>
      <c r="L60" s="61"/>
      <c r="N60" s="905"/>
      <c r="O60" s="905"/>
      <c r="P60" s="1209"/>
      <c r="Q60" s="903"/>
      <c r="R60" s="903"/>
      <c r="S60" s="903"/>
      <c r="T60" s="903"/>
      <c r="U60" s="903"/>
      <c r="V60" s="903"/>
      <c r="W60" s="903"/>
      <c r="X60" s="903"/>
      <c r="Y60" s="903"/>
      <c r="Z60" s="903"/>
      <c r="AA60" s="903"/>
      <c r="AB60" s="903"/>
      <c r="AC60" s="903"/>
    </row>
    <row r="61" spans="1:29" s="11" customFormat="1" ht="14.25" customHeight="1" x14ac:dyDescent="0.25">
      <c r="A61" s="28"/>
      <c r="B61" s="1187"/>
      <c r="D61" s="117"/>
      <c r="E61" s="118"/>
      <c r="F61" s="118"/>
      <c r="G61" s="119"/>
      <c r="N61" s="905"/>
      <c r="O61" s="905"/>
      <c r="P61" s="1209"/>
      <c r="Q61" s="903"/>
      <c r="R61" s="903"/>
      <c r="S61" s="903"/>
      <c r="T61" s="903"/>
      <c r="U61" s="903"/>
      <c r="V61" s="903"/>
      <c r="W61" s="903"/>
      <c r="X61" s="903"/>
      <c r="Y61" s="903"/>
      <c r="Z61" s="903"/>
      <c r="AA61" s="903"/>
      <c r="AB61" s="903"/>
      <c r="AC61" s="903"/>
    </row>
    <row r="62" spans="1:29" s="11" customFormat="1" ht="14.25" customHeight="1" x14ac:dyDescent="0.25">
      <c r="A62" s="28"/>
      <c r="D62" s="1848"/>
      <c r="E62" s="1849"/>
      <c r="F62" s="1849"/>
      <c r="G62" s="1850"/>
      <c r="J62" s="108"/>
      <c r="K62" s="61"/>
      <c r="L62" s="61"/>
      <c r="N62" s="902"/>
      <c r="O62" s="903"/>
      <c r="P62" s="1209"/>
      <c r="Q62" s="903"/>
      <c r="R62" s="903"/>
      <c r="S62" s="903"/>
      <c r="T62" s="903"/>
      <c r="U62" s="903"/>
      <c r="V62" s="903"/>
      <c r="W62" s="903"/>
      <c r="X62" s="903"/>
      <c r="Y62" s="911"/>
      <c r="Z62" s="903"/>
      <c r="AA62" s="903"/>
      <c r="AB62" s="903"/>
      <c r="AC62" s="903"/>
    </row>
    <row r="63" spans="1:29" s="11" customFormat="1" ht="12.75" customHeight="1" x14ac:dyDescent="0.25">
      <c r="A63" s="28"/>
      <c r="B63" s="109"/>
      <c r="N63" s="903"/>
      <c r="O63" s="903"/>
      <c r="P63" s="1209"/>
      <c r="Q63" s="903"/>
      <c r="R63" s="903"/>
      <c r="S63" s="903"/>
      <c r="T63" s="903"/>
      <c r="U63" s="903"/>
      <c r="V63" s="903"/>
      <c r="W63" s="903"/>
      <c r="X63" s="903"/>
      <c r="Y63" s="903"/>
      <c r="Z63" s="903"/>
      <c r="AA63" s="903"/>
      <c r="AB63" s="903"/>
      <c r="AC63" s="903"/>
    </row>
    <row r="64" spans="1:29" s="11" customFormat="1" ht="14.25" customHeight="1" x14ac:dyDescent="0.25">
      <c r="A64" s="28"/>
      <c r="B64" s="1248"/>
      <c r="C64" s="71"/>
      <c r="D64" s="71"/>
      <c r="E64" s="71"/>
      <c r="F64" s="71"/>
      <c r="G64" s="71"/>
      <c r="H64" s="71"/>
      <c r="I64" s="71"/>
      <c r="J64" s="71"/>
      <c r="K64" s="71"/>
      <c r="L64" s="71"/>
      <c r="N64" s="903"/>
      <c r="O64" s="903"/>
      <c r="P64" s="1209"/>
      <c r="Q64" s="905"/>
      <c r="R64" s="905"/>
      <c r="S64" s="903"/>
      <c r="T64" s="903"/>
      <c r="U64" s="903"/>
      <c r="V64" s="903"/>
      <c r="W64" s="903"/>
      <c r="X64" s="903"/>
      <c r="Y64" s="903"/>
      <c r="Z64" s="903"/>
      <c r="AA64" s="903"/>
      <c r="AB64" s="903"/>
      <c r="AC64" s="903"/>
    </row>
    <row r="65" spans="1:29" s="11" customFormat="1" ht="13.2" x14ac:dyDescent="0.25">
      <c r="A65" s="28"/>
      <c r="B65" s="16" t="s">
        <v>97</v>
      </c>
      <c r="C65" s="71"/>
      <c r="D65" s="71"/>
      <c r="E65" s="1249"/>
      <c r="F65" s="71"/>
      <c r="G65" s="71"/>
      <c r="H65" s="1250"/>
      <c r="I65" s="1250"/>
      <c r="J65" s="71"/>
      <c r="K65" s="71"/>
      <c r="L65" s="71"/>
      <c r="N65" s="903"/>
      <c r="O65" s="903"/>
      <c r="P65" s="1209"/>
      <c r="Q65" s="903"/>
      <c r="R65" s="903"/>
      <c r="S65" s="903"/>
      <c r="T65" s="903"/>
      <c r="U65" s="902"/>
      <c r="V65" s="903"/>
      <c r="W65" s="905"/>
      <c r="X65" s="903"/>
      <c r="Y65" s="903"/>
      <c r="Z65" s="903"/>
      <c r="AA65" s="903"/>
      <c r="AB65" s="903"/>
      <c r="AC65" s="903"/>
    </row>
    <row r="66" spans="1:29" s="11" customFormat="1" ht="13.2" x14ac:dyDescent="0.25">
      <c r="A66" s="28"/>
      <c r="B66" s="16"/>
      <c r="C66" s="71"/>
      <c r="D66" s="71"/>
      <c r="E66" s="1249"/>
      <c r="F66" s="71"/>
      <c r="G66" s="71"/>
      <c r="H66" s="1250"/>
      <c r="I66" s="1250"/>
      <c r="J66" s="71"/>
      <c r="K66" s="71"/>
      <c r="L66" s="71"/>
      <c r="N66" s="903"/>
      <c r="O66" s="903"/>
      <c r="P66" s="1209"/>
      <c r="Q66" s="903"/>
      <c r="R66" s="903"/>
      <c r="S66" s="903"/>
      <c r="T66" s="903"/>
      <c r="U66" s="902"/>
      <c r="V66" s="903"/>
      <c r="W66" s="905"/>
      <c r="X66" s="903"/>
      <c r="Y66" s="903"/>
      <c r="Z66" s="903"/>
      <c r="AA66" s="903"/>
      <c r="AB66" s="903"/>
      <c r="AC66" s="903"/>
    </row>
    <row r="67" spans="1:29" s="11" customFormat="1" ht="13.2" x14ac:dyDescent="0.25">
      <c r="A67" s="28"/>
      <c r="B67" s="16"/>
      <c r="C67" s="71"/>
      <c r="D67" s="71"/>
      <c r="E67" s="1249"/>
      <c r="F67" s="71"/>
      <c r="G67" s="71"/>
      <c r="H67" s="1250"/>
      <c r="I67" s="1250"/>
      <c r="J67" s="71"/>
      <c r="K67" s="71"/>
      <c r="L67" s="71"/>
      <c r="N67" s="903"/>
      <c r="O67" s="903"/>
      <c r="P67" s="1209"/>
      <c r="Q67" s="903"/>
      <c r="R67" s="903"/>
      <c r="S67" s="903"/>
      <c r="T67" s="903"/>
      <c r="U67" s="902"/>
      <c r="V67" s="903"/>
      <c r="W67" s="905"/>
      <c r="X67" s="903"/>
      <c r="Y67" s="903"/>
      <c r="Z67" s="903"/>
      <c r="AA67" s="903"/>
      <c r="AB67" s="903"/>
      <c r="AC67" s="903"/>
    </row>
    <row r="68" spans="1:29" s="11" customFormat="1" ht="13.2" x14ac:dyDescent="0.25">
      <c r="A68" s="28"/>
      <c r="B68" s="16"/>
      <c r="C68" s="71"/>
      <c r="D68" s="71"/>
      <c r="E68" s="1249"/>
      <c r="F68" s="71"/>
      <c r="G68" s="71"/>
      <c r="H68" s="1250"/>
      <c r="I68" s="1250"/>
      <c r="J68" s="71"/>
      <c r="K68" s="71"/>
      <c r="L68" s="71"/>
      <c r="N68" s="903"/>
      <c r="O68" s="903"/>
      <c r="P68" s="1209"/>
      <c r="Q68" s="903"/>
      <c r="R68" s="903"/>
      <c r="S68" s="903"/>
      <c r="T68" s="903"/>
      <c r="U68" s="902"/>
      <c r="V68" s="903"/>
      <c r="W68" s="905"/>
      <c r="X68" s="903"/>
      <c r="Y68" s="903"/>
      <c r="Z68" s="903"/>
      <c r="AA68" s="903"/>
      <c r="AB68" s="903"/>
      <c r="AC68" s="903"/>
    </row>
    <row r="69" spans="1:29" s="11" customFormat="1" ht="13.2" x14ac:dyDescent="0.25">
      <c r="A69" s="28"/>
      <c r="N69" s="903"/>
      <c r="O69" s="903"/>
      <c r="P69" s="1209"/>
      <c r="Q69" s="903"/>
      <c r="R69" s="903"/>
      <c r="S69" s="903"/>
      <c r="T69" s="903"/>
      <c r="U69" s="902"/>
      <c r="V69" s="903"/>
      <c r="W69" s="905"/>
      <c r="X69" s="903"/>
      <c r="Y69" s="903"/>
      <c r="Z69" s="903"/>
      <c r="AA69" s="903"/>
      <c r="AB69" s="903"/>
      <c r="AC69" s="903"/>
    </row>
    <row r="70" spans="1:29" s="11" customFormat="1" x14ac:dyDescent="0.25">
      <c r="A70" s="28"/>
      <c r="B70" s="1844"/>
      <c r="C70" s="1845"/>
      <c r="D70" s="1845"/>
      <c r="F70" s="1844"/>
      <c r="G70" s="1844"/>
      <c r="H70" s="1844"/>
      <c r="I70" s="1844"/>
      <c r="J70" s="1844"/>
      <c r="K70" s="1844"/>
      <c r="N70" s="903"/>
      <c r="O70" s="903"/>
      <c r="P70" s="1209"/>
      <c r="Q70" s="903"/>
      <c r="R70" s="903"/>
      <c r="S70" s="903"/>
      <c r="T70" s="903"/>
      <c r="U70" s="903"/>
      <c r="V70" s="903"/>
      <c r="W70" s="903"/>
      <c r="X70" s="903"/>
      <c r="Y70" s="903"/>
      <c r="Z70" s="903"/>
      <c r="AA70" s="903"/>
      <c r="AB70" s="903"/>
      <c r="AC70" s="903"/>
    </row>
    <row r="71" spans="1:29" ht="10.5" customHeight="1" x14ac:dyDescent="0.25">
      <c r="A71" s="2"/>
      <c r="B71" s="13" t="s">
        <v>148</v>
      </c>
      <c r="C71" s="13"/>
      <c r="D71" s="13"/>
      <c r="F71" s="13" t="s">
        <v>98</v>
      </c>
      <c r="G71" s="13"/>
      <c r="H71" s="13"/>
      <c r="L71" s="11"/>
      <c r="N71" s="907"/>
      <c r="O71" s="907"/>
      <c r="P71" s="1251"/>
      <c r="Q71" s="903"/>
      <c r="R71" s="903"/>
      <c r="S71" s="903"/>
      <c r="T71" s="903"/>
      <c r="U71" s="903"/>
      <c r="V71" s="903"/>
      <c r="W71" s="907"/>
      <c r="X71" s="907"/>
      <c r="Y71" s="903"/>
      <c r="Z71" s="907"/>
      <c r="AA71" s="907"/>
      <c r="AB71" s="907"/>
      <c r="AC71" s="907"/>
    </row>
    <row r="72" spans="1:29" x14ac:dyDescent="0.25">
      <c r="A72" s="41"/>
      <c r="B72" s="42"/>
      <c r="C72" s="42"/>
      <c r="D72" s="42"/>
      <c r="E72" s="42"/>
      <c r="F72" s="42"/>
      <c r="G72" s="42"/>
      <c r="H72" s="42"/>
      <c r="I72" s="42"/>
      <c r="J72" s="42"/>
      <c r="K72" s="42"/>
      <c r="L72" s="42"/>
      <c r="M72" s="895"/>
      <c r="N72" s="1252"/>
      <c r="O72" s="1252"/>
      <c r="P72" s="1253"/>
      <c r="Q72" s="908"/>
      <c r="R72" s="908"/>
      <c r="S72" s="908"/>
      <c r="T72" s="908"/>
      <c r="U72" s="908"/>
      <c r="V72" s="908"/>
      <c r="Y72" s="908"/>
    </row>
    <row r="73" spans="1:29" ht="14.4" thickBot="1" x14ac:dyDescent="0.3">
      <c r="N73" s="908"/>
      <c r="W73" s="908"/>
      <c r="Y73" s="908"/>
    </row>
    <row r="74" spans="1:29" ht="14.4" thickBot="1" x14ac:dyDescent="0.3">
      <c r="C74" s="1633" t="s">
        <v>159</v>
      </c>
      <c r="D74" s="1634"/>
      <c r="E74" s="1634"/>
      <c r="F74" s="1634"/>
      <c r="G74" s="1634"/>
      <c r="H74" s="1634"/>
      <c r="I74" s="1635"/>
      <c r="N74" s="908"/>
      <c r="O74" s="908"/>
      <c r="P74" s="908"/>
      <c r="Q74" s="908"/>
      <c r="R74" s="908"/>
      <c r="S74" s="908"/>
      <c r="T74" s="908"/>
      <c r="U74" s="908"/>
      <c r="V74" s="908"/>
      <c r="W74" s="908"/>
      <c r="Y74" s="908"/>
    </row>
    <row r="75" spans="1:29" x14ac:dyDescent="0.25">
      <c r="I75" s="1576"/>
      <c r="N75" s="908"/>
      <c r="O75" s="908"/>
      <c r="P75" s="908"/>
      <c r="Q75" s="908"/>
      <c r="R75" s="908"/>
      <c r="S75" s="908"/>
      <c r="T75" s="908"/>
      <c r="U75" s="908"/>
      <c r="V75" s="908"/>
      <c r="W75" s="908"/>
      <c r="Y75" s="908"/>
    </row>
  </sheetData>
  <sheetProtection algorithmName="SHA-512" hashValue="rSSGhZjFxxsO/YqDZJtOi6IToW9jHgnorafQWhVt/dKwQNnHkaIqeYlVdnWFbA468zgTxpttsDLSEvy6yNf4Rg==" saltValue="c7a8lF/Jy14gXvoY3GYF+w==" spinCount="100000" sheet="1" selectLockedCells="1"/>
  <customSheetViews>
    <customSheetView guid="{CDDBAA41-0D3E-44AF-A85A-332C81A5DAE4}" showGridLines="0" fitToPage="1" hiddenColumns="1">
      <pane ySplit="4" topLeftCell="A5" activePane="bottomLeft" state="frozen"/>
      <selection pane="bottomLeft" activeCell="J17" sqref="J17"/>
      <pageMargins left="0.70866141732283472" right="0.70866141732283472" top="0.78740157480314965" bottom="0.78740157480314965" header="0.31496062992125984" footer="0.31496062992125984"/>
      <pageSetup paperSize="9" scale="82" orientation="portrait"/>
      <headerFooter>
        <oddHeader>&amp;C&amp;9Seite 5</oddHeader>
        <oddFooter>&amp;C&amp;8Verhandlungsunterlagen SGB XI&amp;R&amp;8Version Kostenträger Stand: 29.11.2018</oddFooter>
      </headerFooter>
    </customSheetView>
  </customSheetViews>
  <mergeCells count="16">
    <mergeCell ref="K6:M6"/>
    <mergeCell ref="A1:P1"/>
    <mergeCell ref="A2:P2"/>
    <mergeCell ref="A3:P3"/>
    <mergeCell ref="A4:P4"/>
    <mergeCell ref="N52:P52"/>
    <mergeCell ref="Q15:Q16"/>
    <mergeCell ref="Q12:Q13"/>
    <mergeCell ref="C74:I74"/>
    <mergeCell ref="F70:K70"/>
    <mergeCell ref="B70:D70"/>
    <mergeCell ref="N32:O32"/>
    <mergeCell ref="N37:P37"/>
    <mergeCell ref="N48:P48"/>
    <mergeCell ref="N50:P50"/>
    <mergeCell ref="D62:G62"/>
  </mergeCells>
  <conditionalFormatting sqref="L22">
    <cfRule type="containsText" dxfId="64" priority="74" operator="containsText" text="FALSCH">
      <formula>NOT(ISERROR(SEARCH("FALSCH",L22)))</formula>
    </cfRule>
  </conditionalFormatting>
  <dataValidations disablePrompts="1" count="1">
    <dataValidation type="whole" errorStyle="information" allowBlank="1" showErrorMessage="1" error="ganze Zahl eingeben" sqref="J18" xr:uid="{00000000-0002-0000-0800-000000000000}">
      <formula1>0</formula1>
      <formula2>20</formula2>
    </dataValidation>
  </dataValidations>
  <hyperlinks>
    <hyperlink ref="C74" location="'Anlage 1'!A1" display="Anlage 1" xr:uid="{00000000-0004-0000-0800-000000000000}"/>
    <hyperlink ref="C74:I74" location="Gesamtkalkulation!A1" display="gehe weiter zu B_Gesamtkalkulation" xr:uid="{00000000-0004-0000-0800-000001000000}"/>
    <hyperlink ref="N35:P35" location="'Allgemeine Angaben'!H44" display="'Allgemeine Angaben'!" xr:uid="{ED7F433C-CDE7-437D-B3DD-F09D91A8E0C7}"/>
    <hyperlink ref="N35" location="'Allgemeine Angaben'!H44" display="Allgemeine Angaben" xr:uid="{9776E280-D656-4802-BA1E-CE34AB0D159E}"/>
    <hyperlink ref="N37:P37" location="'Belegung_wö. Arbeitszeit'!C24" display="Belegung_wö. Arbeitszeit" xr:uid="{F2811999-7AAC-4C73-B933-8B2F8A8A8C5A}"/>
    <hyperlink ref="N39" location="'Belegung_wö. Arbeitszeit'!D24" display="'Belegung_wö. Arbeitszeit" xr:uid="{A01DB0FA-0166-403B-B22E-C200063899AD}"/>
    <hyperlink ref="N41:P41" location="Personalkostenaufstellung!A27" display="Personalkostenaufstellung" xr:uid="{D2815DD1-2A6F-48D8-AFB5-A3E7775CF626}"/>
    <hyperlink ref="N43" location="Personalkostenaufstellung!H27" display="Personalkostenaufstellung" xr:uid="{1A13052B-FA6B-4D89-9E2D-AFB13436D008}"/>
    <hyperlink ref="N48:P48" location="Personalaufwendungen!H24" display="Personalkostenaufwendungen" xr:uid="{174F8389-EE1F-4507-A83B-73D01F6110EA}"/>
    <hyperlink ref="N50:P50" location="Personalaufwendungen!G12" display="Personalaufwendungen" xr:uid="{4DE139F5-4D7D-44A8-AD1A-EA966FEC7C4C}"/>
    <hyperlink ref="N52:P52" location="Sachaufwendungen!H20" display="Sachaufwendungen" xr:uid="{D7A24910-9265-4275-B602-2B9FC6DF9B64}"/>
    <hyperlink ref="N54" location="Personalkostenaufstellung!P15" display="Personalkostenaufstellung" xr:uid="{49611D5E-3B2C-43B5-8499-F1A41E4C4E97}"/>
    <hyperlink ref="N45" location="Personalkostenaufstellung!F159" display="Personalkostenaufstellung" xr:uid="{41B065FA-ED6C-497D-B081-D333E78B4D8E}"/>
  </hyperlinks>
  <pageMargins left="0.70866141732283472" right="0.70866141732283472" top="0.78740157480314965" bottom="0.78740157480314965" header="0.31496062992125984" footer="0.31496062992125984"/>
  <pageSetup paperSize="9" scale="61" orientation="portrait"/>
  <headerFooter>
    <oddHeader xml:space="preserve">&amp;C&amp;9&amp;A&amp;R
</oddHeader>
    <oddFooter>&amp;L&amp;8Version: &amp;K00000012.10.2026&amp;C&amp;8Verhandlungsunterlagen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06" id="{D1576BFC-19BC-45B4-A41B-DB22C8BC62F1}">
            <xm:f>'Allgemeine Angaben'!$E$7&lt;&gt;"WPH"</xm:f>
            <x14:dxf>
              <font>
                <color theme="0"/>
              </font>
              <fill>
                <patternFill>
                  <fgColor theme="0"/>
                  <bgColor theme="0"/>
                </patternFill>
              </fill>
              <border>
                <left/>
                <right/>
                <top/>
                <bottom/>
                <vertical/>
                <horizontal/>
              </border>
            </x14:dxf>
          </x14:cfRule>
          <xm:sqref>B61:K62</xm:sqref>
        </x14:conditionalFormatting>
        <x14:conditionalFormatting xmlns:xm="http://schemas.microsoft.com/office/excel/2006/main">
          <x14:cfRule type="expression" priority="43" id="{8056741D-4BE4-478C-9FAD-323D94D48E28}">
            <xm:f>KAT!A32="ja"</xm:f>
            <x14:dxf>
              <fill>
                <patternFill>
                  <bgColor rgb="FFCCECFF"/>
                </patternFill>
              </fill>
            </x14:dxf>
          </x14:cfRule>
          <x14:cfRule type="expression" priority="42" id="{E2038B92-AFC4-4D0E-B2AF-A35DC11CEC7C}">
            <xm:f>KAT!$G$51=0</xm:f>
            <x14:dxf>
              <font>
                <color rgb="FFF0F5E6"/>
              </font>
            </x14:dxf>
          </x14:cfRule>
          <x14:cfRule type="expression" priority="41" id="{7A362CF7-74A0-4A1F-A9DC-49FDC50D6574}">
            <xm:f>KAT!$F$48=0</xm:f>
            <x14:dxf>
              <font>
                <color rgb="FFF0F5E6"/>
              </font>
            </x14:dxf>
          </x14:cfRule>
          <xm:sqref>C56:C58</xm:sqref>
        </x14:conditionalFormatting>
        <x14:conditionalFormatting xmlns:xm="http://schemas.microsoft.com/office/excel/2006/main">
          <x14:cfRule type="expression" priority="2" id="{BB35A40F-4B97-4EF0-B3D7-231923CD8138}">
            <xm:f>KAT!$F$48=1</xm:f>
            <x14:dxf>
              <font>
                <color theme="0" tint="-4.9989318521683403E-2"/>
              </font>
            </x14:dxf>
          </x14:cfRule>
          <x14:cfRule type="expression" priority="3" id="{D5D27CF2-EC28-4E95-BD92-7673D12190CF}">
            <xm:f>KAT!$A$32="ja"</xm:f>
            <x14:dxf>
              <fill>
                <patternFill>
                  <bgColor rgb="FFCCECFF"/>
                </patternFill>
              </fill>
            </x14:dxf>
          </x14:cfRule>
          <xm:sqref>J22 J24 J26 J28</xm:sqref>
        </x14:conditionalFormatting>
        <x14:conditionalFormatting xmlns:xm="http://schemas.microsoft.com/office/excel/2006/main">
          <x14:cfRule type="expression" priority="83" id="{F4F8F9D8-D8B1-4692-BA18-63D81460D5EE}">
            <xm:f>Wennoder('Allgemeine Angaben'!$L$47&lt;0,'Allgemeine Angaben'!$L$47=0)</xm:f>
            <x14:dxf>
              <font>
                <color theme="0"/>
              </font>
              <fill>
                <patternFill patternType="none">
                  <bgColor auto="1"/>
                </patternFill>
              </fill>
              <border>
                <vertical/>
                <horizontal/>
              </border>
            </x14:dxf>
          </x14:cfRule>
          <xm:sqref>L20</xm:sqref>
        </x14:conditionalFormatting>
        <x14:conditionalFormatting xmlns:xm="http://schemas.microsoft.com/office/excel/2006/main">
          <x14:cfRule type="expression" priority="73" id="{0B6168FF-471D-4DF3-9A46-C064842344E8}">
            <xm:f>'Allgemeine Angaben'!$L$47&gt;0</xm:f>
            <x14:dxf>
              <font>
                <color auto="1"/>
              </font>
              <fill>
                <patternFill>
                  <bgColor theme="0" tint="-4.9989318521683403E-2"/>
                </patternFill>
              </fill>
              <border>
                <bottom style="thin">
                  <color auto="1"/>
                </bottom>
                <vertical/>
                <horizontal/>
              </border>
            </x14:dxf>
          </x14:cfRule>
          <xm:sqref>L22</xm:sqref>
        </x14:conditionalFormatting>
        <x14:conditionalFormatting xmlns:xm="http://schemas.microsoft.com/office/excel/2006/main">
          <x14:cfRule type="expression" priority="67" id="{11892ED4-AFBD-4190-A03A-FBCA6A66624D}">
            <xm:f>'Allgemeine Angaben'!$L$47&gt;0</xm:f>
            <x14:dxf>
              <font>
                <color auto="1"/>
              </font>
              <fill>
                <patternFill>
                  <bgColor theme="0" tint="-4.9989318521683403E-2"/>
                </patternFill>
              </fill>
              <border>
                <bottom style="thin">
                  <color auto="1"/>
                </bottom>
                <vertical/>
                <horizontal/>
              </border>
            </x14:dxf>
          </x14:cfRule>
          <xm:sqref>L24</xm:sqref>
        </x14:conditionalFormatting>
        <x14:conditionalFormatting xmlns:xm="http://schemas.microsoft.com/office/excel/2006/main">
          <x14:cfRule type="expression" priority="66" id="{1CBD52C3-28FB-42E1-A7C0-1232D0FCE734}">
            <xm:f>'Allgemeine Angaben'!$L$47&gt;0</xm:f>
            <x14:dxf>
              <font>
                <color auto="1"/>
              </font>
              <fill>
                <patternFill>
                  <bgColor theme="0" tint="-4.9989318521683403E-2"/>
                </patternFill>
              </fill>
              <border>
                <bottom style="thin">
                  <color auto="1"/>
                </bottom>
                <vertical/>
                <horizontal/>
              </border>
            </x14:dxf>
          </x14:cfRule>
          <xm:sqref>L26</xm:sqref>
        </x14:conditionalFormatting>
        <x14:conditionalFormatting xmlns:xm="http://schemas.microsoft.com/office/excel/2006/main">
          <x14:cfRule type="expression" priority="65" id="{EEFD4FDC-DCAB-4479-8308-54AAE076C21A}">
            <xm:f>'Allgemeine Angaben'!$L$47&gt;0</xm:f>
            <x14:dxf>
              <font>
                <color auto="1"/>
              </font>
              <fill>
                <patternFill>
                  <bgColor theme="0" tint="-4.9989318521683403E-2"/>
                </patternFill>
              </fill>
              <border>
                <bottom style="thin">
                  <color auto="1"/>
                </bottom>
                <vertical/>
                <horizontal/>
              </border>
            </x14:dxf>
          </x14:cfRule>
          <xm:sqref>L28</xm:sqref>
        </x14:conditionalFormatting>
        <x14:conditionalFormatting xmlns:xm="http://schemas.microsoft.com/office/excel/2006/main">
          <x14:cfRule type="expression" priority="4" id="{73272BA8-3F59-478B-8565-9795A7560372}">
            <xm:f>KAT!$A$32="ja"</xm:f>
            <x14:dxf>
              <fill>
                <patternFill>
                  <bgColor rgb="FFCCECFF"/>
                </patternFill>
              </fill>
            </x14:dxf>
          </x14:cfRule>
          <xm:sqref>L35 N35 L37 N37:P37 L39 N39 L41 L43 N43 L45 N45 L48 N48:P48 L50 N50:P50 L52 N52:P52 L54 N54</xm:sqref>
        </x14:conditionalFormatting>
        <x14:conditionalFormatting xmlns:xm="http://schemas.microsoft.com/office/excel/2006/main">
          <x14:cfRule type="expression" priority="39" id="{AA08E956-AC9F-44FE-AD3B-A742FC2A04E7}">
            <xm:f>KAT!$H$38=3</xm:f>
            <x14:dxf>
              <font>
                <color theme="3"/>
              </font>
            </x14:dxf>
          </x14:cfRule>
          <x14:cfRule type="expression" priority="38" id="{47E0D274-1B5F-4B2B-82CC-CB660C483457}">
            <xm:f>KAT!$H$38=1</xm:f>
            <x14:dxf>
              <font>
                <color theme="6" tint="0.79998168889431442"/>
              </font>
            </x14:dxf>
          </x14:cfRule>
          <x14:cfRule type="expression" priority="40" id="{190D4295-4592-447F-A4C2-6E3AD55E2F33}">
            <xm:f>KAT!$H$38=4</xm:f>
            <x14:dxf>
              <font>
                <b/>
                <i val="0"/>
                <color rgb="FFFF0000"/>
              </font>
            </x14:dxf>
          </x14:cfRule>
          <xm:sqref>L35</xm:sqref>
        </x14:conditionalFormatting>
        <x14:conditionalFormatting xmlns:xm="http://schemas.microsoft.com/office/excel/2006/main">
          <x14:cfRule type="expression" priority="37" id="{B8D66355-2ADD-4D0E-9D19-28B981828556}">
            <xm:f>KAT!$H$39=4</xm:f>
            <x14:dxf>
              <font>
                <b/>
                <i val="0"/>
                <color rgb="FFFF0000"/>
              </font>
            </x14:dxf>
          </x14:cfRule>
          <x14:cfRule type="expression" priority="36" id="{3F58AC2A-47DA-413B-B28E-B1EC06A3965F}">
            <xm:f>KAT!$H$39=3</xm:f>
            <x14:dxf>
              <font>
                <b/>
                <i val="0"/>
                <color theme="3"/>
              </font>
            </x14:dxf>
          </x14:cfRule>
          <x14:cfRule type="expression" priority="35" id="{0FCE4303-0057-41C7-ACCA-F4B0ACA9897A}">
            <xm:f>KAT!$H$39=2</xm:f>
            <x14:dxf>
              <font>
                <color theme="6" tint="0.79998168889431442"/>
              </font>
            </x14:dxf>
          </x14:cfRule>
          <x14:cfRule type="expression" priority="34" id="{7ED0614E-4156-45A6-8B5F-4739CE5B2EBC}">
            <xm:f>KAT!$H$39=1</xm:f>
            <x14:dxf>
              <font>
                <color theme="6" tint="0.79998168889431442"/>
              </font>
            </x14:dxf>
          </x14:cfRule>
          <xm:sqref>L37</xm:sqref>
        </x14:conditionalFormatting>
        <x14:conditionalFormatting xmlns:xm="http://schemas.microsoft.com/office/excel/2006/main">
          <x14:cfRule type="expression" priority="30" id="{D9E9A923-12B7-4F19-812A-80448C23BA24}">
            <xm:f>KAT!$H$40=1</xm:f>
            <x14:dxf>
              <font>
                <color theme="6" tint="0.79998168889431442"/>
              </font>
            </x14:dxf>
          </x14:cfRule>
          <x14:cfRule type="expression" priority="31" id="{DEE5FEE9-0AAE-40B1-A40A-A130B7F44CB6}">
            <xm:f>KAT!$H$40=2</xm:f>
            <x14:dxf>
              <font>
                <color theme="6" tint="0.79998168889431442"/>
              </font>
            </x14:dxf>
          </x14:cfRule>
          <x14:cfRule type="expression" priority="32" id="{764E7904-882C-4958-AFEA-D1FD403F658D}">
            <xm:f>KAT!$H$40=3</xm:f>
            <x14:dxf>
              <font>
                <b/>
                <i val="0"/>
                <color theme="3"/>
              </font>
            </x14:dxf>
          </x14:cfRule>
          <x14:cfRule type="expression" priority="33" id="{C7A75D04-A552-43B7-80E4-6AFDB5F4B1E5}">
            <xm:f>KAT!$H$40=4</xm:f>
            <x14:dxf>
              <font>
                <b/>
                <i val="0"/>
                <color rgb="FFFF0000"/>
              </font>
            </x14:dxf>
          </x14:cfRule>
          <xm:sqref>L39</xm:sqref>
        </x14:conditionalFormatting>
        <x14:conditionalFormatting xmlns:xm="http://schemas.microsoft.com/office/excel/2006/main">
          <x14:cfRule type="expression" priority="29" id="{B89440D8-3A55-4DD5-B0DF-B73CE51CFD46}">
            <xm:f>KAT!$H$41=4</xm:f>
            <x14:dxf>
              <font>
                <b/>
                <i val="0"/>
                <color rgb="FFFF0000"/>
              </font>
            </x14:dxf>
          </x14:cfRule>
          <x14:cfRule type="expression" priority="28" id="{14F02B6E-8D60-429D-A35C-C5B4DC08EEA3}">
            <xm:f>KAT!$H$41=3</xm:f>
            <x14:dxf>
              <font>
                <b/>
                <i val="0"/>
                <color theme="3"/>
              </font>
            </x14:dxf>
          </x14:cfRule>
          <x14:cfRule type="expression" priority="27" id="{C49E8F40-FA84-44E2-8945-182475990CF2}">
            <xm:f>KAT!$H$41=2</xm:f>
            <x14:dxf>
              <font>
                <color theme="6" tint="0.79998168889431442"/>
              </font>
            </x14:dxf>
          </x14:cfRule>
          <x14:cfRule type="expression" priority="26" id="{C579C08F-826A-4563-AECE-B9993B25540B}">
            <xm:f>KAT!$H$41=1</xm:f>
            <x14:dxf>
              <font>
                <color theme="6" tint="0.79998168889431442"/>
              </font>
            </x14:dxf>
          </x14:cfRule>
          <xm:sqref>L41</xm:sqref>
        </x14:conditionalFormatting>
        <x14:conditionalFormatting xmlns:xm="http://schemas.microsoft.com/office/excel/2006/main">
          <x14:cfRule type="expression" priority="23" id="{8BFCD98F-9864-4068-973D-F6BAE0FC33B6}">
            <xm:f>KAT!$H$42=1</xm:f>
            <x14:dxf>
              <font>
                <color theme="6" tint="0.79998168889431442"/>
              </font>
            </x14:dxf>
          </x14:cfRule>
          <x14:cfRule type="expression" priority="25" id="{02A92254-27B0-4A4F-8F73-4F4F45B7C829}">
            <xm:f>KAT!$H$42=4</xm:f>
            <x14:dxf>
              <font>
                <b/>
                <i val="0"/>
                <color rgb="FFFF0000"/>
              </font>
            </x14:dxf>
          </x14:cfRule>
          <x14:cfRule type="expression" priority="24" id="{25EF1D63-7A08-462A-A3B2-0E605FDD857D}">
            <xm:f>KAT!$H$42=3</xm:f>
            <x14:dxf>
              <font>
                <b/>
                <i val="0"/>
                <color theme="3"/>
              </font>
            </x14:dxf>
          </x14:cfRule>
          <xm:sqref>L43</xm:sqref>
        </x14:conditionalFormatting>
        <x14:conditionalFormatting xmlns:xm="http://schemas.microsoft.com/office/excel/2006/main">
          <x14:cfRule type="expression" priority="22" id="{3495063E-A2B6-4FAE-A4B9-A0F4CF16FF52}">
            <xm:f>KAT!$H$43=4</xm:f>
            <x14:dxf>
              <font>
                <b/>
                <i val="0"/>
                <color rgb="FFFF0000"/>
              </font>
            </x14:dxf>
          </x14:cfRule>
          <x14:cfRule type="expression" priority="21" id="{159F4E77-F4E8-4E9D-A0A6-4E9030401C46}">
            <xm:f>KAT!$H$43=3</xm:f>
            <x14:dxf>
              <font>
                <b/>
                <i val="0"/>
                <color theme="3"/>
              </font>
            </x14:dxf>
          </x14:cfRule>
          <x14:cfRule type="expression" priority="20" id="{D1883207-5038-4BEA-B98E-B90257962862}">
            <xm:f>KAT!$H$43=1</xm:f>
            <x14:dxf>
              <font>
                <color theme="6" tint="0.79998168889431442"/>
              </font>
            </x14:dxf>
          </x14:cfRule>
          <xm:sqref>L45</xm:sqref>
        </x14:conditionalFormatting>
        <x14:conditionalFormatting xmlns:xm="http://schemas.microsoft.com/office/excel/2006/main">
          <x14:cfRule type="expression" priority="18" id="{70F84017-D668-4BE1-A876-7FE90A524235}">
            <xm:f>KAT!$H$44=3</xm:f>
            <x14:dxf>
              <font>
                <b/>
                <i val="0"/>
                <color theme="3"/>
              </font>
            </x14:dxf>
          </x14:cfRule>
          <x14:cfRule type="expression" priority="19" id="{25BA8FE1-8BBF-4D36-84C9-A4732118078C}">
            <xm:f>KAT!$H$44=4</xm:f>
            <x14:dxf>
              <font>
                <b/>
                <i val="0"/>
                <color rgb="FFFF0000"/>
              </font>
            </x14:dxf>
          </x14:cfRule>
          <x14:cfRule type="expression" priority="17" id="{C9C1CFAA-B92D-4CD9-81C6-5A934E39F3C5}">
            <xm:f>KAT!$H$44=1</xm:f>
            <x14:dxf>
              <font>
                <color theme="6" tint="0.79998168889431442"/>
              </font>
            </x14:dxf>
          </x14:cfRule>
          <xm:sqref>L48</xm:sqref>
        </x14:conditionalFormatting>
        <x14:conditionalFormatting xmlns:xm="http://schemas.microsoft.com/office/excel/2006/main">
          <x14:cfRule type="expression" priority="14" id="{797E87BB-03C5-4497-BCAF-F43C03E24DF1}">
            <xm:f>KAT!$H$45=2</xm:f>
            <x14:dxf>
              <font>
                <color theme="6" tint="0.79998168889431442"/>
              </font>
            </x14:dxf>
          </x14:cfRule>
          <x14:cfRule type="expression" priority="13" id="{76E75697-7665-43E1-8BFB-B13F46BEBCE6}">
            <xm:f>KAT!$H$45=1</xm:f>
            <x14:dxf>
              <font>
                <color theme="6" tint="0.79998168889431442"/>
              </font>
            </x14:dxf>
          </x14:cfRule>
          <x14:cfRule type="expression" priority="15" id="{83F833B0-2954-4617-A998-088D721F41A3}">
            <xm:f>KAT!$H$45=3</xm:f>
            <x14:dxf>
              <font>
                <b/>
                <i val="0"/>
                <color theme="3"/>
              </font>
            </x14:dxf>
          </x14:cfRule>
          <x14:cfRule type="expression" priority="16" id="{6DAB402E-5E7D-48AA-A3EB-2B961124FD48}">
            <xm:f>KAT!$H$45=4</xm:f>
            <x14:dxf>
              <font>
                <b/>
                <i val="0"/>
                <color rgb="FFFF0000"/>
              </font>
            </x14:dxf>
          </x14:cfRule>
          <xm:sqref>L50</xm:sqref>
        </x14:conditionalFormatting>
        <x14:conditionalFormatting xmlns:xm="http://schemas.microsoft.com/office/excel/2006/main">
          <x14:cfRule type="expression" priority="12" id="{18E6F8C9-9547-4B52-B449-D4EAA5A1379B}">
            <xm:f>KAT!$H$46=4</xm:f>
            <x14:dxf>
              <font>
                <b/>
                <i val="0"/>
                <color rgb="FFFF0000"/>
              </font>
            </x14:dxf>
          </x14:cfRule>
          <x14:cfRule type="expression" priority="11" id="{AE836712-707D-47C8-82B7-C3ED00CB2A4E}">
            <xm:f>KAT!$H$46=3</xm:f>
            <x14:dxf>
              <font>
                <b/>
                <i val="0"/>
                <color theme="3"/>
              </font>
            </x14:dxf>
          </x14:cfRule>
          <x14:cfRule type="expression" priority="10" id="{7D9CAF4A-B353-4FC7-A471-77B07B20EE88}">
            <xm:f>KAT!$H$46=2</xm:f>
            <x14:dxf>
              <font>
                <color theme="6" tint="0.79998168889431442"/>
              </font>
            </x14:dxf>
          </x14:cfRule>
          <x14:cfRule type="expression" priority="9" id="{A31ADB9C-0CD3-4E80-B62F-4623E5632E5A}">
            <xm:f>KAT!$H$46=1</xm:f>
            <x14:dxf>
              <font>
                <color theme="6" tint="0.79998168889431442"/>
              </font>
            </x14:dxf>
          </x14:cfRule>
          <xm:sqref>L52</xm:sqref>
        </x14:conditionalFormatting>
        <x14:conditionalFormatting xmlns:xm="http://schemas.microsoft.com/office/excel/2006/main">
          <x14:cfRule type="expression" priority="7" id="{770A457E-EDF7-45D6-89EF-66A56A020A6F}">
            <xm:f>KAT!$H$47=3</xm:f>
            <x14:dxf>
              <font>
                <b/>
                <i val="0"/>
                <color theme="3"/>
              </font>
            </x14:dxf>
          </x14:cfRule>
          <x14:cfRule type="expression" priority="8" id="{E0BFB300-B958-4066-A5EC-99A7C8532BA7}">
            <xm:f>KAT!$H$47=4</xm:f>
            <x14:dxf>
              <font>
                <b/>
                <i val="0"/>
                <color rgb="FFFF0000"/>
              </font>
            </x14:dxf>
          </x14:cfRule>
          <x14:cfRule type="expression" priority="5" id="{91C467C0-5982-4F07-8F89-98910F5171D7}">
            <xm:f>KAT!$H$47=1</xm:f>
            <x14:dxf>
              <font>
                <color theme="6" tint="0.79998168889431442"/>
              </font>
            </x14:dxf>
          </x14:cfRule>
          <x14:cfRule type="expression" priority="6" id="{21DA1566-C748-438E-8FE4-ABF453E3D4DA}">
            <xm:f>KAT!$H$47=2</xm:f>
            <x14:dxf>
              <font>
                <color theme="6" tint="0.79998168889431442"/>
              </font>
            </x14:dxf>
          </x14:cfRule>
          <xm:sqref>L54</xm:sqref>
        </x14:conditionalFormatting>
        <x14:conditionalFormatting xmlns:xm="http://schemas.microsoft.com/office/excel/2006/main">
          <x14:cfRule type="expression" priority="58" id="{E7BC5902-3E29-4B94-88CE-900B3F44C65F}">
            <xm:f>KAT!$H$38=4</xm:f>
            <x14:dxf>
              <font>
                <color rgb="FF081EFC"/>
              </font>
            </x14:dxf>
          </x14:cfRule>
          <xm:sqref>N35</xm:sqref>
        </x14:conditionalFormatting>
        <x14:conditionalFormatting xmlns:xm="http://schemas.microsoft.com/office/excel/2006/main">
          <x14:cfRule type="expression" priority="56" id="{E6C3CBE1-206E-46C4-B20A-68D023EEBD43}">
            <xm:f>KAT!$H$40=4</xm:f>
            <x14:dxf>
              <font>
                <color rgb="FF081EFC"/>
              </font>
            </x14:dxf>
          </x14:cfRule>
          <xm:sqref>N39</xm:sqref>
        </x14:conditionalFormatting>
        <x14:conditionalFormatting xmlns:xm="http://schemas.microsoft.com/office/excel/2006/main">
          <x14:cfRule type="expression" priority="55" id="{0E7B09D2-B9AD-49E4-B086-589C607EA4BA}">
            <xm:f>KAT!$H$41=4</xm:f>
            <x14:dxf>
              <font>
                <color rgb="FF081EFC"/>
              </font>
            </x14:dxf>
          </x14:cfRule>
          <x14:cfRule type="expression" priority="1" id="{42B58FBD-9000-4EA0-ACBA-D02E3A1FBF60}">
            <xm:f>KAT!$A$32="ja"</xm:f>
            <x14:dxf>
              <fill>
                <patternFill>
                  <bgColor rgb="FFCCECFF"/>
                </patternFill>
              </fill>
            </x14:dxf>
          </x14:cfRule>
          <xm:sqref>N41</xm:sqref>
        </x14:conditionalFormatting>
        <x14:conditionalFormatting xmlns:xm="http://schemas.microsoft.com/office/excel/2006/main">
          <x14:cfRule type="expression" priority="54" id="{B4F915E0-C51B-4CF1-97FC-300492B9782F}">
            <xm:f>KAT!$H$42=4</xm:f>
            <x14:dxf>
              <font>
                <color rgb="FF081EFC"/>
              </font>
            </x14:dxf>
          </x14:cfRule>
          <xm:sqref>N43</xm:sqref>
        </x14:conditionalFormatting>
        <x14:conditionalFormatting xmlns:xm="http://schemas.microsoft.com/office/excel/2006/main">
          <x14:cfRule type="expression" priority="52" id="{F486A05A-4D84-445D-9E00-222FE9E8BCB9}">
            <xm:f>KAT!$H$43=4</xm:f>
            <x14:dxf>
              <font>
                <color rgb="FF081EFC"/>
              </font>
            </x14:dxf>
          </x14:cfRule>
          <xm:sqref>N45</xm:sqref>
        </x14:conditionalFormatting>
        <x14:conditionalFormatting xmlns:xm="http://schemas.microsoft.com/office/excel/2006/main">
          <x14:cfRule type="expression" priority="49" id="{C0B2AABB-9F05-4B03-9D01-7523428D984C}">
            <xm:f>KAT!$H$47=4</xm:f>
            <x14:dxf>
              <font>
                <color rgb="FF081EFC"/>
              </font>
            </x14:dxf>
          </x14:cfRule>
          <xm:sqref>N54</xm:sqref>
        </x14:conditionalFormatting>
        <x14:conditionalFormatting xmlns:xm="http://schemas.microsoft.com/office/excel/2006/main">
          <x14:cfRule type="expression" priority="57" id="{91CE2DF8-319C-46D5-96F3-551266D51A21}">
            <xm:f>KAT!$H$39=4</xm:f>
            <x14:dxf>
              <font>
                <color rgb="FF081EFC"/>
              </font>
            </x14:dxf>
          </x14:cfRule>
          <xm:sqref>N37:P37</xm:sqref>
        </x14:conditionalFormatting>
        <x14:conditionalFormatting xmlns:xm="http://schemas.microsoft.com/office/excel/2006/main">
          <x14:cfRule type="expression" priority="53" id="{625FFA11-6942-4653-A576-0A7E6D1E6EC7}">
            <xm:f>KAT!$H$44=4</xm:f>
            <x14:dxf>
              <font>
                <color rgb="FF081EFC"/>
              </font>
            </x14:dxf>
          </x14:cfRule>
          <xm:sqref>N48:P48</xm:sqref>
        </x14:conditionalFormatting>
        <x14:conditionalFormatting xmlns:xm="http://schemas.microsoft.com/office/excel/2006/main">
          <x14:cfRule type="expression" priority="51" id="{2152779C-5CB8-487E-87A6-60673A0E9622}">
            <xm:f>KAT!$H$45=4</xm:f>
            <x14:dxf>
              <font>
                <color rgb="FF081EFC"/>
              </font>
            </x14:dxf>
          </x14:cfRule>
          <xm:sqref>N50:P50</xm:sqref>
        </x14:conditionalFormatting>
        <x14:conditionalFormatting xmlns:xm="http://schemas.microsoft.com/office/excel/2006/main">
          <x14:cfRule type="expression" priority="50" id="{E0CF3E14-09C7-499C-AE10-3528ACC37AE7}">
            <xm:f>KAT!$H$46=4</xm:f>
            <x14:dxf>
              <font>
                <color rgb="FF081EFC"/>
              </font>
            </x14:dxf>
          </x14:cfRule>
          <xm:sqref>N52:P52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99CCFF"/>
    <pageSetUpPr fitToPage="1"/>
  </sheetPr>
  <dimension ref="A1:AH52"/>
  <sheetViews>
    <sheetView showGridLines="0" zoomScaleNormal="100" workbookViewId="0">
      <selection activeCell="A5" sqref="A5"/>
    </sheetView>
  </sheetViews>
  <sheetFormatPr baseColWidth="10" defaultColWidth="11" defaultRowHeight="13.8" x14ac:dyDescent="0.25"/>
  <cols>
    <col min="1" max="1" width="2.09765625" style="3" customWidth="1"/>
    <col min="2" max="2" width="5.59765625" style="3" customWidth="1"/>
    <col min="3" max="3" width="34.19921875" style="3" customWidth="1"/>
    <col min="4" max="4" width="16.59765625" style="3" customWidth="1"/>
    <col min="5" max="6" width="11.59765625" style="3" hidden="1" customWidth="1"/>
    <col min="7" max="7" width="12.59765625" style="3" hidden="1" customWidth="1"/>
    <col min="8" max="12" width="13.59765625" style="3" customWidth="1"/>
    <col min="13" max="13" width="12.59765625" style="227" hidden="1" customWidth="1"/>
    <col min="14" max="15" width="12.59765625" style="870" hidden="1" customWidth="1"/>
    <col min="16" max="16" width="2.09765625" style="3" customWidth="1"/>
    <col min="17" max="16384" width="11" style="3"/>
  </cols>
  <sheetData>
    <row r="1" spans="1:18" ht="15" customHeight="1" x14ac:dyDescent="0.25">
      <c r="A1" s="1649" t="str">
        <f>'Allgemeine Angaben'!A1:N1</f>
        <v>Aufforderung zum Abschluss einer Pflegesatzvereinbarung gemäß §§ 84, 85 SGB XI</v>
      </c>
      <c r="B1" s="1650"/>
      <c r="C1" s="1650"/>
      <c r="D1" s="1650"/>
      <c r="E1" s="1650"/>
      <c r="F1" s="1650"/>
      <c r="G1" s="1650"/>
      <c r="H1" s="1650"/>
      <c r="I1" s="1824"/>
      <c r="J1" s="1824"/>
      <c r="K1" s="1824"/>
      <c r="L1" s="1824"/>
      <c r="M1" s="1824"/>
      <c r="N1" s="1824"/>
      <c r="O1" s="1853"/>
      <c r="P1" s="1854"/>
      <c r="Q1" s="269"/>
      <c r="R1" s="45"/>
    </row>
    <row r="2" spans="1:18" ht="15" customHeight="1" x14ac:dyDescent="0.25">
      <c r="A2" s="1652" t="s">
        <v>99</v>
      </c>
      <c r="B2" s="1653"/>
      <c r="C2" s="1653"/>
      <c r="D2" s="1653"/>
      <c r="E2" s="1653"/>
      <c r="F2" s="1653"/>
      <c r="G2" s="1653"/>
      <c r="H2" s="1653"/>
      <c r="I2" s="1826"/>
      <c r="J2" s="1826"/>
      <c r="K2" s="1826"/>
      <c r="L2" s="1826"/>
      <c r="M2" s="1826"/>
      <c r="N2" s="1826"/>
      <c r="O2" s="1610"/>
      <c r="P2" s="1855"/>
      <c r="Q2" s="282"/>
    </row>
    <row r="3" spans="1:18" ht="15" customHeight="1" x14ac:dyDescent="0.25">
      <c r="A3" s="1668" t="str">
        <f>'Allgemeine Angaben'!A3:N3</f>
        <v/>
      </c>
      <c r="B3" s="1669"/>
      <c r="C3" s="1669"/>
      <c r="D3" s="1669"/>
      <c r="E3" s="1669"/>
      <c r="F3" s="1669"/>
      <c r="G3" s="1669"/>
      <c r="H3" s="1669"/>
      <c r="I3" s="1826"/>
      <c r="J3" s="1826"/>
      <c r="K3" s="1826"/>
      <c r="L3" s="1826"/>
      <c r="M3" s="1826"/>
      <c r="N3" s="1826"/>
      <c r="O3" s="1610"/>
      <c r="P3" s="1855"/>
      <c r="Q3" s="120"/>
    </row>
    <row r="4" spans="1:18" ht="15" customHeight="1" x14ac:dyDescent="0.25">
      <c r="A4" s="1668" t="str">
        <f>'Allgemeine Angaben'!A4:N4</f>
        <v/>
      </c>
      <c r="B4" s="1669"/>
      <c r="C4" s="1669"/>
      <c r="D4" s="1669"/>
      <c r="E4" s="1669"/>
      <c r="F4" s="1669"/>
      <c r="G4" s="1669"/>
      <c r="H4" s="1669"/>
      <c r="I4" s="1826"/>
      <c r="J4" s="1826"/>
      <c r="K4" s="1826"/>
      <c r="L4" s="1826"/>
      <c r="M4" s="1826"/>
      <c r="N4" s="1826"/>
      <c r="O4" s="1610"/>
      <c r="P4" s="1855"/>
      <c r="Q4" s="77"/>
    </row>
    <row r="5" spans="1:18" ht="14.25" customHeight="1" x14ac:dyDescent="0.25">
      <c r="A5" s="1482"/>
      <c r="B5" s="121"/>
      <c r="C5" s="1200"/>
      <c r="D5" s="1200"/>
      <c r="E5" s="1315" t="s">
        <v>100</v>
      </c>
      <c r="F5" s="943"/>
      <c r="I5" s="61" t="s">
        <v>121</v>
      </c>
      <c r="J5" s="61" t="s">
        <v>122</v>
      </c>
      <c r="K5" s="1316" t="s">
        <v>500</v>
      </c>
      <c r="L5" s="61" t="s">
        <v>103</v>
      </c>
      <c r="P5" s="4"/>
      <c r="Q5" s="120"/>
    </row>
    <row r="6" spans="1:18" ht="18" customHeight="1" x14ac:dyDescent="0.25">
      <c r="A6" s="2"/>
      <c r="C6" s="1317" t="s">
        <v>101</v>
      </c>
      <c r="D6" s="945" t="str">
        <f>IF('Allgemeine Angaben'!L46&gt;0,'Allgemeine Angaben'!L46,"")</f>
        <v/>
      </c>
      <c r="E6" s="946" t="s">
        <v>102</v>
      </c>
      <c r="F6" s="947"/>
      <c r="G6" s="948"/>
      <c r="H6" s="38"/>
      <c r="I6" s="949">
        <f>IF('Belegung_wö. Arbeitszeit'!D8&gt;0,'Belegung_wö. Arbeitszeit'!D8,"")</f>
        <v>365</v>
      </c>
      <c r="J6" s="950" t="str">
        <f>IF('Belegung_wö. Arbeitszeit'!G6&gt;0,'Belegung_wö. Arbeitszeit'!G6,"")</f>
        <v/>
      </c>
      <c r="K6" s="951">
        <f>divisor</f>
        <v>0</v>
      </c>
      <c r="L6" s="951">
        <f>IFERROR(ROUND(I6/12,2),"")</f>
        <v>30.42</v>
      </c>
      <c r="M6" s="866"/>
      <c r="N6" s="865"/>
      <c r="O6" s="867"/>
      <c r="P6" s="4"/>
    </row>
    <row r="7" spans="1:18" ht="18" customHeight="1" x14ac:dyDescent="0.25">
      <c r="A7" s="2"/>
      <c r="C7" s="1317"/>
      <c r="D7" s="1317"/>
      <c r="E7" s="856"/>
      <c r="F7" s="123"/>
      <c r="G7" s="124"/>
      <c r="I7" s="1317"/>
      <c r="J7" s="1317"/>
      <c r="K7" s="1317"/>
      <c r="M7" s="52"/>
      <c r="N7" s="52"/>
      <c r="O7" s="936"/>
      <c r="P7" s="4"/>
    </row>
    <row r="8" spans="1:18" ht="18" customHeight="1" x14ac:dyDescent="0.25">
      <c r="A8" s="2"/>
      <c r="C8" s="48"/>
      <c r="D8" s="1317"/>
      <c r="E8" s="855" t="s">
        <v>104</v>
      </c>
      <c r="F8" s="122"/>
      <c r="G8" s="124"/>
      <c r="I8" s="1319" t="s">
        <v>137</v>
      </c>
      <c r="J8" s="950">
        <v>100</v>
      </c>
      <c r="K8" s="951">
        <f>IFERROR('Allgemeine Angaben'!L46*I6*J8/100,"")</f>
        <v>0</v>
      </c>
      <c r="M8" s="866"/>
      <c r="N8" s="865"/>
      <c r="O8" s="867"/>
      <c r="P8" s="4"/>
      <c r="Q8" s="10"/>
    </row>
    <row r="9" spans="1:18" ht="9.9" customHeight="1" x14ac:dyDescent="0.25">
      <c r="A9" s="2"/>
      <c r="C9" s="48"/>
      <c r="D9" s="1317"/>
      <c r="E9" s="124"/>
      <c r="F9" s="124"/>
      <c r="G9" s="124"/>
      <c r="I9" s="1317"/>
      <c r="J9" s="1317"/>
      <c r="K9" s="17"/>
      <c r="O9" s="936"/>
      <c r="P9" s="4"/>
    </row>
    <row r="10" spans="1:18" ht="9.9" customHeight="1" x14ac:dyDescent="0.25">
      <c r="A10" s="2"/>
      <c r="E10" s="124"/>
      <c r="F10" s="161"/>
      <c r="G10" s="146"/>
      <c r="P10" s="4"/>
    </row>
    <row r="11" spans="1:18" ht="55.5" customHeight="1" x14ac:dyDescent="0.25">
      <c r="A11" s="2"/>
      <c r="C11" s="10"/>
      <c r="D11" s="1318"/>
      <c r="E11" s="125"/>
      <c r="F11" s="125"/>
      <c r="G11" s="862" t="s">
        <v>439</v>
      </c>
      <c r="H11" s="859" t="s">
        <v>438</v>
      </c>
      <c r="I11" s="860" t="s">
        <v>138</v>
      </c>
      <c r="J11" s="861" t="s">
        <v>139</v>
      </c>
      <c r="K11" s="859" t="s">
        <v>463</v>
      </c>
      <c r="M11" s="937" t="s">
        <v>105</v>
      </c>
      <c r="N11" s="938" t="s">
        <v>106</v>
      </c>
      <c r="O11" s="937" t="s">
        <v>464</v>
      </c>
      <c r="P11" s="4"/>
    </row>
    <row r="12" spans="1:18" x14ac:dyDescent="0.25">
      <c r="A12" s="2"/>
      <c r="B12" s="126"/>
      <c r="C12" s="126"/>
      <c r="D12" s="215" t="s">
        <v>107</v>
      </c>
      <c r="E12" s="857" t="s">
        <v>108</v>
      </c>
      <c r="F12" s="127" t="s">
        <v>136</v>
      </c>
      <c r="G12" s="128" t="s">
        <v>109</v>
      </c>
      <c r="H12" s="381" t="s">
        <v>334</v>
      </c>
      <c r="I12" s="382" t="s">
        <v>334</v>
      </c>
      <c r="J12" s="1149" t="s">
        <v>334</v>
      </c>
      <c r="K12" s="381" t="s">
        <v>334</v>
      </c>
      <c r="L12" s="863"/>
      <c r="M12" s="868" t="s">
        <v>109</v>
      </c>
      <c r="N12" s="868" t="s">
        <v>109</v>
      </c>
      <c r="O12" s="868" t="s">
        <v>109</v>
      </c>
      <c r="P12" s="4"/>
    </row>
    <row r="13" spans="1:18" x14ac:dyDescent="0.25">
      <c r="A13" s="2"/>
      <c r="B13" s="131" t="s">
        <v>110</v>
      </c>
      <c r="C13" s="131" t="s">
        <v>453</v>
      </c>
      <c r="D13" s="216" t="e">
        <f>SUM(D14:D19)</f>
        <v>#VALUE!</v>
      </c>
      <c r="E13" s="1331" t="e">
        <f>G13+M13+O13</f>
        <v>#VALUE!</v>
      </c>
      <c r="F13" s="1330"/>
      <c r="G13" s="1332" t="e">
        <f>SUM(G14:G19)</f>
        <v>#VALUE!</v>
      </c>
      <c r="H13" s="130" t="e">
        <f>SUM(H14:H19)</f>
        <v>#VALUE!</v>
      </c>
      <c r="I13" s="129" t="e">
        <f>SUM(I17:I19)</f>
        <v>#VALUE!</v>
      </c>
      <c r="J13" s="1260"/>
      <c r="K13" s="130" t="e">
        <f>SUM(K16)</f>
        <v>#VALUE!</v>
      </c>
      <c r="L13" s="1261"/>
      <c r="M13" s="1262" t="e">
        <f>SUM(M17:M19)</f>
        <v>#VALUE!</v>
      </c>
      <c r="N13" s="1263"/>
      <c r="O13" s="1262" t="e">
        <f>SUM(O16)</f>
        <v>#VALUE!</v>
      </c>
      <c r="P13" s="4"/>
    </row>
    <row r="14" spans="1:18" x14ac:dyDescent="0.25">
      <c r="A14" s="2"/>
      <c r="B14" s="114" t="s">
        <v>111</v>
      </c>
      <c r="C14" s="1264" t="str">
        <f>Personalaufwendungen!C12</f>
        <v>PDL / stellvertretende PDL</v>
      </c>
      <c r="D14" s="1265" t="e">
        <f>Personalaufwendungen!I12*Personalaufwendungen!H12*(1+pnk+Personalaufwendungen!I46)*(1+risiko)</f>
        <v>#VALUE!</v>
      </c>
      <c r="E14" s="1276" t="e">
        <f>G14+M14+N14+O14</f>
        <v>#VALUE!</v>
      </c>
      <c r="F14" s="1259">
        <v>1</v>
      </c>
      <c r="G14" s="1267" t="e">
        <f>D14*F14</f>
        <v>#VALUE!</v>
      </c>
      <c r="H14" s="1268" t="e">
        <f>G14/$K$6</f>
        <v>#VALUE!</v>
      </c>
      <c r="I14" s="1254"/>
      <c r="J14" s="1255"/>
      <c r="K14" s="1256"/>
      <c r="L14" s="1255"/>
      <c r="M14" s="1269"/>
      <c r="N14" s="1263"/>
      <c r="O14" s="1263"/>
      <c r="P14" s="4"/>
    </row>
    <row r="15" spans="1:18" x14ac:dyDescent="0.25">
      <c r="A15" s="2"/>
      <c r="B15" s="114" t="s">
        <v>112</v>
      </c>
      <c r="C15" s="1264" t="str">
        <f>Personalaufwendungen!C14</f>
        <v>Pflege / Betreuung</v>
      </c>
      <c r="D15" s="1265" t="e">
        <f>Personalaufwendungen!I22*Personalaufwendungen!H22*(1+pnk+Personalaufwendungen!I46)*(1+risiko)</f>
        <v>#VALUE!</v>
      </c>
      <c r="E15" s="1266" t="e">
        <f>G15+M15+N15+O15</f>
        <v>#VALUE!</v>
      </c>
      <c r="F15" s="1259">
        <v>1</v>
      </c>
      <c r="G15" s="1267" t="e">
        <f>D15*F15</f>
        <v>#VALUE!</v>
      </c>
      <c r="H15" s="1268" t="e">
        <f>G15/$K$6</f>
        <v>#VALUE!</v>
      </c>
      <c r="I15" s="1257"/>
      <c r="J15" s="1255"/>
      <c r="K15" s="1258"/>
      <c r="L15" s="1255"/>
      <c r="M15" s="1269"/>
      <c r="N15" s="1263"/>
      <c r="O15" s="1263"/>
      <c r="P15" s="4"/>
    </row>
    <row r="16" spans="1:18" x14ac:dyDescent="0.25">
      <c r="A16" s="2"/>
      <c r="B16" s="114" t="s">
        <v>113</v>
      </c>
      <c r="C16" s="1264" t="str">
        <f>Personalaufwendungen!C26</f>
        <v>Zusätzliche Betreuung und Aktivierung</v>
      </c>
      <c r="D16" s="1265" t="e">
        <f>Personalaufwendungen!I27*Personalaufwendungen!H27*(1+pnk+Personalaufwendungen!I46)*(1+risiko)</f>
        <v>#VALUE!</v>
      </c>
      <c r="E16" s="1266" t="e">
        <f t="shared" ref="E16:E18" si="0">G16+M16+N16+O16</f>
        <v>#VALUE!</v>
      </c>
      <c r="F16" s="1259"/>
      <c r="G16" s="1267"/>
      <c r="H16" s="1270"/>
      <c r="I16" s="1258"/>
      <c r="J16" s="1271"/>
      <c r="K16" s="1268" t="e">
        <f>D16/$K$8</f>
        <v>#VALUE!</v>
      </c>
      <c r="L16" s="1255"/>
      <c r="M16" s="1272"/>
      <c r="N16" s="1263"/>
      <c r="O16" s="1273" t="e">
        <f>D16</f>
        <v>#VALUE!</v>
      </c>
      <c r="P16" s="4"/>
    </row>
    <row r="17" spans="1:17" x14ac:dyDescent="0.25">
      <c r="A17" s="2"/>
      <c r="B17" s="114" t="s">
        <v>114</v>
      </c>
      <c r="C17" s="1264" t="str">
        <f>Personalaufwendungen!C30</f>
        <v>Leitung / Verwaltung</v>
      </c>
      <c r="D17" s="1265" t="e">
        <f>Personalaufwendungen!I30*Personalaufwendungen!H30*(1+pnk+Personalaufwendungen!I46)*(1+risiko)</f>
        <v>#VALUE!</v>
      </c>
      <c r="E17" s="1266" t="e">
        <f t="shared" si="0"/>
        <v>#VALUE!</v>
      </c>
      <c r="F17" s="1259">
        <v>0.5</v>
      </c>
      <c r="G17" s="1267" t="e">
        <f>D17*F17</f>
        <v>#VALUE!</v>
      </c>
      <c r="H17" s="1274" t="e">
        <f>G17/$K$6</f>
        <v>#VALUE!</v>
      </c>
      <c r="I17" s="1268" t="e">
        <f t="shared" ref="I17:I19" si="1">M17/$K$6</f>
        <v>#VALUE!</v>
      </c>
      <c r="J17" s="1255"/>
      <c r="K17" s="1255"/>
      <c r="L17" s="1255"/>
      <c r="M17" s="1273" t="e">
        <f t="shared" ref="M17:M19" si="2">D17*F17</f>
        <v>#VALUE!</v>
      </c>
      <c r="N17" s="1263"/>
      <c r="O17" s="1263"/>
      <c r="P17" s="4"/>
    </row>
    <row r="18" spans="1:17" x14ac:dyDescent="0.25">
      <c r="A18" s="2"/>
      <c r="B18" s="1275" t="s">
        <v>115</v>
      </c>
      <c r="C18" s="1264" t="str">
        <f>Personalaufwendungen!C33</f>
        <v>Hauswirtschaft / Küche / Haustechnik</v>
      </c>
      <c r="D18" s="1265" t="e">
        <f>Personalaufwendungen!I33*Personalaufwendungen!H33*(1+pnk+Personalaufwendungen!I46)*(1+risiko)</f>
        <v>#VALUE!</v>
      </c>
      <c r="E18" s="1266" t="e">
        <f t="shared" si="0"/>
        <v>#VALUE!</v>
      </c>
      <c r="F18" s="1259">
        <v>0.5</v>
      </c>
      <c r="G18" s="1267" t="e">
        <f t="shared" ref="G18:G19" si="3">D18*F18</f>
        <v>#VALUE!</v>
      </c>
      <c r="H18" s="1274" t="e">
        <f t="shared" ref="H18:H19" si="4">G18/$K$6</f>
        <v>#VALUE!</v>
      </c>
      <c r="I18" s="1268" t="e">
        <f t="shared" si="1"/>
        <v>#VALUE!</v>
      </c>
      <c r="J18" s="1255"/>
      <c r="K18" s="1255"/>
      <c r="L18" s="1255"/>
      <c r="M18" s="1273" t="e">
        <f t="shared" si="2"/>
        <v>#VALUE!</v>
      </c>
      <c r="N18" s="1263"/>
      <c r="O18" s="1263"/>
      <c r="P18" s="4"/>
      <c r="Q18" s="68"/>
    </row>
    <row r="19" spans="1:17" x14ac:dyDescent="0.25">
      <c r="A19" s="2"/>
      <c r="B19" s="1276" t="s">
        <v>459</v>
      </c>
      <c r="C19" s="1264" t="s">
        <v>238</v>
      </c>
      <c r="D19" s="1265">
        <f>Personalaufwendungen!I51*Personalaufwendungen!H51+Personalaufwendungen!I53*Personalaufwendungen!H53</f>
        <v>0</v>
      </c>
      <c r="E19" s="1266">
        <f>G19+M19+N19+O19</f>
        <v>0</v>
      </c>
      <c r="F19" s="1259">
        <v>0.5</v>
      </c>
      <c r="G19" s="1267">
        <f t="shared" si="3"/>
        <v>0</v>
      </c>
      <c r="H19" s="1274" t="e">
        <f t="shared" si="4"/>
        <v>#DIV/0!</v>
      </c>
      <c r="I19" s="1268" t="e">
        <f t="shared" si="1"/>
        <v>#DIV/0!</v>
      </c>
      <c r="J19" s="1257"/>
      <c r="K19" s="1255"/>
      <c r="L19" s="1255"/>
      <c r="M19" s="1273">
        <f t="shared" si="2"/>
        <v>0</v>
      </c>
      <c r="N19" s="1263"/>
      <c r="O19" s="1263"/>
      <c r="P19" s="4"/>
      <c r="Q19" s="70"/>
    </row>
    <row r="20" spans="1:17" x14ac:dyDescent="0.25">
      <c r="A20" s="2"/>
      <c r="C20" s="1277"/>
      <c r="D20" s="1278"/>
      <c r="E20" s="1279"/>
      <c r="F20" s="1279"/>
      <c r="G20" s="1255"/>
      <c r="H20" s="1280"/>
      <c r="I20" s="1280"/>
      <c r="J20" s="1280"/>
      <c r="K20" s="1280"/>
      <c r="L20" s="1280"/>
      <c r="M20" s="1281"/>
      <c r="N20" s="1263"/>
      <c r="O20" s="1263"/>
      <c r="P20" s="4"/>
    </row>
    <row r="21" spans="1:17" x14ac:dyDescent="0.25">
      <c r="A21" s="2"/>
      <c r="B21" s="1333" t="s">
        <v>41</v>
      </c>
      <c r="C21" s="131" t="s">
        <v>116</v>
      </c>
      <c r="D21" s="216">
        <f>SUM(D22:D31)</f>
        <v>0</v>
      </c>
      <c r="E21" s="1331">
        <f>G21+M21+N21+O21</f>
        <v>0</v>
      </c>
      <c r="F21" s="1330"/>
      <c r="G21" s="1332">
        <f>SUM(G23:G31)</f>
        <v>0</v>
      </c>
      <c r="H21" s="864" t="e">
        <f>SUM(H23:H31)</f>
        <v>#DIV/0!</v>
      </c>
      <c r="I21" s="864" t="e">
        <f>SUM(I23:I31)</f>
        <v>#DIV/0!</v>
      </c>
      <c r="J21" s="129" t="e">
        <f>J22</f>
        <v>#DIV/0!</v>
      </c>
      <c r="K21" s="1282"/>
      <c r="L21" s="1283"/>
      <c r="M21" s="1284">
        <f>SUM(M22:M31)</f>
        <v>0</v>
      </c>
      <c r="N21" s="1284">
        <f>SUM(N22:N31)</f>
        <v>0</v>
      </c>
      <c r="O21" s="1262"/>
      <c r="P21" s="4"/>
    </row>
    <row r="22" spans="1:17" x14ac:dyDescent="0.25">
      <c r="A22" s="2"/>
      <c r="B22" s="1285" t="s">
        <v>55</v>
      </c>
      <c r="C22" s="1286" t="str">
        <f>Sachaufwendungen!C20</f>
        <v>Lebensmittel</v>
      </c>
      <c r="D22" s="1265">
        <f>Sachaufwendungen!L20</f>
        <v>0</v>
      </c>
      <c r="E22" s="1266">
        <f>G22+M22+N22+O22</f>
        <v>0</v>
      </c>
      <c r="F22" s="1270"/>
      <c r="G22" s="1287"/>
      <c r="H22" s="1255"/>
      <c r="I22" s="1255"/>
      <c r="J22" s="1268" t="e">
        <f>N22/$K$6</f>
        <v>#DIV/0!</v>
      </c>
      <c r="K22" s="1257"/>
      <c r="L22" s="1255"/>
      <c r="M22" s="1288"/>
      <c r="N22" s="1273">
        <f>D22</f>
        <v>0</v>
      </c>
      <c r="O22" s="1281"/>
      <c r="P22" s="4"/>
    </row>
    <row r="23" spans="1:17" x14ac:dyDescent="0.25">
      <c r="A23" s="2"/>
      <c r="B23" s="1285" t="s">
        <v>57</v>
      </c>
      <c r="C23" s="1286" t="str">
        <f>Sachaufwendungen!C21</f>
        <v>Pflegerischer Bedarf</v>
      </c>
      <c r="D23" s="1265">
        <f>Sachaufwendungen!L21</f>
        <v>0</v>
      </c>
      <c r="E23" s="1266">
        <f t="shared" ref="E23:E31" si="5">G23+M23+N23+O23</f>
        <v>0</v>
      </c>
      <c r="F23" s="1259">
        <v>1</v>
      </c>
      <c r="G23" s="1267">
        <f>D23*F23</f>
        <v>0</v>
      </c>
      <c r="H23" s="1268" t="e">
        <f>G23/$K$6</f>
        <v>#DIV/0!</v>
      </c>
      <c r="I23" s="1268" t="e">
        <f>M23/$K$6</f>
        <v>#DIV/0!</v>
      </c>
      <c r="J23" s="1255"/>
      <c r="K23" s="1255"/>
      <c r="L23" s="1255"/>
      <c r="M23" s="1272"/>
      <c r="N23" s="1289"/>
      <c r="O23" s="1263"/>
      <c r="P23" s="4"/>
    </row>
    <row r="24" spans="1:17" x14ac:dyDescent="0.25">
      <c r="A24" s="2"/>
      <c r="B24" s="1285" t="s">
        <v>59</v>
      </c>
      <c r="C24" s="1286" t="str">
        <f>Sachaufwendungen!C22</f>
        <v>Wasser, Energie, Brennstoffe</v>
      </c>
      <c r="D24" s="1265">
        <f>Sachaufwendungen!L22</f>
        <v>0</v>
      </c>
      <c r="E24" s="1266">
        <f t="shared" si="5"/>
        <v>0</v>
      </c>
      <c r="F24" s="1259">
        <v>0.5</v>
      </c>
      <c r="G24" s="1267">
        <f>D24*F24</f>
        <v>0</v>
      </c>
      <c r="H24" s="1274" t="e">
        <f>G24/$K$6</f>
        <v>#DIV/0!</v>
      </c>
      <c r="I24" s="1268" t="e">
        <f>M24/$K$6</f>
        <v>#DIV/0!</v>
      </c>
      <c r="J24" s="1255"/>
      <c r="K24" s="1255"/>
      <c r="L24" s="1255"/>
      <c r="M24" s="1273">
        <f>D24*F24</f>
        <v>0</v>
      </c>
      <c r="N24" s="1263"/>
      <c r="O24" s="1263"/>
      <c r="P24" s="4"/>
    </row>
    <row r="25" spans="1:17" x14ac:dyDescent="0.25">
      <c r="A25" s="2"/>
      <c r="B25" s="1285" t="s">
        <v>61</v>
      </c>
      <c r="C25" s="1286" t="str">
        <f>Sachaufwendungen!C23</f>
        <v>Verwaltungsbedarf</v>
      </c>
      <c r="D25" s="1265">
        <f>Sachaufwendungen!L23</f>
        <v>0</v>
      </c>
      <c r="E25" s="1266">
        <f t="shared" si="5"/>
        <v>0</v>
      </c>
      <c r="F25" s="1259">
        <v>0.5</v>
      </c>
      <c r="G25" s="1267">
        <f>D25*F25</f>
        <v>0</v>
      </c>
      <c r="H25" s="1274" t="e">
        <f t="shared" ref="H25:H31" si="6">G25/$K$6</f>
        <v>#DIV/0!</v>
      </c>
      <c r="I25" s="1268" t="e">
        <f t="shared" ref="I25:I31" si="7">M25/$K$6</f>
        <v>#DIV/0!</v>
      </c>
      <c r="J25" s="1255"/>
      <c r="K25" s="1255"/>
      <c r="L25" s="1255"/>
      <c r="M25" s="1273">
        <f>D25*F25</f>
        <v>0</v>
      </c>
      <c r="N25" s="1263"/>
      <c r="O25" s="1263"/>
      <c r="P25" s="4"/>
    </row>
    <row r="26" spans="1:17" x14ac:dyDescent="0.25">
      <c r="A26" s="2"/>
      <c r="B26" s="1285" t="s">
        <v>63</v>
      </c>
      <c r="C26" s="1286" t="str">
        <f>Sachaufwendungen!C24</f>
        <v>Zentrale Verwaltungsdienste</v>
      </c>
      <c r="D26" s="1265">
        <f>Sachaufwendungen!L24</f>
        <v>0</v>
      </c>
      <c r="E26" s="1266">
        <f t="shared" si="5"/>
        <v>0</v>
      </c>
      <c r="F26" s="1259">
        <v>0.5</v>
      </c>
      <c r="G26" s="1267">
        <f t="shared" ref="G26:G31" si="8">D26*F26</f>
        <v>0</v>
      </c>
      <c r="H26" s="1274" t="e">
        <f t="shared" si="6"/>
        <v>#DIV/0!</v>
      </c>
      <c r="I26" s="1268" t="e">
        <f t="shared" si="7"/>
        <v>#DIV/0!</v>
      </c>
      <c r="J26" s="1255"/>
      <c r="K26" s="1255"/>
      <c r="L26" s="1255"/>
      <c r="M26" s="1273">
        <f t="shared" ref="M26:M31" si="9">D26*F26</f>
        <v>0</v>
      </c>
      <c r="N26" s="1263"/>
      <c r="O26" s="1263"/>
      <c r="P26" s="4"/>
    </row>
    <row r="27" spans="1:17" x14ac:dyDescent="0.25">
      <c r="A27" s="2"/>
      <c r="B27" s="1285" t="s">
        <v>65</v>
      </c>
      <c r="C27" s="1286" t="str">
        <f>Sachaufwendungen!C25</f>
        <v>Betreuungsaufwand</v>
      </c>
      <c r="D27" s="1265">
        <f>Sachaufwendungen!L25</f>
        <v>0</v>
      </c>
      <c r="E27" s="1266">
        <f t="shared" si="5"/>
        <v>0</v>
      </c>
      <c r="F27" s="1259">
        <v>1</v>
      </c>
      <c r="G27" s="1267">
        <f>D27*F27</f>
        <v>0</v>
      </c>
      <c r="H27" s="1274" t="e">
        <f>G27/$K$6</f>
        <v>#DIV/0!</v>
      </c>
      <c r="I27" s="1268" t="e">
        <f>M27/$K$6</f>
        <v>#DIV/0!</v>
      </c>
      <c r="J27" s="1255"/>
      <c r="K27" s="1255"/>
      <c r="L27" s="1255"/>
      <c r="M27" s="1290"/>
      <c r="N27" s="1263"/>
      <c r="O27" s="1263"/>
      <c r="P27" s="4"/>
    </row>
    <row r="28" spans="1:17" x14ac:dyDescent="0.25">
      <c r="A28" s="2"/>
      <c r="B28" s="1285" t="s">
        <v>67</v>
      </c>
      <c r="C28" s="1286" t="str">
        <f>Sachaufwendungen!C26</f>
        <v>Wirtschaftsbedarf</v>
      </c>
      <c r="D28" s="1265">
        <f>Sachaufwendungen!L26</f>
        <v>0</v>
      </c>
      <c r="E28" s="1266">
        <f t="shared" si="5"/>
        <v>0</v>
      </c>
      <c r="F28" s="1259">
        <v>0.5</v>
      </c>
      <c r="G28" s="1267">
        <f t="shared" si="8"/>
        <v>0</v>
      </c>
      <c r="H28" s="1274" t="e">
        <f t="shared" si="6"/>
        <v>#DIV/0!</v>
      </c>
      <c r="I28" s="1268" t="e">
        <f t="shared" si="7"/>
        <v>#DIV/0!</v>
      </c>
      <c r="J28" s="1255"/>
      <c r="K28" s="1255"/>
      <c r="L28" s="1255"/>
      <c r="M28" s="1273">
        <f t="shared" si="9"/>
        <v>0</v>
      </c>
      <c r="N28" s="1263"/>
      <c r="O28" s="1263"/>
      <c r="P28" s="4"/>
    </row>
    <row r="29" spans="1:17" x14ac:dyDescent="0.25">
      <c r="A29" s="2"/>
      <c r="B29" s="1285" t="s">
        <v>69</v>
      </c>
      <c r="C29" s="1286" t="str">
        <f>Sachaufwendungen!C27</f>
        <v>Steuern/Abgaben/Versicherungen</v>
      </c>
      <c r="D29" s="1265">
        <f>Sachaufwendungen!L27</f>
        <v>0</v>
      </c>
      <c r="E29" s="1266">
        <f t="shared" si="5"/>
        <v>0</v>
      </c>
      <c r="F29" s="1259">
        <v>0.5</v>
      </c>
      <c r="G29" s="1267">
        <f t="shared" si="8"/>
        <v>0</v>
      </c>
      <c r="H29" s="1274" t="e">
        <f t="shared" si="6"/>
        <v>#DIV/0!</v>
      </c>
      <c r="I29" s="1268" t="e">
        <f t="shared" si="7"/>
        <v>#DIV/0!</v>
      </c>
      <c r="J29" s="1255"/>
      <c r="K29" s="1255"/>
      <c r="L29" s="1255"/>
      <c r="M29" s="1273">
        <f t="shared" si="9"/>
        <v>0</v>
      </c>
      <c r="N29" s="1263"/>
      <c r="O29" s="1263"/>
      <c r="P29" s="4"/>
    </row>
    <row r="30" spans="1:17" x14ac:dyDescent="0.25">
      <c r="A30" s="2"/>
      <c r="B30" s="1285" t="s">
        <v>71</v>
      </c>
      <c r="C30" s="1286" t="str">
        <f>Sachaufwendungen!C28</f>
        <v>Wartung (keine Instandhaltung)</v>
      </c>
      <c r="D30" s="1265">
        <f>Sachaufwendungen!L28</f>
        <v>0</v>
      </c>
      <c r="E30" s="1266">
        <f t="shared" si="5"/>
        <v>0</v>
      </c>
      <c r="F30" s="1259">
        <v>0.5</v>
      </c>
      <c r="G30" s="1267">
        <f t="shared" si="8"/>
        <v>0</v>
      </c>
      <c r="H30" s="1274" t="e">
        <f t="shared" si="6"/>
        <v>#DIV/0!</v>
      </c>
      <c r="I30" s="1268" t="e">
        <f t="shared" si="7"/>
        <v>#DIV/0!</v>
      </c>
      <c r="J30" s="1255"/>
      <c r="K30" s="1255"/>
      <c r="L30" s="1255"/>
      <c r="M30" s="1273">
        <f t="shared" si="9"/>
        <v>0</v>
      </c>
      <c r="N30" s="1263"/>
      <c r="O30" s="1263"/>
      <c r="P30" s="4"/>
    </row>
    <row r="31" spans="1:17" x14ac:dyDescent="0.25">
      <c r="A31" s="2"/>
      <c r="B31" s="1285" t="s">
        <v>73</v>
      </c>
      <c r="C31" s="1286" t="str">
        <f>Sachaufwendungen!C29</f>
        <v>sonstige Aufwendungen</v>
      </c>
      <c r="D31" s="1265">
        <f>Sachaufwendungen!L29</f>
        <v>0</v>
      </c>
      <c r="E31" s="1266">
        <f t="shared" si="5"/>
        <v>0</v>
      </c>
      <c r="F31" s="1259">
        <v>0.5</v>
      </c>
      <c r="G31" s="1267">
        <f t="shared" si="8"/>
        <v>0</v>
      </c>
      <c r="H31" s="1274" t="e">
        <f t="shared" si="6"/>
        <v>#DIV/0!</v>
      </c>
      <c r="I31" s="1268" t="e">
        <f t="shared" si="7"/>
        <v>#DIV/0!</v>
      </c>
      <c r="J31" s="1255"/>
      <c r="K31" s="1255"/>
      <c r="L31" s="1255"/>
      <c r="M31" s="1273">
        <f t="shared" si="9"/>
        <v>0</v>
      </c>
      <c r="N31" s="1263"/>
      <c r="O31" s="1263"/>
      <c r="P31" s="4"/>
    </row>
    <row r="32" spans="1:17" x14ac:dyDescent="0.25">
      <c r="A32" s="2"/>
      <c r="D32" s="1278"/>
      <c r="E32" s="1279"/>
      <c r="F32" s="1279"/>
      <c r="G32" s="1255"/>
      <c r="H32" s="1280"/>
      <c r="I32" s="1280"/>
      <c r="J32" s="1255"/>
      <c r="K32" s="1255"/>
      <c r="L32" s="1255"/>
      <c r="M32" s="1281"/>
      <c r="N32" s="1263"/>
      <c r="O32" s="1263"/>
      <c r="P32" s="4"/>
    </row>
    <row r="33" spans="1:34" x14ac:dyDescent="0.25">
      <c r="A33" s="2"/>
      <c r="B33" s="131" t="s">
        <v>117</v>
      </c>
      <c r="C33" s="1334" t="s">
        <v>118</v>
      </c>
      <c r="D33" s="216">
        <f>SUM(D34:D40)</f>
        <v>0</v>
      </c>
      <c r="E33" s="1331">
        <f>G33+M33+N33</f>
        <v>0</v>
      </c>
      <c r="F33" s="1330"/>
      <c r="G33" s="1332">
        <f t="shared" ref="G33:I33" si="10">SUM(G34:G40)</f>
        <v>0</v>
      </c>
      <c r="H33" s="129" t="e">
        <f t="shared" si="10"/>
        <v>#DIV/0!</v>
      </c>
      <c r="I33" s="864" t="e">
        <f t="shared" si="10"/>
        <v>#DIV/0!</v>
      </c>
      <c r="J33" s="1283"/>
      <c r="K33" s="1283"/>
      <c r="L33" s="1283"/>
      <c r="M33" s="1284">
        <f>SUM(M34:M40)</f>
        <v>0</v>
      </c>
      <c r="N33" s="1262"/>
      <c r="O33" s="1263"/>
      <c r="P33" s="4"/>
    </row>
    <row r="34" spans="1:34" x14ac:dyDescent="0.25">
      <c r="A34" s="2"/>
      <c r="B34" s="1275" t="str">
        <f>Sachaufwendungen!B43</f>
        <v>3.1</v>
      </c>
      <c r="C34" s="1291" t="str">
        <f>Sachaufwendungen!C43</f>
        <v>Küche (ohne Pkt. 2.1)</v>
      </c>
      <c r="D34" s="1265">
        <f>Sachaufwendungen!L43</f>
        <v>0</v>
      </c>
      <c r="E34" s="1266">
        <f>G34+M34+N34+O34</f>
        <v>0</v>
      </c>
      <c r="F34" s="1259">
        <v>0.5</v>
      </c>
      <c r="G34" s="1267">
        <f>D34*F34</f>
        <v>0</v>
      </c>
      <c r="H34" s="1274" t="e">
        <f t="shared" ref="H34:H40" si="11">G34/$K$6</f>
        <v>#DIV/0!</v>
      </c>
      <c r="I34" s="1268" t="e">
        <f>M34/$K$6</f>
        <v>#DIV/0!</v>
      </c>
      <c r="J34" s="1255"/>
      <c r="K34" s="1255"/>
      <c r="L34" s="1255"/>
      <c r="M34" s="1273">
        <f>D34*F34</f>
        <v>0</v>
      </c>
      <c r="N34" s="1292"/>
      <c r="O34" s="1293"/>
      <c r="P34" s="4"/>
    </row>
    <row r="35" spans="1:34" x14ac:dyDescent="0.25">
      <c r="A35" s="2"/>
      <c r="B35" s="1275" t="str">
        <f>Sachaufwendungen!B44</f>
        <v>3.2</v>
      </c>
      <c r="C35" s="1291" t="str">
        <f>Sachaufwendungen!C44</f>
        <v>Wäscherei</v>
      </c>
      <c r="D35" s="1265">
        <f>Sachaufwendungen!L44</f>
        <v>0</v>
      </c>
      <c r="E35" s="1266">
        <f t="shared" ref="E35:E40" si="12">G35+M35+N35+O35</f>
        <v>0</v>
      </c>
      <c r="F35" s="1259">
        <v>0.5</v>
      </c>
      <c r="G35" s="1267">
        <f t="shared" ref="G35:G40" si="13">D35*F35</f>
        <v>0</v>
      </c>
      <c r="H35" s="1274" t="e">
        <f t="shared" si="11"/>
        <v>#DIV/0!</v>
      </c>
      <c r="I35" s="1268" t="e">
        <f t="shared" ref="I35:I40" si="14">M35/$K$6</f>
        <v>#DIV/0!</v>
      </c>
      <c r="J35" s="1255"/>
      <c r="K35" s="1255"/>
      <c r="L35" s="1255"/>
      <c r="M35" s="1273">
        <f t="shared" ref="M35:M40" si="15">D35*F35</f>
        <v>0</v>
      </c>
      <c r="N35" s="1293"/>
      <c r="O35" s="1293"/>
      <c r="P35" s="1294"/>
    </row>
    <row r="36" spans="1:34" x14ac:dyDescent="0.25">
      <c r="A36" s="2"/>
      <c r="B36" s="1275" t="str">
        <f>Sachaufwendungen!B45</f>
        <v>3.3</v>
      </c>
      <c r="C36" s="1291" t="str">
        <f>Sachaufwendungen!C45</f>
        <v>Reinigung</v>
      </c>
      <c r="D36" s="1265">
        <f>Sachaufwendungen!L45</f>
        <v>0</v>
      </c>
      <c r="E36" s="1266">
        <f t="shared" si="12"/>
        <v>0</v>
      </c>
      <c r="F36" s="1259">
        <v>0.5</v>
      </c>
      <c r="G36" s="1267">
        <f t="shared" si="13"/>
        <v>0</v>
      </c>
      <c r="H36" s="1274" t="e">
        <f t="shared" si="11"/>
        <v>#DIV/0!</v>
      </c>
      <c r="I36" s="1268" t="e">
        <f t="shared" si="14"/>
        <v>#DIV/0!</v>
      </c>
      <c r="J36" s="1255"/>
      <c r="K36" s="1255"/>
      <c r="L36" s="1255"/>
      <c r="M36" s="1273">
        <f t="shared" si="15"/>
        <v>0</v>
      </c>
      <c r="N36" s="1295"/>
      <c r="O36" s="1293"/>
      <c r="P36" s="4"/>
    </row>
    <row r="37" spans="1:34" x14ac:dyDescent="0.25">
      <c r="A37" s="2"/>
      <c r="B37" s="1275" t="str">
        <f>Sachaufwendungen!B46</f>
        <v>3.4</v>
      </c>
      <c r="C37" s="1291" t="str">
        <f>Sachaufwendungen!C46</f>
        <v>Haustechnik</v>
      </c>
      <c r="D37" s="1265">
        <f>Sachaufwendungen!L46</f>
        <v>0</v>
      </c>
      <c r="E37" s="1266">
        <f t="shared" si="12"/>
        <v>0</v>
      </c>
      <c r="F37" s="1259">
        <v>0.5</v>
      </c>
      <c r="G37" s="1267">
        <f t="shared" si="13"/>
        <v>0</v>
      </c>
      <c r="H37" s="1274" t="e">
        <f t="shared" si="11"/>
        <v>#DIV/0!</v>
      </c>
      <c r="I37" s="1268" t="e">
        <f t="shared" si="14"/>
        <v>#DIV/0!</v>
      </c>
      <c r="J37" s="1255"/>
      <c r="K37" s="1255"/>
      <c r="L37" s="1255"/>
      <c r="M37" s="1273">
        <f t="shared" si="15"/>
        <v>0</v>
      </c>
      <c r="N37" s="1296"/>
      <c r="O37" s="1297"/>
      <c r="P37" s="4"/>
    </row>
    <row r="38" spans="1:34" x14ac:dyDescent="0.25">
      <c r="A38" s="2"/>
      <c r="B38" s="1275" t="str">
        <f>Sachaufwendungen!B47</f>
        <v>3.5</v>
      </c>
      <c r="C38" s="1291" t="str">
        <f>Sachaufwendungen!C47</f>
        <v>Verwaltung</v>
      </c>
      <c r="D38" s="1265">
        <f>Sachaufwendungen!L47</f>
        <v>0</v>
      </c>
      <c r="E38" s="1266">
        <f t="shared" si="12"/>
        <v>0</v>
      </c>
      <c r="F38" s="1259">
        <v>0.5</v>
      </c>
      <c r="G38" s="1267">
        <f t="shared" si="13"/>
        <v>0</v>
      </c>
      <c r="H38" s="1274" t="e">
        <f t="shared" si="11"/>
        <v>#DIV/0!</v>
      </c>
      <c r="I38" s="1268" t="e">
        <f t="shared" si="14"/>
        <v>#DIV/0!</v>
      </c>
      <c r="J38" s="1255"/>
      <c r="K38" s="1255"/>
      <c r="L38" s="1255"/>
      <c r="M38" s="1273">
        <f t="shared" si="15"/>
        <v>0</v>
      </c>
      <c r="N38" s="1263"/>
      <c r="O38" s="1263"/>
      <c r="P38" s="4"/>
    </row>
    <row r="39" spans="1:34" x14ac:dyDescent="0.25">
      <c r="A39" s="2"/>
      <c r="B39" s="1275" t="str">
        <f>Sachaufwendungen!B48</f>
        <v>3.6</v>
      </c>
      <c r="C39" s="1298" t="str">
        <f>IF(Sachaufwendungen!C48&lt;&gt;"",Sachaufwendungen!C48,"")</f>
        <v/>
      </c>
      <c r="D39" s="1265">
        <f>Sachaufwendungen!L48</f>
        <v>0</v>
      </c>
      <c r="E39" s="1266">
        <f t="shared" si="12"/>
        <v>0</v>
      </c>
      <c r="F39" s="1259">
        <v>0.5</v>
      </c>
      <c r="G39" s="1267">
        <f t="shared" si="13"/>
        <v>0</v>
      </c>
      <c r="H39" s="1274" t="e">
        <f>G39/$K$6</f>
        <v>#DIV/0!</v>
      </c>
      <c r="I39" s="1268" t="e">
        <f t="shared" si="14"/>
        <v>#DIV/0!</v>
      </c>
      <c r="J39" s="1255"/>
      <c r="K39" s="1255"/>
      <c r="L39" s="1255"/>
      <c r="M39" s="1273">
        <f t="shared" si="15"/>
        <v>0</v>
      </c>
      <c r="N39" s="1263"/>
      <c r="O39" s="1263"/>
      <c r="P39" s="4"/>
    </row>
    <row r="40" spans="1:34" x14ac:dyDescent="0.25">
      <c r="A40" s="2"/>
      <c r="B40" s="1275" t="str">
        <f>Sachaufwendungen!B49</f>
        <v>3.7</v>
      </c>
      <c r="C40" s="1298" t="str">
        <f>IF(Sachaufwendungen!C49&lt;&gt;"",Sachaufwendungen!C49,"")</f>
        <v/>
      </c>
      <c r="D40" s="1265">
        <f>Sachaufwendungen!L49</f>
        <v>0</v>
      </c>
      <c r="E40" s="1299">
        <f t="shared" si="12"/>
        <v>0</v>
      </c>
      <c r="F40" s="1300">
        <v>0.5</v>
      </c>
      <c r="G40" s="1254">
        <f t="shared" si="13"/>
        <v>0</v>
      </c>
      <c r="H40" s="1301" t="e">
        <f t="shared" si="11"/>
        <v>#DIV/0!</v>
      </c>
      <c r="I40" s="1302" t="e">
        <f t="shared" si="14"/>
        <v>#DIV/0!</v>
      </c>
      <c r="J40" s="1255"/>
      <c r="K40" s="1255"/>
      <c r="L40" s="1255"/>
      <c r="M40" s="1303">
        <f t="shared" si="15"/>
        <v>0</v>
      </c>
      <c r="N40" s="1263"/>
      <c r="O40" s="1263"/>
      <c r="P40" s="4"/>
      <c r="Q40" s="2"/>
    </row>
    <row r="41" spans="1:34" s="1029" customFormat="1" ht="13.2" x14ac:dyDescent="0.25">
      <c r="A41" s="1329"/>
      <c r="D41" s="1304"/>
      <c r="E41" s="1305"/>
      <c r="F41" s="1305"/>
      <c r="G41" s="1305"/>
      <c r="H41" s="1304"/>
      <c r="I41" s="1304"/>
      <c r="J41" s="1306"/>
      <c r="K41" s="1306"/>
      <c r="L41" s="1306"/>
      <c r="M41" s="1307"/>
      <c r="N41" s="1308"/>
      <c r="O41" s="1308"/>
      <c r="P41" s="1309"/>
      <c r="Q41" s="1058"/>
      <c r="R41" s="821"/>
      <c r="S41" s="821"/>
      <c r="T41" s="821"/>
      <c r="U41" s="821"/>
      <c r="V41" s="821"/>
      <c r="W41" s="821"/>
      <c r="X41" s="821"/>
      <c r="Y41" s="821"/>
      <c r="Z41" s="821"/>
      <c r="AA41" s="821"/>
      <c r="AB41" s="821"/>
      <c r="AC41" s="821"/>
      <c r="AD41" s="821"/>
      <c r="AE41" s="821"/>
      <c r="AF41" s="821"/>
      <c r="AG41" s="821"/>
      <c r="AH41" s="821"/>
    </row>
    <row r="42" spans="1:34" s="821" customFormat="1" ht="13.2" x14ac:dyDescent="0.25">
      <c r="A42" s="1058"/>
      <c r="D42" s="1283"/>
      <c r="E42" s="1261"/>
      <c r="F42" s="1261"/>
      <c r="G42" s="1261"/>
      <c r="H42" s="1283"/>
      <c r="I42" s="1283"/>
      <c r="J42" s="1306"/>
      <c r="K42" s="1306"/>
      <c r="L42" s="1306"/>
      <c r="M42" s="1308"/>
      <c r="N42" s="1308"/>
      <c r="O42" s="1308"/>
      <c r="P42" s="1309"/>
    </row>
    <row r="43" spans="1:34" x14ac:dyDescent="0.25">
      <c r="A43" s="2"/>
      <c r="B43" s="1057"/>
      <c r="C43" s="941"/>
      <c r="D43" s="1310"/>
      <c r="E43" s="1311"/>
      <c r="F43" s="1312"/>
      <c r="G43" s="1255"/>
      <c r="H43" s="1856"/>
      <c r="I43" s="1857"/>
      <c r="J43" s="1857"/>
      <c r="K43" s="1858"/>
      <c r="L43" s="1313"/>
      <c r="M43" s="1314"/>
      <c r="N43" s="1281"/>
      <c r="O43" s="1262"/>
      <c r="P43" s="4"/>
    </row>
    <row r="44" spans="1:34" x14ac:dyDescent="0.25">
      <c r="A44" s="2"/>
      <c r="B44" s="1057"/>
      <c r="C44" s="941"/>
      <c r="D44" s="1310"/>
      <c r="E44" s="939"/>
      <c r="F44" s="940"/>
      <c r="G44" s="147"/>
      <c r="H44" s="1859" t="s">
        <v>446</v>
      </c>
      <c r="I44" s="1860"/>
      <c r="J44" s="1860"/>
      <c r="K44" s="1861"/>
      <c r="L44" s="1313"/>
      <c r="M44" s="1314"/>
      <c r="N44" s="1281"/>
      <c r="O44" s="1262"/>
      <c r="P44" s="4"/>
    </row>
    <row r="45" spans="1:34" x14ac:dyDescent="0.25">
      <c r="A45" s="2"/>
      <c r="G45" s="123"/>
      <c r="H45" s="1327" t="s">
        <v>460</v>
      </c>
      <c r="I45" s="1328" t="s">
        <v>461</v>
      </c>
      <c r="J45" s="1328" t="s">
        <v>462</v>
      </c>
      <c r="K45" s="1328" t="s">
        <v>465</v>
      </c>
      <c r="L45" s="1320"/>
      <c r="M45" s="936"/>
      <c r="N45" s="227"/>
      <c r="O45" s="936"/>
      <c r="P45" s="4"/>
    </row>
    <row r="46" spans="1:34" x14ac:dyDescent="0.25">
      <c r="A46" s="2"/>
      <c r="D46" s="6" t="s">
        <v>514</v>
      </c>
      <c r="F46" s="17"/>
      <c r="G46" s="952"/>
      <c r="H46" s="953" t="e">
        <f>ROUND(H33+H21+H13,2)</f>
        <v>#DIV/0!</v>
      </c>
      <c r="I46" s="954" t="e">
        <f>ROUND(I33+I21+I13,2)</f>
        <v>#DIV/0!</v>
      </c>
      <c r="J46" s="953" t="e">
        <f>ROUND(J21,2)</f>
        <v>#DIV/0!</v>
      </c>
      <c r="K46" s="953" t="e">
        <f>ROUND(K13,2)</f>
        <v>#VALUE!</v>
      </c>
      <c r="L46" s="1321"/>
      <c r="M46" s="869"/>
      <c r="N46" s="869"/>
      <c r="O46" s="1322"/>
      <c r="P46" s="4"/>
      <c r="Q46" s="11"/>
      <c r="R46" s="269"/>
    </row>
    <row r="47" spans="1:34" ht="15.75" customHeight="1" x14ac:dyDescent="0.25">
      <c r="A47" s="2"/>
      <c r="D47" s="6"/>
      <c r="E47" s="941"/>
      <c r="F47" s="942"/>
      <c r="G47" s="943"/>
      <c r="H47" s="942"/>
      <c r="I47" s="1317"/>
      <c r="J47" s="1317"/>
      <c r="K47" s="942"/>
      <c r="L47" s="942"/>
      <c r="M47" s="936"/>
      <c r="N47" s="936"/>
      <c r="O47" s="936"/>
      <c r="P47" s="4"/>
      <c r="Q47" s="944"/>
      <c r="R47" s="267"/>
    </row>
    <row r="48" spans="1:34" x14ac:dyDescent="0.25">
      <c r="A48" s="2"/>
      <c r="C48" s="5"/>
      <c r="G48" s="6"/>
      <c r="H48" s="1323"/>
      <c r="I48" s="1323"/>
      <c r="J48" s="1323"/>
      <c r="K48" s="1323"/>
      <c r="L48" s="1323"/>
      <c r="M48" s="869"/>
      <c r="N48" s="869"/>
      <c r="P48" s="4"/>
      <c r="R48" s="267"/>
    </row>
    <row r="49" spans="1:18" x14ac:dyDescent="0.25">
      <c r="A49" s="41"/>
      <c r="B49" s="42"/>
      <c r="C49" s="67"/>
      <c r="D49" s="42"/>
      <c r="E49" s="42"/>
      <c r="F49" s="42"/>
      <c r="G49" s="277"/>
      <c r="H49" s="42"/>
      <c r="I49" s="42"/>
      <c r="J49" s="27"/>
      <c r="K49" s="27"/>
      <c r="L49" s="27"/>
      <c r="M49" s="1324"/>
      <c r="N49" s="1324"/>
      <c r="O49" s="1325"/>
      <c r="P49" s="1326"/>
      <c r="R49" s="267"/>
    </row>
    <row r="50" spans="1:18" ht="14.4" thickBot="1" x14ac:dyDescent="0.3">
      <c r="C50" s="5"/>
      <c r="G50" s="6"/>
      <c r="J50" s="11"/>
      <c r="K50" s="11"/>
      <c r="L50" s="11"/>
      <c r="M50" s="869"/>
      <c r="N50" s="869"/>
      <c r="R50" s="267"/>
    </row>
    <row r="51" spans="1:18" ht="14.4" thickBot="1" x14ac:dyDescent="0.3">
      <c r="D51" s="374"/>
      <c r="E51" s="858"/>
      <c r="F51" s="375"/>
      <c r="G51" s="375"/>
      <c r="H51" s="1633" t="s">
        <v>323</v>
      </c>
      <c r="I51" s="1634"/>
      <c r="J51" s="1634"/>
      <c r="K51" s="1635"/>
      <c r="M51" s="871"/>
      <c r="Q51" s="77"/>
    </row>
    <row r="52" spans="1:18" x14ac:dyDescent="0.25">
      <c r="H52" s="295"/>
      <c r="K52" s="1576"/>
    </row>
  </sheetData>
  <sheetProtection algorithmName="SHA-512" hashValue="5ZM8qUoE6PXyz7Ix84ozhuEhsr6vC20P4ecdDa5sAMQR/2amDhQ2N1zHEwEnlNOJw4V2o1z2OcRI0wZJc9jFyg==" saltValue="x3AhLMU2hrYATg+ehbh/+Q==" spinCount="100000" sheet="1" selectLockedCells="1"/>
  <customSheetViews>
    <customSheetView guid="{CDDBAA41-0D3E-44AF-A85A-332C81A5DAE4}" showGridLines="0" fitToPage="1" hiddenColumns="1">
      <pane xSplit="3" ySplit="15" topLeftCell="D1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headerFooter>
        <oddHeader>&amp;C&amp;9Seite 6</oddHeader>
        <oddFooter>&amp;C&amp;8Verhandlungsunterlagen SGB XI&amp;R&amp;8Version Kostenträger Stand: 29.11.2018</oddFooter>
      </headerFooter>
    </customSheetView>
  </customSheetViews>
  <mergeCells count="7">
    <mergeCell ref="A1:P1"/>
    <mergeCell ref="A2:P2"/>
    <mergeCell ref="A3:P3"/>
    <mergeCell ref="A4:P4"/>
    <mergeCell ref="H51:K51"/>
    <mergeCell ref="H43:K43"/>
    <mergeCell ref="H44:K44"/>
  </mergeCells>
  <conditionalFormatting sqref="D19:D31">
    <cfRule type="cellIs" dxfId="10" priority="42" operator="between">
      <formula>0</formula>
      <formula>0</formula>
    </cfRule>
  </conditionalFormatting>
  <conditionalFormatting sqref="D33:D40">
    <cfRule type="cellIs" dxfId="9" priority="41" operator="between">
      <formula>0</formula>
      <formula>0</formula>
    </cfRule>
  </conditionalFormatting>
  <conditionalFormatting sqref="D43:H43 L43:P44 D44:G44 D13:P42 D45:P47">
    <cfRule type="containsErrors" dxfId="8" priority="61">
      <formula>ISERROR(D13)</formula>
    </cfRule>
  </conditionalFormatting>
  <conditionalFormatting sqref="G48:G50">
    <cfRule type="containsErrors" dxfId="7" priority="39">
      <formula>ISERROR(G48)</formula>
    </cfRule>
  </conditionalFormatting>
  <conditionalFormatting sqref="J46:L46">
    <cfRule type="containsText" dxfId="4" priority="43" operator="containsText" text="FALSCH">
      <formula>NOT(ISERROR(SEARCH("FALSCH",J46)))</formula>
    </cfRule>
  </conditionalFormatting>
  <conditionalFormatting sqref="K6">
    <cfRule type="cellIs" dxfId="3" priority="47" operator="between">
      <formula>0</formula>
      <formula>0</formula>
    </cfRule>
  </conditionalFormatting>
  <conditionalFormatting sqref="M48:N50">
    <cfRule type="containsErrors" dxfId="1" priority="34">
      <formula>ISERROR(M48)</formula>
    </cfRule>
  </conditionalFormatting>
  <conditionalFormatting sqref="R47:R50">
    <cfRule type="containsErrors" dxfId="0" priority="4">
      <formula>ISERROR(R47)</formula>
    </cfRule>
  </conditionalFormatting>
  <hyperlinks>
    <hyperlink ref="H51" location="'Anlage 1'!A1" display="Anlage 1" xr:uid="{00000000-0004-0000-0900-000000000000}"/>
    <hyperlink ref="H51:K51"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67" orientation="landscape"/>
  <headerFooter>
    <oddHeader>&amp;C&amp;9&amp;A</oddHeader>
    <oddFooter>&amp;L&amp;8Version:12.10.2026&amp;C&amp;8Verhandlungsunterlagen KZP SGB XI&amp;R&amp;8PSK vom 08.10.2026</oddFooter>
  </headerFooter>
  <ignoredErrors>
    <ignoredError sqref="I33:I40 H33:H40" evalError="1"/>
  </ignoredErrors>
  <extLst>
    <ext xmlns:x14="http://schemas.microsoft.com/office/spreadsheetml/2009/9/main" uri="{78C0D931-6437-407d-A8EE-F0AAD7539E65}">
      <x14:conditionalFormattings>
        <x14:conditionalFormatting xmlns:xm="http://schemas.microsoft.com/office/excel/2006/main">
          <x14:cfRule type="expression" priority="52" id="{074122E9-B25B-47E2-9727-2EAB10277E85}">
            <xm:f>'Allgemeine Angaben'!$D$7="kzp"</xm:f>
            <x14:dxf>
              <font>
                <color theme="0"/>
              </font>
              <fill>
                <patternFill>
                  <fgColor theme="0"/>
                  <bgColor theme="0"/>
                </patternFill>
              </fill>
              <border>
                <left/>
                <right/>
                <bottom/>
                <vertical/>
                <horizontal/>
              </border>
            </x14:dxf>
          </x14:cfRule>
          <x14:cfRule type="expression" priority="55" id="{B76BB2F1-06D1-44A0-8EA3-3294A0622347}">
            <xm:f>'Allgemeine Angaben'!$D$7="tst"</xm:f>
            <x14:dxf>
              <font>
                <color theme="0"/>
              </font>
              <fill>
                <patternFill>
                  <bgColor theme="0"/>
                </patternFill>
              </fill>
              <border>
                <left/>
                <right/>
                <bottom/>
                <vertical/>
                <horizontal/>
              </border>
            </x14:dxf>
          </x14:cfRule>
          <xm:sqref>B43:H43 L43:M44 B44:G44</xm:sqref>
        </x14:conditionalFormatting>
        <x14:conditionalFormatting xmlns:xm="http://schemas.microsoft.com/office/excel/2006/main">
          <x14:cfRule type="expression" priority="2" id="{233FCF2A-E80E-4840-96BA-A419F5030BC6}">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H48:J48</xm:sqref>
        </x14:conditionalFormatting>
        <x14:conditionalFormatting xmlns:xm="http://schemas.microsoft.com/office/excel/2006/main">
          <x14:cfRule type="expression" priority="1" id="{7BE071F2-463B-43C5-A181-925BB560556F}">
            <xm:f>'Allgemeine Angaben'!$D$7="tst"</xm:f>
            <x14:dxf>
              <font>
                <color theme="0"/>
              </font>
              <fill>
                <patternFill>
                  <bgColor theme="0"/>
                </patternFill>
              </fill>
              <border>
                <left/>
                <right/>
                <top/>
                <bottom/>
                <vertical/>
                <horizontal/>
              </border>
            </x14:dxf>
          </x14:cfRule>
          <xm:sqref>H51:L51</xm:sqref>
        </x14:conditionalFormatting>
        <x14:conditionalFormatting xmlns:xm="http://schemas.microsoft.com/office/excel/2006/main">
          <x14:cfRule type="expression" priority="9" id="{740B77BE-7129-4761-ADE8-D1AFE7D12FC4}">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K48:L48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64"/>
  <sheetViews>
    <sheetView showGridLines="0" zoomScaleNormal="100" workbookViewId="0">
      <selection activeCell="H6" sqref="H6"/>
    </sheetView>
  </sheetViews>
  <sheetFormatPr baseColWidth="10" defaultRowHeight="13.8" x14ac:dyDescent="0.25"/>
  <cols>
    <col min="1" max="2" width="3.59765625" style="340" customWidth="1"/>
    <col min="3" max="3" width="3.19921875" style="340" customWidth="1"/>
    <col min="4" max="4" width="3.09765625" style="340" customWidth="1"/>
    <col min="5" max="5" width="3.5" style="340" customWidth="1"/>
    <col min="6" max="6" width="11" style="340"/>
    <col min="7" max="7" width="3.09765625" style="340" customWidth="1"/>
    <col min="8" max="8" width="3.5" style="340" customWidth="1"/>
    <col min="9" max="9" width="11" style="340"/>
    <col min="10" max="10" width="11.8984375" style="340" customWidth="1"/>
    <col min="11" max="11" width="3.09765625" style="340" customWidth="1"/>
    <col min="12" max="12" width="17.69921875" style="340" customWidth="1"/>
    <col min="13" max="13" width="18.8984375" style="340" customWidth="1"/>
    <col min="14" max="14" width="4" style="340" customWidth="1"/>
  </cols>
  <sheetData>
    <row r="1" spans="1:17" ht="15.6" x14ac:dyDescent="0.3">
      <c r="A1" s="1864" t="s">
        <v>511</v>
      </c>
      <c r="B1" s="1865"/>
      <c r="C1" s="1865"/>
      <c r="D1" s="1865"/>
      <c r="E1" s="1865"/>
      <c r="F1" s="1865"/>
      <c r="G1" s="1865"/>
      <c r="H1" s="1865"/>
      <c r="I1" s="1865"/>
      <c r="J1" s="1865"/>
      <c r="K1" s="1865"/>
      <c r="L1" s="1865"/>
      <c r="M1" s="1865"/>
      <c r="N1" s="1866"/>
      <c r="O1" s="218"/>
    </row>
    <row r="2" spans="1:17" ht="15" x14ac:dyDescent="0.25">
      <c r="A2" s="1867"/>
      <c r="B2" s="1868"/>
      <c r="C2" s="1868"/>
      <c r="D2" s="1868"/>
      <c r="E2" s="1868"/>
      <c r="F2" s="1868"/>
      <c r="G2" s="1868"/>
      <c r="H2" s="1868"/>
      <c r="I2" s="1868"/>
      <c r="J2" s="1868"/>
      <c r="K2" s="1868"/>
      <c r="L2" s="1868"/>
      <c r="M2" s="1868"/>
      <c r="N2" s="1869"/>
      <c r="O2" s="187"/>
    </row>
    <row r="3" spans="1:17" ht="15.6" x14ac:dyDescent="0.3">
      <c r="A3" s="1870" t="str">
        <f>'Allgemeine Angaben'!A3:N3</f>
        <v/>
      </c>
      <c r="B3" s="1871"/>
      <c r="C3" s="1871"/>
      <c r="D3" s="1871"/>
      <c r="E3" s="1871"/>
      <c r="F3" s="1871"/>
      <c r="G3" s="1871"/>
      <c r="H3" s="1871"/>
      <c r="I3" s="1871"/>
      <c r="J3" s="1871"/>
      <c r="K3" s="1871"/>
      <c r="L3" s="1871"/>
      <c r="M3" s="1871"/>
      <c r="N3" s="1872"/>
    </row>
    <row r="4" spans="1:17" ht="15.6" x14ac:dyDescent="0.3">
      <c r="A4" s="1870" t="str">
        <f>'Allgemeine Angaben'!A4</f>
        <v/>
      </c>
      <c r="B4" s="1871"/>
      <c r="C4" s="1871"/>
      <c r="D4" s="1871"/>
      <c r="E4" s="1871"/>
      <c r="F4" s="1871"/>
      <c r="G4" s="1871"/>
      <c r="H4" s="1871"/>
      <c r="I4" s="1871"/>
      <c r="J4" s="1871"/>
      <c r="K4" s="1871"/>
      <c r="L4" s="1871"/>
      <c r="M4" s="1871"/>
      <c r="N4" s="1872"/>
      <c r="O4" s="208"/>
      <c r="Q4" s="187"/>
    </row>
    <row r="5" spans="1:17" ht="16.2" thickBot="1" x14ac:dyDescent="0.35">
      <c r="A5" s="338"/>
      <c r="B5" s="339"/>
      <c r="N5" s="341"/>
      <c r="O5" s="340"/>
      <c r="Q5" s="187"/>
    </row>
    <row r="6" spans="1:17" s="344" customFormat="1" ht="16.2" thickBot="1" x14ac:dyDescent="0.35">
      <c r="A6" s="342"/>
      <c r="B6" s="1873" t="s">
        <v>301</v>
      </c>
      <c r="C6" s="1873"/>
      <c r="D6" s="1873"/>
      <c r="E6" s="1873"/>
      <c r="F6" s="1873"/>
      <c r="G6" s="1874"/>
      <c r="H6" s="343"/>
      <c r="J6" s="339"/>
      <c r="K6" s="343"/>
      <c r="L6" s="1875" t="s">
        <v>302</v>
      </c>
      <c r="M6" s="1873"/>
      <c r="N6" s="345"/>
      <c r="Q6" s="346"/>
    </row>
    <row r="7" spans="1:17" ht="14.25" customHeight="1" x14ac:dyDescent="0.25">
      <c r="A7" s="338"/>
      <c r="N7" s="341"/>
      <c r="O7" s="340"/>
    </row>
    <row r="8" spans="1:17" ht="27" customHeight="1" x14ac:dyDescent="0.25">
      <c r="A8" s="338"/>
      <c r="B8" s="1876" t="s">
        <v>512</v>
      </c>
      <c r="C8" s="1876"/>
      <c r="D8" s="1876"/>
      <c r="E8" s="1876"/>
      <c r="F8" s="1876"/>
      <c r="G8" s="1876"/>
      <c r="H8" s="1876"/>
      <c r="I8" s="1876"/>
      <c r="J8" s="1876"/>
      <c r="K8" s="1876"/>
      <c r="L8" s="1876"/>
      <c r="M8" s="1876"/>
      <c r="N8" s="341"/>
      <c r="O8" s="340"/>
    </row>
    <row r="9" spans="1:17" ht="15.6" x14ac:dyDescent="0.3">
      <c r="A9" s="338"/>
      <c r="B9" s="347"/>
      <c r="N9" s="341"/>
      <c r="O9" s="340"/>
      <c r="Q9" s="348"/>
    </row>
    <row r="10" spans="1:17" s="344" customFormat="1" ht="15" x14ac:dyDescent="0.25">
      <c r="A10" s="349"/>
      <c r="B10" s="350" t="s">
        <v>303</v>
      </c>
      <c r="C10" s="350" t="s">
        <v>304</v>
      </c>
      <c r="D10" s="350"/>
      <c r="E10" s="350"/>
      <c r="F10" s="350"/>
      <c r="G10" s="350"/>
      <c r="I10" s="350"/>
      <c r="J10" s="350"/>
      <c r="N10" s="351"/>
    </row>
    <row r="11" spans="1:17" ht="12.75" customHeight="1" thickBot="1" x14ac:dyDescent="0.35">
      <c r="A11" s="338"/>
      <c r="B11" s="347"/>
      <c r="N11" s="341"/>
      <c r="O11" s="340"/>
    </row>
    <row r="12" spans="1:17" ht="16.2" thickBot="1" x14ac:dyDescent="0.35">
      <c r="A12" s="338"/>
      <c r="D12" s="352"/>
      <c r="F12" s="339" t="s">
        <v>305</v>
      </c>
      <c r="G12" s="348"/>
      <c r="H12" s="348"/>
      <c r="I12" s="348"/>
      <c r="N12" s="341"/>
      <c r="O12" s="340"/>
    </row>
    <row r="13" spans="1:17" ht="15" x14ac:dyDescent="0.25">
      <c r="A13" s="338"/>
      <c r="F13" s="350" t="s">
        <v>306</v>
      </c>
      <c r="G13" s="353"/>
      <c r="H13" s="353"/>
      <c r="I13" s="353"/>
      <c r="J13" s="353"/>
      <c r="K13" s="353"/>
      <c r="N13" s="341"/>
      <c r="O13" s="340"/>
    </row>
    <row r="14" spans="1:17" ht="12.75" customHeight="1" thickBot="1" x14ac:dyDescent="0.3">
      <c r="A14" s="338"/>
      <c r="F14" s="353"/>
      <c r="G14" s="353"/>
      <c r="H14" s="353"/>
      <c r="I14" s="353"/>
      <c r="J14" s="353"/>
      <c r="K14" s="353"/>
      <c r="N14" s="341"/>
      <c r="O14" s="340"/>
    </row>
    <row r="15" spans="1:17" ht="16.2" thickBot="1" x14ac:dyDescent="0.35">
      <c r="A15" s="338"/>
      <c r="D15" s="352"/>
      <c r="F15" s="339" t="s">
        <v>307</v>
      </c>
      <c r="G15" s="348"/>
      <c r="H15" s="348"/>
      <c r="I15" s="348"/>
      <c r="N15" s="341"/>
      <c r="O15" s="340"/>
    </row>
    <row r="16" spans="1:17" ht="15" x14ac:dyDescent="0.25">
      <c r="A16" s="338"/>
      <c r="F16" s="350" t="s">
        <v>308</v>
      </c>
      <c r="N16" s="341"/>
      <c r="O16" s="340"/>
    </row>
    <row r="17" spans="1:15" x14ac:dyDescent="0.25">
      <c r="A17" s="338"/>
      <c r="F17" s="353"/>
      <c r="N17" s="341"/>
      <c r="O17" s="340"/>
    </row>
    <row r="18" spans="1:15" s="344" customFormat="1" ht="15" x14ac:dyDescent="0.25">
      <c r="A18" s="349"/>
      <c r="B18" s="350" t="s">
        <v>309</v>
      </c>
      <c r="C18" s="350" t="s">
        <v>310</v>
      </c>
      <c r="D18" s="350"/>
      <c r="E18" s="350"/>
      <c r="F18" s="350"/>
      <c r="G18" s="350"/>
      <c r="H18" s="350"/>
      <c r="I18" s="350"/>
      <c r="J18" s="350"/>
      <c r="L18" s="350"/>
      <c r="M18" s="350"/>
      <c r="N18" s="354"/>
    </row>
    <row r="19" spans="1:15" ht="12.75" customHeight="1" thickBot="1" x14ac:dyDescent="0.3">
      <c r="A19" s="338"/>
      <c r="C19" s="348"/>
      <c r="D19" s="348"/>
      <c r="E19" s="348"/>
      <c r="F19" s="348"/>
      <c r="G19" s="348"/>
      <c r="H19" s="348"/>
      <c r="I19" s="348"/>
      <c r="J19" s="348"/>
      <c r="K19" s="348"/>
      <c r="L19" s="348"/>
      <c r="M19" s="348"/>
      <c r="N19" s="355"/>
      <c r="O19" s="340"/>
    </row>
    <row r="20" spans="1:15" ht="14.4" thickBot="1" x14ac:dyDescent="0.3">
      <c r="A20" s="338"/>
      <c r="C20" s="348"/>
      <c r="D20" s="356"/>
      <c r="E20" s="19"/>
      <c r="F20" s="1877" t="s">
        <v>311</v>
      </c>
      <c r="G20" s="1877"/>
      <c r="H20" s="1877"/>
      <c r="I20" s="1877"/>
      <c r="J20" s="1877"/>
      <c r="K20" s="1877"/>
      <c r="L20" s="1877"/>
      <c r="M20" s="357"/>
      <c r="N20" s="358"/>
      <c r="O20" s="340"/>
    </row>
    <row r="21" spans="1:15" x14ac:dyDescent="0.25">
      <c r="A21" s="338"/>
      <c r="C21" s="348"/>
      <c r="D21" s="19"/>
      <c r="E21" s="19"/>
      <c r="F21" s="359" t="s">
        <v>312</v>
      </c>
      <c r="G21" s="359"/>
      <c r="H21" s="359"/>
      <c r="I21" s="359"/>
      <c r="J21" s="359"/>
      <c r="K21" s="359"/>
      <c r="L21" s="359"/>
      <c r="M21" s="357"/>
      <c r="N21" s="358"/>
      <c r="O21" s="360"/>
    </row>
    <row r="22" spans="1:15" x14ac:dyDescent="0.25">
      <c r="A22" s="338"/>
      <c r="C22" s="348"/>
      <c r="D22" s="19"/>
      <c r="E22" s="19"/>
      <c r="F22" s="1877"/>
      <c r="G22" s="1877"/>
      <c r="H22" s="1877"/>
      <c r="I22" s="1877"/>
      <c r="J22" s="1877"/>
      <c r="K22" s="1877"/>
      <c r="L22" s="1877"/>
      <c r="M22" s="357"/>
      <c r="N22" s="358"/>
      <c r="O22" s="340"/>
    </row>
    <row r="23" spans="1:15" ht="12.75" customHeight="1" thickBot="1" x14ac:dyDescent="0.3">
      <c r="A23" s="338"/>
      <c r="C23" s="348"/>
      <c r="D23" s="19"/>
      <c r="E23" s="19"/>
      <c r="F23" s="19"/>
      <c r="G23" s="19"/>
      <c r="H23" s="19"/>
      <c r="I23" s="19"/>
      <c r="J23" s="19"/>
      <c r="K23" s="19"/>
      <c r="L23" s="19"/>
      <c r="M23" s="19"/>
      <c r="N23" s="72"/>
      <c r="O23" s="340"/>
    </row>
    <row r="24" spans="1:15" ht="14.4" thickBot="1" x14ac:dyDescent="0.3">
      <c r="A24" s="338"/>
      <c r="C24" s="348"/>
      <c r="D24" s="356"/>
      <c r="E24" s="19"/>
      <c r="F24" s="1878" t="s">
        <v>313</v>
      </c>
      <c r="G24" s="1878"/>
      <c r="H24" s="1878"/>
      <c r="I24" s="1878"/>
      <c r="J24" s="1878"/>
      <c r="K24" s="1878"/>
      <c r="L24" s="1878"/>
      <c r="M24" s="361"/>
      <c r="N24" s="362"/>
      <c r="O24" s="132"/>
    </row>
    <row r="25" spans="1:15" x14ac:dyDescent="0.25">
      <c r="A25" s="338"/>
      <c r="C25" s="348"/>
      <c r="D25" s="19"/>
      <c r="E25" s="19"/>
      <c r="F25" s="19" t="s">
        <v>314</v>
      </c>
      <c r="G25" s="19"/>
      <c r="H25" s="19"/>
      <c r="I25" s="19"/>
      <c r="J25" s="19"/>
      <c r="K25" s="19"/>
      <c r="L25" s="19"/>
      <c r="M25" s="361"/>
      <c r="N25" s="362"/>
      <c r="O25" s="340"/>
    </row>
    <row r="26" spans="1:15" x14ac:dyDescent="0.25">
      <c r="A26" s="338"/>
      <c r="C26" s="348"/>
      <c r="D26" s="19"/>
      <c r="E26" s="19"/>
      <c r="F26" s="1878"/>
      <c r="G26" s="1878"/>
      <c r="H26" s="1878"/>
      <c r="I26" s="1878"/>
      <c r="J26" s="1878"/>
      <c r="K26" s="1878"/>
      <c r="L26" s="1878"/>
      <c r="M26" s="361"/>
      <c r="N26" s="362"/>
      <c r="O26" s="340"/>
    </row>
    <row r="27" spans="1:15" ht="14.85" customHeight="1" x14ac:dyDescent="0.25">
      <c r="A27" s="363"/>
      <c r="B27" s="364"/>
      <c r="C27" s="365"/>
      <c r="D27" s="366"/>
      <c r="E27" s="366"/>
      <c r="F27" s="366"/>
      <c r="G27" s="366"/>
      <c r="H27" s="366"/>
      <c r="I27" s="366"/>
      <c r="J27" s="366"/>
      <c r="K27" s="366"/>
      <c r="L27" s="366"/>
      <c r="M27" s="366"/>
      <c r="N27" s="367"/>
      <c r="O27" s="340"/>
    </row>
    <row r="28" spans="1:15" ht="14.85" customHeight="1" x14ac:dyDescent="0.25">
      <c r="A28" s="338"/>
      <c r="C28" s="348"/>
      <c r="D28" s="19"/>
      <c r="E28" s="19"/>
      <c r="F28" s="19"/>
      <c r="G28" s="19"/>
      <c r="H28" s="19"/>
      <c r="I28" s="19"/>
      <c r="J28" s="19"/>
      <c r="K28" s="19"/>
      <c r="L28" s="19"/>
      <c r="M28" s="19"/>
      <c r="N28" s="72"/>
      <c r="O28" s="340"/>
    </row>
    <row r="29" spans="1:15" s="344" customFormat="1" ht="15" x14ac:dyDescent="0.25">
      <c r="A29" s="349"/>
      <c r="B29" s="350" t="s">
        <v>315</v>
      </c>
      <c r="C29" s="350" t="s">
        <v>316</v>
      </c>
      <c r="D29" s="350"/>
      <c r="E29" s="350"/>
      <c r="F29" s="350"/>
      <c r="G29" s="350"/>
      <c r="H29" s="350"/>
      <c r="I29" s="350"/>
      <c r="J29" s="350"/>
      <c r="L29" s="350"/>
      <c r="M29" s="350"/>
      <c r="N29" s="354"/>
    </row>
    <row r="30" spans="1:15" ht="12.75" customHeight="1" x14ac:dyDescent="0.25">
      <c r="A30" s="338"/>
      <c r="C30" s="348"/>
      <c r="D30" s="19"/>
      <c r="E30" s="19"/>
      <c r="F30" s="19"/>
      <c r="G30" s="19"/>
      <c r="H30" s="19"/>
      <c r="I30" s="19"/>
      <c r="J30" s="19"/>
      <c r="K30" s="19"/>
      <c r="L30" s="19"/>
      <c r="M30" s="19"/>
      <c r="N30" s="72"/>
      <c r="O30" s="340"/>
    </row>
    <row r="31" spans="1:15" x14ac:dyDescent="0.25">
      <c r="A31" s="338"/>
      <c r="B31" t="s">
        <v>317</v>
      </c>
      <c r="N31" s="341"/>
      <c r="O31" s="340"/>
    </row>
    <row r="32" spans="1:15" x14ac:dyDescent="0.25">
      <c r="A32" s="338"/>
      <c r="B32" s="348" t="s">
        <v>435</v>
      </c>
      <c r="N32" s="341"/>
      <c r="O32" s="340"/>
    </row>
    <row r="33" spans="1:15" x14ac:dyDescent="0.25">
      <c r="A33" s="338"/>
      <c r="B33" s="348" t="s">
        <v>436</v>
      </c>
      <c r="N33" s="341"/>
      <c r="O33" s="340"/>
    </row>
    <row r="34" spans="1:15" x14ac:dyDescent="0.25">
      <c r="A34" s="338"/>
      <c r="B34" s="348" t="s">
        <v>437</v>
      </c>
      <c r="N34" s="341"/>
      <c r="O34" s="340"/>
    </row>
    <row r="35" spans="1:15" x14ac:dyDescent="0.25">
      <c r="A35" s="338"/>
      <c r="B35" s="348" t="s">
        <v>318</v>
      </c>
      <c r="N35" s="341"/>
      <c r="O35" s="340"/>
    </row>
    <row r="36" spans="1:15" x14ac:dyDescent="0.25">
      <c r="A36" s="338"/>
      <c r="B36"/>
      <c r="N36" s="341"/>
      <c r="O36" s="340"/>
    </row>
    <row r="37" spans="1:15" x14ac:dyDescent="0.25">
      <c r="A37" s="338"/>
      <c r="B37" s="348" t="s">
        <v>319</v>
      </c>
      <c r="C37" s="348"/>
      <c r="D37" s="348"/>
      <c r="E37" s="348"/>
      <c r="F37" s="348"/>
      <c r="G37" s="348"/>
      <c r="H37" s="348"/>
      <c r="I37" s="348"/>
      <c r="J37" s="348"/>
      <c r="K37" s="348"/>
      <c r="L37" s="348"/>
      <c r="M37" s="348"/>
      <c r="N37" s="341"/>
      <c r="O37" s="340"/>
    </row>
    <row r="38" spans="1:15" x14ac:dyDescent="0.25">
      <c r="A38" s="338"/>
      <c r="B38" s="1862"/>
      <c r="C38" s="1863"/>
      <c r="D38" s="1863"/>
      <c r="E38" s="1863"/>
      <c r="F38" s="1863"/>
      <c r="G38" s="1863"/>
      <c r="H38" s="1863"/>
      <c r="I38" s="1863"/>
      <c r="J38" s="1863"/>
      <c r="K38" s="1863"/>
      <c r="L38" s="1863"/>
      <c r="M38" s="1863"/>
      <c r="N38" s="341"/>
      <c r="O38" s="208"/>
    </row>
    <row r="39" spans="1:15" x14ac:dyDescent="0.25">
      <c r="A39" s="338"/>
      <c r="B39" s="1863"/>
      <c r="C39" s="1863"/>
      <c r="D39" s="1863"/>
      <c r="E39" s="1863"/>
      <c r="F39" s="1863"/>
      <c r="G39" s="1863"/>
      <c r="H39" s="1863"/>
      <c r="I39" s="1863"/>
      <c r="J39" s="1863"/>
      <c r="K39" s="1863"/>
      <c r="L39" s="1863"/>
      <c r="M39" s="1863"/>
      <c r="N39" s="341"/>
      <c r="O39" s="340"/>
    </row>
    <row r="40" spans="1:15" x14ac:dyDescent="0.25">
      <c r="A40" s="338"/>
      <c r="B40" s="1863"/>
      <c r="C40" s="1863"/>
      <c r="D40" s="1863"/>
      <c r="E40" s="1863"/>
      <c r="F40" s="1863"/>
      <c r="G40" s="1863"/>
      <c r="H40" s="1863"/>
      <c r="I40" s="1863"/>
      <c r="J40" s="1863"/>
      <c r="K40" s="1863"/>
      <c r="L40" s="1863"/>
      <c r="M40" s="1863"/>
      <c r="N40" s="341"/>
      <c r="O40" s="340"/>
    </row>
    <row r="41" spans="1:15" x14ac:dyDescent="0.25">
      <c r="A41" s="338"/>
      <c r="B41" s="1863"/>
      <c r="C41" s="1863"/>
      <c r="D41" s="1863"/>
      <c r="E41" s="1863"/>
      <c r="F41" s="1863"/>
      <c r="G41" s="1863"/>
      <c r="H41" s="1863"/>
      <c r="I41" s="1863"/>
      <c r="J41" s="1863"/>
      <c r="K41" s="1863"/>
      <c r="L41" s="1863"/>
      <c r="M41" s="1863"/>
      <c r="N41" s="341"/>
      <c r="O41" s="340"/>
    </row>
    <row r="42" spans="1:15" x14ac:dyDescent="0.25">
      <c r="A42" s="338"/>
      <c r="B42" s="1863"/>
      <c r="C42" s="1863"/>
      <c r="D42" s="1863"/>
      <c r="E42" s="1863"/>
      <c r="F42" s="1863"/>
      <c r="G42" s="1863"/>
      <c r="H42" s="1863"/>
      <c r="I42" s="1863"/>
      <c r="J42" s="1863"/>
      <c r="K42" s="1863"/>
      <c r="L42" s="1863"/>
      <c r="M42" s="1863"/>
      <c r="N42" s="341"/>
      <c r="O42" s="340"/>
    </row>
    <row r="43" spans="1:15" x14ac:dyDescent="0.25">
      <c r="A43" s="338"/>
      <c r="B43" s="1863"/>
      <c r="C43" s="1863"/>
      <c r="D43" s="1863"/>
      <c r="E43" s="1863"/>
      <c r="F43" s="1863"/>
      <c r="G43" s="1863"/>
      <c r="H43" s="1863"/>
      <c r="I43" s="1863"/>
      <c r="J43" s="1863"/>
      <c r="K43" s="1863"/>
      <c r="L43" s="1863"/>
      <c r="M43" s="1863"/>
      <c r="N43" s="341"/>
      <c r="O43" s="340"/>
    </row>
    <row r="44" spans="1:15" x14ac:dyDescent="0.25">
      <c r="A44" s="338"/>
      <c r="B44" s="1863"/>
      <c r="C44" s="1863"/>
      <c r="D44" s="1863"/>
      <c r="E44" s="1863"/>
      <c r="F44" s="1863"/>
      <c r="G44" s="1863"/>
      <c r="H44" s="1863"/>
      <c r="I44" s="1863"/>
      <c r="J44" s="1863"/>
      <c r="K44" s="1863"/>
      <c r="L44" s="1863"/>
      <c r="M44" s="1863"/>
      <c r="N44" s="341"/>
      <c r="O44" s="340"/>
    </row>
    <row r="45" spans="1:15" x14ac:dyDescent="0.25">
      <c r="A45" s="338"/>
      <c r="B45" s="1863"/>
      <c r="C45" s="1863"/>
      <c r="D45" s="1863"/>
      <c r="E45" s="1863"/>
      <c r="F45" s="1863"/>
      <c r="G45" s="1863"/>
      <c r="H45" s="1863"/>
      <c r="I45" s="1863"/>
      <c r="J45" s="1863"/>
      <c r="K45" s="1863"/>
      <c r="L45" s="1863"/>
      <c r="M45" s="1863"/>
      <c r="N45" s="341"/>
      <c r="O45" s="340"/>
    </row>
    <row r="46" spans="1:15" x14ac:dyDescent="0.25">
      <c r="A46" s="338"/>
      <c r="B46" s="1863"/>
      <c r="C46" s="1863"/>
      <c r="D46" s="1863"/>
      <c r="E46" s="1863"/>
      <c r="F46" s="1863"/>
      <c r="G46" s="1863"/>
      <c r="H46" s="1863"/>
      <c r="I46" s="1863"/>
      <c r="J46" s="1863"/>
      <c r="K46" s="1863"/>
      <c r="L46" s="1863"/>
      <c r="M46" s="1863"/>
      <c r="N46" s="341"/>
      <c r="O46" s="340"/>
    </row>
    <row r="47" spans="1:15" x14ac:dyDescent="0.25">
      <c r="A47" s="338"/>
      <c r="B47" s="1863"/>
      <c r="C47" s="1863"/>
      <c r="D47" s="1863"/>
      <c r="E47" s="1863"/>
      <c r="F47" s="1863"/>
      <c r="G47" s="1863"/>
      <c r="H47" s="1863"/>
      <c r="I47" s="1863"/>
      <c r="J47" s="1863"/>
      <c r="K47" s="1863"/>
      <c r="L47" s="1863"/>
      <c r="M47" s="1863"/>
      <c r="N47" s="341"/>
      <c r="O47" s="340"/>
    </row>
    <row r="48" spans="1:15" x14ac:dyDescent="0.25">
      <c r="A48" s="338"/>
      <c r="B48" s="1863"/>
      <c r="C48" s="1863"/>
      <c r="D48" s="1863"/>
      <c r="E48" s="1863"/>
      <c r="F48" s="1863"/>
      <c r="G48" s="1863"/>
      <c r="H48" s="1863"/>
      <c r="I48" s="1863"/>
      <c r="J48" s="1863"/>
      <c r="K48" s="1863"/>
      <c r="L48" s="1863"/>
      <c r="M48" s="1863"/>
      <c r="N48" s="341"/>
      <c r="O48" s="340"/>
    </row>
    <row r="49" spans="1:15" x14ac:dyDescent="0.25">
      <c r="A49" s="338"/>
      <c r="B49" s="1863"/>
      <c r="C49" s="1863"/>
      <c r="D49" s="1863"/>
      <c r="E49" s="1863"/>
      <c r="F49" s="1863"/>
      <c r="G49" s="1863"/>
      <c r="H49" s="1863"/>
      <c r="I49" s="1863"/>
      <c r="J49" s="1863"/>
      <c r="K49" s="1863"/>
      <c r="L49" s="1863"/>
      <c r="M49" s="1863"/>
      <c r="N49" s="341"/>
      <c r="O49" s="340"/>
    </row>
    <row r="50" spans="1:15" x14ac:dyDescent="0.25">
      <c r="A50" s="338"/>
      <c r="B50" s="1863"/>
      <c r="C50" s="1863"/>
      <c r="D50" s="1863"/>
      <c r="E50" s="1863"/>
      <c r="F50" s="1863"/>
      <c r="G50" s="1863"/>
      <c r="H50" s="1863"/>
      <c r="I50" s="1863"/>
      <c r="J50" s="1863"/>
      <c r="K50" s="1863"/>
      <c r="L50" s="1863"/>
      <c r="M50" s="1863"/>
      <c r="N50" s="341"/>
      <c r="O50" s="340"/>
    </row>
    <row r="51" spans="1:15" x14ac:dyDescent="0.25">
      <c r="A51" s="338"/>
      <c r="B51" s="1863"/>
      <c r="C51" s="1863"/>
      <c r="D51" s="1863"/>
      <c r="E51" s="1863"/>
      <c r="F51" s="1863"/>
      <c r="G51" s="1863"/>
      <c r="H51" s="1863"/>
      <c r="I51" s="1863"/>
      <c r="J51" s="1863"/>
      <c r="K51" s="1863"/>
      <c r="L51" s="1863"/>
      <c r="M51" s="1863"/>
      <c r="N51" s="341"/>
      <c r="O51" s="340"/>
    </row>
    <row r="52" spans="1:15" x14ac:dyDescent="0.25">
      <c r="A52" s="338"/>
      <c r="B52" s="1863"/>
      <c r="C52" s="1863"/>
      <c r="D52" s="1863"/>
      <c r="E52" s="1863"/>
      <c r="F52" s="1863"/>
      <c r="G52" s="1863"/>
      <c r="H52" s="1863"/>
      <c r="I52" s="1863"/>
      <c r="J52" s="1863"/>
      <c r="K52" s="1863"/>
      <c r="L52" s="1863"/>
      <c r="M52" s="1863"/>
      <c r="N52" s="341"/>
      <c r="O52" s="340"/>
    </row>
    <row r="53" spans="1:15" x14ac:dyDescent="0.25">
      <c r="A53" s="338"/>
      <c r="B53" s="1863"/>
      <c r="C53" s="1863"/>
      <c r="D53" s="1863"/>
      <c r="E53" s="1863"/>
      <c r="F53" s="1863"/>
      <c r="G53" s="1863"/>
      <c r="H53" s="1863"/>
      <c r="I53" s="1863"/>
      <c r="J53" s="1863"/>
      <c r="K53" s="1863"/>
      <c r="L53" s="1863"/>
      <c r="M53" s="1863"/>
      <c r="N53" s="341"/>
      <c r="O53" s="340"/>
    </row>
    <row r="54" spans="1:15" x14ac:dyDescent="0.25">
      <c r="A54" s="338"/>
      <c r="B54" s="1863"/>
      <c r="C54" s="1863"/>
      <c r="D54" s="1863"/>
      <c r="E54" s="1863"/>
      <c r="F54" s="1863"/>
      <c r="G54" s="1863"/>
      <c r="H54" s="1863"/>
      <c r="I54" s="1863"/>
      <c r="J54" s="1863"/>
      <c r="K54" s="1863"/>
      <c r="L54" s="1863"/>
      <c r="M54" s="1863"/>
      <c r="N54" s="341"/>
      <c r="O54" s="340"/>
    </row>
    <row r="55" spans="1:15" x14ac:dyDescent="0.25">
      <c r="A55" s="338"/>
      <c r="B55" s="1863"/>
      <c r="C55" s="1863"/>
      <c r="D55" s="1863"/>
      <c r="E55" s="1863"/>
      <c r="F55" s="1863"/>
      <c r="G55" s="1863"/>
      <c r="H55" s="1863"/>
      <c r="I55" s="1863"/>
      <c r="J55" s="1863"/>
      <c r="K55" s="1863"/>
      <c r="L55" s="1863"/>
      <c r="M55" s="1863"/>
      <c r="N55" s="341"/>
      <c r="O55" s="340"/>
    </row>
    <row r="56" spans="1:15" x14ac:dyDescent="0.25">
      <c r="A56" s="338"/>
      <c r="B56" s="1863"/>
      <c r="C56" s="1863"/>
      <c r="D56" s="1863"/>
      <c r="E56" s="1863"/>
      <c r="F56" s="1863"/>
      <c r="G56" s="1863"/>
      <c r="H56" s="1863"/>
      <c r="I56" s="1863"/>
      <c r="J56" s="1863"/>
      <c r="K56" s="1863"/>
      <c r="L56" s="1863"/>
      <c r="M56" s="1863"/>
      <c r="N56" s="341"/>
      <c r="O56" s="340"/>
    </row>
    <row r="57" spans="1:15" x14ac:dyDescent="0.25">
      <c r="A57" s="338"/>
      <c r="N57" s="341"/>
      <c r="O57" s="340"/>
    </row>
    <row r="58" spans="1:15" x14ac:dyDescent="0.25">
      <c r="A58" s="338"/>
      <c r="N58" s="341"/>
      <c r="O58" s="340"/>
    </row>
    <row r="59" spans="1:15" x14ac:dyDescent="0.25">
      <c r="A59" s="338"/>
      <c r="J59" s="1879"/>
      <c r="K59" s="1879"/>
      <c r="L59" s="1879"/>
      <c r="M59" s="368"/>
      <c r="N59" s="341"/>
      <c r="O59" s="340"/>
    </row>
    <row r="60" spans="1:15" x14ac:dyDescent="0.25">
      <c r="A60" s="338"/>
      <c r="I60" s="291"/>
      <c r="N60" s="341"/>
      <c r="O60" s="340"/>
    </row>
    <row r="61" spans="1:15" x14ac:dyDescent="0.25">
      <c r="A61" s="338"/>
      <c r="N61" s="341"/>
      <c r="O61" s="340"/>
    </row>
    <row r="62" spans="1:15" x14ac:dyDescent="0.25">
      <c r="A62" s="338"/>
      <c r="B62" s="1880"/>
      <c r="C62" s="1638"/>
      <c r="D62" s="1638"/>
      <c r="E62" s="1638"/>
      <c r="F62" s="1638"/>
      <c r="G62" s="1638"/>
      <c r="H62" s="1638"/>
      <c r="I62" s="1638"/>
      <c r="J62" s="369"/>
      <c r="K62" s="1880"/>
      <c r="L62" s="1638"/>
      <c r="M62" s="1638"/>
      <c r="N62" s="341"/>
      <c r="O62" s="340"/>
    </row>
    <row r="63" spans="1:15" x14ac:dyDescent="0.25">
      <c r="A63" s="338"/>
      <c r="B63" s="348" t="s">
        <v>320</v>
      </c>
      <c r="C63"/>
      <c r="D63"/>
      <c r="E63"/>
      <c r="F63"/>
      <c r="G63"/>
      <c r="H63"/>
      <c r="I63"/>
      <c r="J63"/>
      <c r="K63" s="1881" t="s">
        <v>321</v>
      </c>
      <c r="L63" s="1881"/>
      <c r="M63" s="1881"/>
      <c r="N63" s="341"/>
      <c r="O63" s="340"/>
    </row>
    <row r="64" spans="1:15" x14ac:dyDescent="0.25">
      <c r="A64" s="370"/>
      <c r="B64" s="371"/>
      <c r="C64" s="371"/>
      <c r="D64" s="371"/>
      <c r="E64" s="371"/>
      <c r="F64" s="371"/>
      <c r="G64" s="371"/>
      <c r="H64" s="371"/>
      <c r="I64" s="371"/>
      <c r="J64" s="372"/>
      <c r="K64" s="1882" t="s">
        <v>322</v>
      </c>
      <c r="L64" s="1882"/>
      <c r="M64" s="1882"/>
      <c r="N64" s="373"/>
      <c r="O64" s="340"/>
    </row>
  </sheetData>
  <sheetProtection algorithmName="SHA-512" hashValue="wPRaOUIc6TjvLBKGi0f4U341j0y9fQTgH+Aq4Zj4lfzrZ48qvuWDbwOJc5yzqf4kzZx6SscWH6rL/Zb6A2LZjQ==" saltValue="qsJI3chNJXFwAwDPq49Xhw==" spinCount="100000" sheet="1" selectLockedCells="1"/>
  <mergeCells count="17">
    <mergeCell ref="J59:L59"/>
    <mergeCell ref="B62:I62"/>
    <mergeCell ref="K62:M62"/>
    <mergeCell ref="K63:M63"/>
    <mergeCell ref="K64:M64"/>
    <mergeCell ref="B38:M56"/>
    <mergeCell ref="A1:N1"/>
    <mergeCell ref="A2:N2"/>
    <mergeCell ref="A3:N3"/>
    <mergeCell ref="A4:N4"/>
    <mergeCell ref="B6:G6"/>
    <mergeCell ref="L6:M6"/>
    <mergeCell ref="B8:M8"/>
    <mergeCell ref="F20:L20"/>
    <mergeCell ref="F22:L22"/>
    <mergeCell ref="F24:L24"/>
    <mergeCell ref="F26:L26"/>
  </mergeCells>
  <pageMargins left="0.70866141732283472" right="0.70866141732283472" top="0.78740157480314965" bottom="0.78740157480314965" header="0.31496062992125984" footer="0.31496062992125984"/>
  <pageSetup paperSize="9" scale="79" orientation="portrait"/>
  <headerFooter>
    <oddHeader>&amp;C&amp;9&amp;A</oddHeader>
    <oddFooter>&amp;L&amp;8Versi&amp;K000000on: 12.10.2026&amp;C&amp;8Verhandlungsunterlagen KZP SGB XI&amp;R&amp;8PSK vom  08.10.2026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D27"/>
  <sheetViews>
    <sheetView showGridLines="0" zoomScaleNormal="100" workbookViewId="0">
      <selection activeCell="A2" sqref="A2"/>
    </sheetView>
  </sheetViews>
  <sheetFormatPr baseColWidth="10" defaultColWidth="10" defaultRowHeight="15" x14ac:dyDescent="0.35"/>
  <cols>
    <col min="1" max="1" width="18.5" style="164" customWidth="1"/>
    <col min="2" max="2" width="46.19921875" style="164" customWidth="1"/>
    <col min="3" max="3" width="66.69921875" style="164" customWidth="1"/>
    <col min="4" max="16384" width="10" style="164"/>
  </cols>
  <sheetData>
    <row r="1" spans="1:4" x14ac:dyDescent="0.35">
      <c r="A1" s="1884" t="s">
        <v>161</v>
      </c>
      <c r="B1" s="1885"/>
      <c r="C1" s="1886"/>
      <c r="D1" s="218"/>
    </row>
    <row r="2" spans="1:4" x14ac:dyDescent="0.35">
      <c r="A2" s="188"/>
      <c r="D2" s="187"/>
    </row>
    <row r="3" spans="1:4" s="183" customFormat="1" ht="20.399999999999999" x14ac:dyDescent="0.25">
      <c r="A3" s="184"/>
      <c r="B3" s="1031"/>
    </row>
    <row r="4" spans="1:4" s="183" customFormat="1" x14ac:dyDescent="0.25">
      <c r="A4" s="184" t="s">
        <v>162</v>
      </c>
      <c r="B4" s="1887" t="s">
        <v>163</v>
      </c>
      <c r="C4" s="1887"/>
    </row>
    <row r="5" spans="1:4" s="183" customFormat="1" x14ac:dyDescent="0.25">
      <c r="A5" s="184"/>
      <c r="B5" s="1887" t="s">
        <v>164</v>
      </c>
      <c r="C5" s="1887"/>
    </row>
    <row r="6" spans="1:4" s="183" customFormat="1" x14ac:dyDescent="0.25">
      <c r="A6" s="184"/>
      <c r="B6" s="185"/>
      <c r="C6" s="186"/>
    </row>
    <row r="7" spans="1:4" s="183" customFormat="1" ht="24.75" customHeight="1" x14ac:dyDescent="0.25">
      <c r="A7" s="1888" t="s">
        <v>165</v>
      </c>
      <c r="B7" s="1888"/>
      <c r="C7" s="1888"/>
    </row>
    <row r="8" spans="1:4" s="183" customFormat="1" x14ac:dyDescent="0.25">
      <c r="A8" s="184"/>
      <c r="B8" s="186"/>
      <c r="C8" s="186"/>
    </row>
    <row r="9" spans="1:4" s="183" customFormat="1" x14ac:dyDescent="0.25">
      <c r="A9" s="1883" t="s">
        <v>166</v>
      </c>
      <c r="B9" s="1883"/>
      <c r="C9" s="1883"/>
    </row>
    <row r="10" spans="1:4" ht="15.6" thickBot="1" x14ac:dyDescent="0.4">
      <c r="A10" s="18"/>
    </row>
    <row r="11" spans="1:4" ht="15.6" thickBot="1" x14ac:dyDescent="0.4">
      <c r="A11" s="165" t="s">
        <v>167</v>
      </c>
      <c r="B11" s="166" t="s">
        <v>168</v>
      </c>
      <c r="C11" s="167" t="s">
        <v>169</v>
      </c>
    </row>
    <row r="12" spans="1:4" ht="66" x14ac:dyDescent="0.35">
      <c r="A12" s="168" t="s">
        <v>56</v>
      </c>
      <c r="B12" s="169" t="s">
        <v>170</v>
      </c>
      <c r="C12" s="170" t="s">
        <v>171</v>
      </c>
    </row>
    <row r="13" spans="1:4" ht="105.6" x14ac:dyDescent="0.35">
      <c r="A13" s="171" t="s">
        <v>172</v>
      </c>
      <c r="B13" s="172" t="s">
        <v>173</v>
      </c>
      <c r="C13" s="173" t="s">
        <v>174</v>
      </c>
    </row>
    <row r="14" spans="1:4" ht="118.8" x14ac:dyDescent="0.35">
      <c r="A14" s="171" t="s">
        <v>175</v>
      </c>
      <c r="B14" s="172" t="s">
        <v>176</v>
      </c>
      <c r="C14" s="173" t="s">
        <v>177</v>
      </c>
    </row>
    <row r="15" spans="1:4" ht="132" x14ac:dyDescent="0.35">
      <c r="A15" s="171" t="s">
        <v>62</v>
      </c>
      <c r="B15" s="172" t="s">
        <v>178</v>
      </c>
      <c r="C15" s="173" t="s">
        <v>179</v>
      </c>
    </row>
    <row r="16" spans="1:4" ht="145.19999999999999" x14ac:dyDescent="0.35">
      <c r="A16" s="171" t="s">
        <v>180</v>
      </c>
      <c r="B16" s="172" t="s">
        <v>181</v>
      </c>
      <c r="C16" s="174" t="s">
        <v>182</v>
      </c>
    </row>
    <row r="17" spans="1:4" ht="66" x14ac:dyDescent="0.35">
      <c r="A17" s="171" t="s">
        <v>66</v>
      </c>
      <c r="B17" s="172" t="s">
        <v>183</v>
      </c>
      <c r="C17" s="173" t="s">
        <v>184</v>
      </c>
    </row>
    <row r="18" spans="1:4" ht="132" x14ac:dyDescent="0.35">
      <c r="A18" s="171" t="s">
        <v>68</v>
      </c>
      <c r="B18" s="172" t="s">
        <v>185</v>
      </c>
      <c r="C18" s="173" t="s">
        <v>240</v>
      </c>
      <c r="D18" s="228"/>
    </row>
    <row r="19" spans="1:4" ht="105.6" x14ac:dyDescent="0.35">
      <c r="A19" s="171" t="s">
        <v>186</v>
      </c>
      <c r="B19" s="172" t="s">
        <v>187</v>
      </c>
      <c r="C19" s="1138" t="s">
        <v>188</v>
      </c>
    </row>
    <row r="20" spans="1:4" ht="158.4" x14ac:dyDescent="0.35">
      <c r="A20" s="171" t="s">
        <v>189</v>
      </c>
      <c r="B20" s="172" t="s">
        <v>190</v>
      </c>
      <c r="C20" s="173" t="s">
        <v>191</v>
      </c>
    </row>
    <row r="21" spans="1:4" ht="40.200000000000003" thickBot="1" x14ac:dyDescent="0.4">
      <c r="A21" s="175" t="s">
        <v>192</v>
      </c>
      <c r="B21" s="176" t="s">
        <v>193</v>
      </c>
      <c r="C21" s="177"/>
    </row>
    <row r="22" spans="1:4" x14ac:dyDescent="0.35">
      <c r="A22" s="178" t="s">
        <v>194</v>
      </c>
      <c r="B22" s="179" t="s">
        <v>195</v>
      </c>
      <c r="C22" s="180"/>
    </row>
    <row r="23" spans="1:4" ht="26.4" x14ac:dyDescent="0.35">
      <c r="A23" s="171" t="s">
        <v>196</v>
      </c>
      <c r="B23" s="181" t="s">
        <v>197</v>
      </c>
      <c r="C23" s="174"/>
    </row>
    <row r="24" spans="1:4" ht="26.4" x14ac:dyDescent="0.35">
      <c r="A24" s="171" t="s">
        <v>198</v>
      </c>
      <c r="B24" s="181" t="s">
        <v>197</v>
      </c>
      <c r="C24" s="174"/>
    </row>
    <row r="25" spans="1:4" ht="26.4" x14ac:dyDescent="0.35">
      <c r="A25" s="171" t="s">
        <v>199</v>
      </c>
      <c r="B25" s="181" t="s">
        <v>200</v>
      </c>
      <c r="C25" s="174"/>
    </row>
    <row r="26" spans="1:4" ht="39.6" x14ac:dyDescent="0.35">
      <c r="A26" s="171" t="s">
        <v>201</v>
      </c>
      <c r="B26" s="181" t="s">
        <v>202</v>
      </c>
      <c r="C26" s="173"/>
    </row>
    <row r="27" spans="1:4" ht="40.200000000000003" thickBot="1" x14ac:dyDescent="0.4">
      <c r="A27" s="175" t="s">
        <v>203</v>
      </c>
      <c r="B27" s="182" t="s">
        <v>204</v>
      </c>
      <c r="C27" s="177"/>
    </row>
  </sheetData>
  <sheetProtection algorithmName="SHA-512" hashValue="EQtfO4FpPaulKS0JD6vzgNiRhGIclHr52kQN0XFMHz+nqtUmK/z9nYfmPjtrTeCoxdTBnj24uWmpPFbvGmt6rg==" saltValue="nu7ZhkN97ZJv8mVhpFkMBA==" spinCount="100000" sheet="1"/>
  <customSheetViews>
    <customSheetView guid="{CDDBAA41-0D3E-44AF-A85A-332C81A5DAE4}" showGridLines="0" fitToPage="1">
      <pane ySplit="1" topLeftCell="A2" activePane="bottomLeft" state="frozen"/>
      <selection pane="bottomLeft" activeCell="D15" sqref="D15"/>
      <rowBreaks count="1" manualBreakCount="1">
        <brk id="22" max="16383" man="1"/>
      </rowBreaks>
      <pageMargins left="0.70866141732283472" right="0.70866141732283472" top="0.78740157480314965" bottom="0.78740157480314965" header="0.31496062992125984" footer="0.31496062992125984"/>
      <pageSetup paperSize="9" scale="61" fitToHeight="2" orientation="portrait"/>
      <headerFooter>
        <oddHeader>&amp;C&amp;9&amp;A</oddHeader>
        <oddFooter>&amp;C&amp;8Verhandlungsunterlagen SGB XI&amp;R&amp;8Version Kostenträger Stand: 29.11.2018</oddFooter>
      </headerFooter>
    </customSheetView>
  </customSheetViews>
  <mergeCells count="5">
    <mergeCell ref="A9:C9"/>
    <mergeCell ref="A1:C1"/>
    <mergeCell ref="B4:C4"/>
    <mergeCell ref="B5:C5"/>
    <mergeCell ref="A7:C7"/>
  </mergeCells>
  <pageMargins left="0.70866141732283472" right="0.70866141732283472" top="0.78740157480314965" bottom="0.78740157480314965" header="0.31496062992125984" footer="0.31496062992125984"/>
  <pageSetup paperSize="9" scale="61" fitToHeight="2" orientation="portrait"/>
  <headerFooter>
    <oddHeader>&amp;C&amp;9&amp;A</oddHeader>
    <oddFooter>&amp;L&amp;8Version: 12.10.2026&amp;C&amp;8Verhandlungsunterlagen KZP SGB XI&amp;R&amp;8PSK vom  08.10.2026</oddFooter>
  </headerFooter>
  <rowBreaks count="1" manualBreakCount="1">
    <brk id="21" max="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58"/>
  <sheetViews>
    <sheetView zoomScaleNormal="100" workbookViewId="0">
      <selection activeCell="E7" sqref="E7"/>
    </sheetView>
  </sheetViews>
  <sheetFormatPr baseColWidth="10" defaultColWidth="10" defaultRowHeight="13.8" x14ac:dyDescent="0.25"/>
  <cols>
    <col min="1" max="3" width="10" style="190"/>
    <col min="4" max="4" width="7.59765625" style="190" customWidth="1"/>
    <col min="5" max="5" width="2.8984375" style="190" customWidth="1"/>
    <col min="6" max="6" width="2" style="190" customWidth="1"/>
    <col min="7" max="7" width="10.59765625" style="190" customWidth="1"/>
    <col min="8" max="8" width="10" style="190"/>
    <col min="9" max="9" width="16.19921875" style="190" customWidth="1"/>
    <col min="10" max="16384" width="10" style="190"/>
  </cols>
  <sheetData>
    <row r="1" spans="1:19" ht="15" customHeight="1" x14ac:dyDescent="0.25">
      <c r="A1" s="1889" t="s">
        <v>205</v>
      </c>
      <c r="B1" s="1890"/>
      <c r="C1" s="1890"/>
      <c r="D1" s="1890"/>
      <c r="E1" s="1890"/>
      <c r="F1" s="1890"/>
      <c r="G1" s="1890"/>
      <c r="H1" s="1890"/>
      <c r="I1" s="1891"/>
      <c r="J1" s="199"/>
    </row>
    <row r="2" spans="1:19" x14ac:dyDescent="0.25">
      <c r="A2" s="1892"/>
      <c r="B2" s="1893"/>
      <c r="C2" s="1893"/>
      <c r="D2" s="1893"/>
      <c r="E2" s="1893"/>
      <c r="F2" s="1893"/>
      <c r="G2" s="1893"/>
      <c r="H2" s="1893"/>
      <c r="I2" s="1894"/>
      <c r="J2" s="293"/>
    </row>
    <row r="3" spans="1:19" x14ac:dyDescent="0.25">
      <c r="A3" s="1892"/>
      <c r="B3" s="1893"/>
      <c r="C3" s="1893"/>
      <c r="D3" s="1893"/>
      <c r="E3" s="1893"/>
      <c r="F3" s="1893"/>
      <c r="G3" s="1893"/>
      <c r="H3" s="1893"/>
      <c r="I3" s="1894"/>
      <c r="J3" s="204"/>
    </row>
    <row r="4" spans="1:19" x14ac:dyDescent="0.25">
      <c r="A4" s="1895"/>
      <c r="B4" s="1896"/>
      <c r="C4" s="1896"/>
      <c r="D4" s="1896"/>
      <c r="E4" s="1896"/>
      <c r="F4" s="1896"/>
      <c r="G4" s="1896"/>
      <c r="H4" s="1896"/>
      <c r="I4" s="1897"/>
    </row>
    <row r="5" spans="1:19" x14ac:dyDescent="0.25">
      <c r="A5" s="189" t="s">
        <v>206</v>
      </c>
      <c r="I5" s="191"/>
      <c r="J5" s="291"/>
    </row>
    <row r="6" spans="1:19" x14ac:dyDescent="0.25">
      <c r="A6" s="1578" t="s">
        <v>891</v>
      </c>
      <c r="I6" s="191"/>
      <c r="K6" s="286"/>
      <c r="L6" s="286"/>
      <c r="M6" s="286"/>
      <c r="N6" s="286"/>
      <c r="O6" s="286"/>
      <c r="P6" s="286"/>
      <c r="Q6" s="286"/>
      <c r="R6" s="286"/>
      <c r="S6" s="286"/>
    </row>
    <row r="7" spans="1:19" x14ac:dyDescent="0.25">
      <c r="A7" s="1578" t="s">
        <v>892</v>
      </c>
      <c r="E7" s="201"/>
      <c r="I7" s="191"/>
      <c r="J7" s="3"/>
    </row>
    <row r="8" spans="1:19" x14ac:dyDescent="0.25">
      <c r="A8" s="1578" t="s">
        <v>893</v>
      </c>
      <c r="I8" s="191"/>
    </row>
    <row r="9" spans="1:19" x14ac:dyDescent="0.25">
      <c r="A9" s="189" t="s">
        <v>207</v>
      </c>
      <c r="E9" s="292" t="s">
        <v>326</v>
      </c>
      <c r="I9" s="191"/>
    </row>
    <row r="10" spans="1:19" x14ac:dyDescent="0.25">
      <c r="A10" s="189" t="s">
        <v>208</v>
      </c>
      <c r="I10" s="191"/>
    </row>
    <row r="11" spans="1:19" x14ac:dyDescent="0.25">
      <c r="A11" s="189"/>
      <c r="I11" s="191"/>
    </row>
    <row r="12" spans="1:19" x14ac:dyDescent="0.25">
      <c r="A12" s="189" t="s">
        <v>209</v>
      </c>
      <c r="E12" s="201"/>
      <c r="G12" s="408" t="s">
        <v>345</v>
      </c>
      <c r="I12" s="191"/>
    </row>
    <row r="13" spans="1:19" x14ac:dyDescent="0.25">
      <c r="A13" s="189" t="s">
        <v>210</v>
      </c>
      <c r="I13" s="191"/>
    </row>
    <row r="14" spans="1:19" x14ac:dyDescent="0.25">
      <c r="A14" s="189" t="s">
        <v>211</v>
      </c>
      <c r="I14" s="191"/>
    </row>
    <row r="15" spans="1:19" x14ac:dyDescent="0.25">
      <c r="A15" s="189"/>
      <c r="I15" s="191"/>
    </row>
    <row r="16" spans="1:19" x14ac:dyDescent="0.25">
      <c r="A16" s="189" t="s">
        <v>212</v>
      </c>
      <c r="E16" s="201"/>
      <c r="G16" s="408" t="s">
        <v>346</v>
      </c>
      <c r="I16" s="191"/>
    </row>
    <row r="17" spans="1:10" x14ac:dyDescent="0.25">
      <c r="A17" s="189" t="s">
        <v>213</v>
      </c>
      <c r="I17" s="191"/>
    </row>
    <row r="18" spans="1:10" x14ac:dyDescent="0.25">
      <c r="A18" s="189" t="s">
        <v>214</v>
      </c>
      <c r="I18" s="191"/>
    </row>
    <row r="19" spans="1:10" x14ac:dyDescent="0.25">
      <c r="A19" s="189" t="s">
        <v>215</v>
      </c>
      <c r="I19" s="191"/>
    </row>
    <row r="20" spans="1:10" x14ac:dyDescent="0.25">
      <c r="A20" s="189"/>
      <c r="I20" s="191"/>
    </row>
    <row r="21" spans="1:10" x14ac:dyDescent="0.25">
      <c r="A21" s="189" t="s">
        <v>216</v>
      </c>
      <c r="E21" s="201"/>
      <c r="G21" s="292" t="s">
        <v>267</v>
      </c>
      <c r="I21" s="191"/>
      <c r="J21" s="294"/>
    </row>
    <row r="22" spans="1:10" x14ac:dyDescent="0.25">
      <c r="A22" s="189" t="s">
        <v>265</v>
      </c>
      <c r="I22" s="191"/>
      <c r="J22" s="290"/>
    </row>
    <row r="23" spans="1:10" x14ac:dyDescent="0.25">
      <c r="A23" s="205" t="s">
        <v>266</v>
      </c>
      <c r="I23" s="191"/>
      <c r="J23" s="290"/>
    </row>
    <row r="24" spans="1:10" x14ac:dyDescent="0.25">
      <c r="A24" s="189"/>
      <c r="I24" s="191"/>
    </row>
    <row r="25" spans="1:10" x14ac:dyDescent="0.25">
      <c r="A25" s="192" t="s">
        <v>217</v>
      </c>
      <c r="I25" s="191"/>
    </row>
    <row r="26" spans="1:10" x14ac:dyDescent="0.25">
      <c r="A26" s="189"/>
      <c r="I26" s="191"/>
    </row>
    <row r="27" spans="1:10" x14ac:dyDescent="0.25">
      <c r="A27" s="189" t="s">
        <v>218</v>
      </c>
      <c r="E27" s="201"/>
      <c r="G27" s="408" t="s">
        <v>347</v>
      </c>
      <c r="I27" s="191"/>
    </row>
    <row r="28" spans="1:10" x14ac:dyDescent="0.25">
      <c r="A28" s="189" t="s">
        <v>219</v>
      </c>
      <c r="I28" s="191"/>
    </row>
    <row r="29" spans="1:10" x14ac:dyDescent="0.25">
      <c r="A29" s="189" t="s">
        <v>220</v>
      </c>
      <c r="I29" s="191"/>
    </row>
    <row r="30" spans="1:10" x14ac:dyDescent="0.25">
      <c r="A30" s="189" t="s">
        <v>221</v>
      </c>
      <c r="I30" s="191"/>
    </row>
    <row r="31" spans="1:10" x14ac:dyDescent="0.25">
      <c r="A31" s="189"/>
      <c r="I31" s="191"/>
    </row>
    <row r="32" spans="1:10" ht="17.399999999999999" x14ac:dyDescent="0.3">
      <c r="A32" s="192" t="s">
        <v>222</v>
      </c>
      <c r="D32" s="1579"/>
      <c r="I32" s="191"/>
      <c r="J32" s="204"/>
    </row>
    <row r="33" spans="1:9" x14ac:dyDescent="0.25">
      <c r="A33" s="189"/>
      <c r="I33" s="191"/>
    </row>
    <row r="34" spans="1:9" x14ac:dyDescent="0.25">
      <c r="A34" s="189" t="s">
        <v>224</v>
      </c>
      <c r="E34" s="201"/>
      <c r="G34" s="408" t="s">
        <v>341</v>
      </c>
      <c r="I34" s="191"/>
    </row>
    <row r="35" spans="1:9" x14ac:dyDescent="0.25">
      <c r="A35" s="189" t="s">
        <v>225</v>
      </c>
      <c r="I35" s="191"/>
    </row>
    <row r="36" spans="1:9" x14ac:dyDescent="0.25">
      <c r="A36" s="189" t="s">
        <v>227</v>
      </c>
      <c r="I36" s="191"/>
    </row>
    <row r="37" spans="1:9" x14ac:dyDescent="0.25">
      <c r="A37" s="189"/>
      <c r="G37" s="1580" t="s">
        <v>348</v>
      </c>
      <c r="I37" s="191"/>
    </row>
    <row r="38" spans="1:9" x14ac:dyDescent="0.25">
      <c r="A38" s="189"/>
      <c r="I38" s="191"/>
    </row>
    <row r="39" spans="1:9" x14ac:dyDescent="0.25">
      <c r="A39" s="189" t="s">
        <v>342</v>
      </c>
      <c r="E39" s="203"/>
      <c r="G39" s="292" t="s">
        <v>349</v>
      </c>
      <c r="I39" s="191"/>
    </row>
    <row r="40" spans="1:9" x14ac:dyDescent="0.25">
      <c r="A40" s="189" t="s">
        <v>343</v>
      </c>
      <c r="G40" s="408"/>
      <c r="I40" s="191"/>
    </row>
    <row r="41" spans="1:9" x14ac:dyDescent="0.25">
      <c r="A41" s="189" t="s">
        <v>344</v>
      </c>
      <c r="G41" s="408"/>
      <c r="I41" s="191"/>
    </row>
    <row r="42" spans="1:9" x14ac:dyDescent="0.25">
      <c r="A42" s="189" t="s">
        <v>227</v>
      </c>
      <c r="G42" s="199"/>
      <c r="H42" s="199"/>
      <c r="I42" s="200"/>
    </row>
    <row r="43" spans="1:9" x14ac:dyDescent="0.25">
      <c r="A43" s="1898"/>
      <c r="B43" s="1610"/>
      <c r="C43" s="1610"/>
      <c r="I43" s="191"/>
    </row>
    <row r="44" spans="1:9" x14ac:dyDescent="0.25">
      <c r="A44" s="193" t="s">
        <v>223</v>
      </c>
      <c r="B44" s="194"/>
      <c r="C44" s="195"/>
      <c r="I44" s="191"/>
    </row>
    <row r="45" spans="1:9" ht="13.95" customHeight="1" x14ac:dyDescent="0.25">
      <c r="A45" s="403" t="s">
        <v>226</v>
      </c>
      <c r="B45" s="1581"/>
      <c r="C45" s="404"/>
      <c r="I45" s="191"/>
    </row>
    <row r="46" spans="1:9" ht="13.95" customHeight="1" x14ac:dyDescent="0.25">
      <c r="A46" s="403" t="s">
        <v>232</v>
      </c>
      <c r="B46" s="1581"/>
      <c r="C46" s="404"/>
      <c r="I46" s="191"/>
    </row>
    <row r="47" spans="1:9" ht="13.95" customHeight="1" x14ac:dyDescent="0.25">
      <c r="A47" s="403" t="s">
        <v>228</v>
      </c>
      <c r="B47" s="1581"/>
      <c r="C47" s="404"/>
      <c r="D47" s="1582"/>
      <c r="E47" s="1582"/>
      <c r="F47" s="1582"/>
      <c r="G47" s="1582"/>
      <c r="I47" s="191"/>
    </row>
    <row r="48" spans="1:9" ht="13.95" customHeight="1" x14ac:dyDescent="0.25">
      <c r="A48" s="403" t="s">
        <v>229</v>
      </c>
      <c r="B48" s="1581"/>
      <c r="C48" s="404"/>
      <c r="D48" s="1582"/>
      <c r="E48" s="1582"/>
      <c r="F48" s="1582"/>
      <c r="G48" s="1582"/>
      <c r="I48" s="191"/>
    </row>
    <row r="49" spans="1:9" ht="13.95" customHeight="1" x14ac:dyDescent="0.25">
      <c r="A49" s="403" t="s">
        <v>233</v>
      </c>
      <c r="B49" s="1581"/>
      <c r="C49" s="404"/>
      <c r="D49" s="1582"/>
      <c r="E49" s="1582"/>
      <c r="F49" s="1582"/>
      <c r="G49" s="1582"/>
      <c r="I49" s="191"/>
    </row>
    <row r="50" spans="1:9" ht="13.95" customHeight="1" x14ac:dyDescent="0.25">
      <c r="A50" s="405" t="s">
        <v>234</v>
      </c>
      <c r="B50" s="406"/>
      <c r="C50" s="407"/>
      <c r="D50" s="202"/>
      <c r="E50" s="1583"/>
      <c r="F50" s="1582"/>
      <c r="G50" s="1584"/>
      <c r="I50" s="191"/>
    </row>
    <row r="51" spans="1:9" ht="15" customHeight="1" x14ac:dyDescent="0.25">
      <c r="A51" s="403"/>
      <c r="B51" s="1581"/>
      <c r="C51" s="1581"/>
      <c r="D51" s="202"/>
      <c r="E51" s="1583"/>
      <c r="F51" s="1582"/>
      <c r="G51" s="1584"/>
      <c r="I51" s="191"/>
    </row>
    <row r="52" spans="1:9" ht="15" customHeight="1" x14ac:dyDescent="0.25">
      <c r="A52" s="1898" t="s">
        <v>230</v>
      </c>
      <c r="B52" s="1610"/>
      <c r="C52" s="1610"/>
      <c r="E52" s="203"/>
      <c r="F52" s="1582"/>
      <c r="G52" s="408" t="s">
        <v>350</v>
      </c>
      <c r="I52" s="191"/>
    </row>
    <row r="53" spans="1:9" ht="15" customHeight="1" x14ac:dyDescent="0.25">
      <c r="A53" s="189" t="s">
        <v>231</v>
      </c>
      <c r="I53" s="191"/>
    </row>
    <row r="54" spans="1:9" x14ac:dyDescent="0.25">
      <c r="A54" s="205" t="s">
        <v>332</v>
      </c>
      <c r="I54" s="191"/>
    </row>
    <row r="55" spans="1:9" x14ac:dyDescent="0.25">
      <c r="A55" s="205" t="s">
        <v>333</v>
      </c>
      <c r="I55" s="191"/>
    </row>
    <row r="56" spans="1:9" x14ac:dyDescent="0.25">
      <c r="A56" s="189"/>
      <c r="I56" s="191"/>
    </row>
    <row r="57" spans="1:9" x14ac:dyDescent="0.25">
      <c r="A57" s="189"/>
      <c r="I57" s="191"/>
    </row>
    <row r="58" spans="1:9" x14ac:dyDescent="0.25">
      <c r="A58" s="196"/>
      <c r="B58" s="197"/>
      <c r="C58" s="197"/>
      <c r="D58" s="197"/>
      <c r="E58" s="197"/>
      <c r="F58" s="197"/>
      <c r="G58" s="197"/>
      <c r="H58" s="197"/>
      <c r="I58" s="198"/>
    </row>
  </sheetData>
  <sheetProtection algorithmName="SHA-512" hashValue="nnrpTy+R1NlQIPQXKVDbLyaYqMITZ/1m0N4DJH14YEkjHq6wV31gKDA60buwA7B8gDcW21LjYQzXndLZbGa4KA==" saltValue="fe4LmW5tRywKw/3cfXNXUA==" spinCount="100000" sheet="1" objects="1" scenarios="1"/>
  <customSheetViews>
    <customSheetView guid="{CDDBAA41-0D3E-44AF-A85A-332C81A5DAE4}" fitToPage="1" hiddenRows="1">
      <pane ySplit="4" topLeftCell="A5" activePane="bottomLeft" state="frozen"/>
      <selection pane="bottomLeft" activeCell="H6" sqref="H6"/>
      <pageMargins left="0.70866141732283472" right="0.70866141732283472" top="0.78740157480314965" bottom="0.78740157480314965" header="0.31496062992125984" footer="0.31496062992125984"/>
      <pageSetup paperSize="9" orientation="portrait"/>
      <headerFooter>
        <oddHeader>&amp;C&amp;9&amp;A</oddHeader>
        <oddFooter>&amp;C&amp;8Verhandlungsunterlagen SGB XI&amp;R&amp;8Version Kostenträger Stand: 29.11.2018</oddFooter>
      </headerFooter>
    </customSheetView>
  </customSheetViews>
  <mergeCells count="3">
    <mergeCell ref="A1:I4"/>
    <mergeCell ref="A43:C43"/>
    <mergeCell ref="A52:C52"/>
  </mergeCells>
  <hyperlinks>
    <hyperlink ref="G21" r:id="rId1" xr:uid="{00000000-0004-0000-0C00-000000000000}"/>
    <hyperlink ref="E9" r:id="rId2" xr:uid="{00000000-0004-0000-0C00-000001000000}"/>
    <hyperlink ref="G34" r:id="rId3" xr:uid="{00000000-0004-0000-0C00-000002000000}"/>
    <hyperlink ref="G12" r:id="rId4" xr:uid="{00000000-0004-0000-0C00-000003000000}"/>
    <hyperlink ref="G16" r:id="rId5" xr:uid="{00000000-0004-0000-0C00-000004000000}"/>
    <hyperlink ref="G27" r:id="rId6" xr:uid="{00000000-0004-0000-0C00-000005000000}"/>
    <hyperlink ref="G39" r:id="rId7" display="mailto:pflegesatzverhandlungen_sachsen@barmer.de" xr:uid="{00000000-0004-0000-0C00-000006000000}"/>
    <hyperlink ref="G52" r:id="rId8" xr:uid="{00000000-0004-0000-0C00-000007000000}"/>
  </hyperlinks>
  <pageMargins left="0.70866141732283472" right="0.70866141732283472" top="0.78740157480314965" bottom="0.78740157480314965" header="0.31496062992125984" footer="0.31496062992125984"/>
  <pageSetup paperSize="9" scale="91" orientation="portrait"/>
  <headerFooter>
    <oddHeader>&amp;C&amp;9&amp;A</oddHeader>
    <oddFooter>&amp;L&amp;8Version: 12.10.2026&amp;C&amp;8Verhandlungsunterlagen KZP SGB XI&amp;R&amp;8PSK vom 08.10.2026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workbookViewId="0">
      <selection activeCell="E10" sqref="E10"/>
    </sheetView>
  </sheetViews>
  <sheetFormatPr baseColWidth="10" defaultRowHeight="13.8" x14ac:dyDescent="0.25"/>
  <sheetData>
    <row r="2" spans="1:1" x14ac:dyDescent="0.25">
      <c r="A2" s="1487" t="s">
        <v>894</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18</vt:i4>
      </vt:variant>
    </vt:vector>
  </HeadingPairs>
  <TitlesOfParts>
    <vt:vector size="33" baseType="lpstr">
      <vt:lpstr>VERSIONSINFO</vt:lpstr>
      <vt:lpstr>KAT</vt:lpstr>
      <vt:lpstr>Verknüpfungstabelle</vt:lpstr>
      <vt:lpstr>Allgemeine Hinweise</vt:lpstr>
      <vt:lpstr>Allgemeine Angaben</vt:lpstr>
      <vt:lpstr>Belegung_wö. Arbeitszeit</vt:lpstr>
      <vt:lpstr>Personalkostenaufstellung</vt:lpstr>
      <vt:lpstr>Personalaufwendungen</vt:lpstr>
      <vt:lpstr>Sachaufwendungen</vt:lpstr>
      <vt:lpstr>Forderung</vt:lpstr>
      <vt:lpstr>Gesamtkalkulation</vt:lpstr>
      <vt:lpstr>Bewohnervertretung</vt:lpstr>
      <vt:lpstr>Hinweise Sachaufwendungen</vt:lpstr>
      <vt:lpstr>Adressverzeichnis</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für Kurzzeitpflege</dc:title>
  <dc:creator>AOK PLUS - Die Gesundheitskasse für Sachsen und Thüringen</dc:creator>
  <cp:lastModifiedBy>Frank, Tina / G-PFST</cp:lastModifiedBy>
  <cp:lastPrinted>2026-10-13T16:07:38Z</cp:lastPrinted>
  <dcterms:created xsi:type="dcterms:W3CDTF">2012-08-21T12:23:19Z</dcterms:created>
  <dcterms:modified xsi:type="dcterms:W3CDTF">2026-10-19T14:52:02Z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2024-11-22T09:35:12Z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7a2ebd59-5b45-4954-b640-2a2ba00c7d89</vt:lpwstr>
  </property>
  <property fmtid="{D5CDD505-2E9C-101B-9397-08002B2CF9AE}" pid="8" name="MSIP_Label_94f72c9e-ff9b-4d29-a8be-f698af1f1989_ContentBits">
    <vt:lpwstr>2</vt:lpwstr>
  </property>
</Properties>
</file>