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DieseArbeitsmappe"/>
  <mc:AlternateContent xmlns:mc="http://schemas.openxmlformats.org/markup-compatibility/2006">
    <mc:Choice Requires="x15">
      <x15ac:absPath xmlns:x15ac="http://schemas.microsoft.com/office/spreadsheetml/2010/11/ac" url="R:\G\PHKP\VQMS\_ALL\SAC\0_STATIONÄR_VH\ANTRAG\ANTRAG_vst\Antrag ab 1.7.2026 LV\Antrag LV_Bearbeitung\"/>
    </mc:Choice>
  </mc:AlternateContent>
  <xr:revisionPtr revIDLastSave="0" documentId="13_ncr:1_{D8688B4F-875E-4FFE-953F-648B7346CFAD}" xr6:coauthVersionLast="47" xr6:coauthVersionMax="47" xr10:uidLastSave="{00000000-0000-0000-0000-000000000000}"/>
  <workbookProtection workbookAlgorithmName="SHA-512" workbookHashValue="ZnyJ7jNqZ4HwNvh5XIz5pXAiXTtWt7/HrEaDoxJG6kG3XK6e4n6ehROr9r2YhcrrQb6z0KFtZpzyjnxkV5L5sQ==" workbookSaltValue="x0irzHT7FozAIL6i/tiH1w==" workbookSpinCount="100000" lockStructure="1"/>
  <bookViews>
    <workbookView xWindow="-120" yWindow="-120" windowWidth="29040" windowHeight="15720" tabRatio="783" activeTab="1" xr2:uid="{00000000-000D-0000-FFFF-FFFF00000000}"/>
  </bookViews>
  <sheets>
    <sheet name="Allgemeine Hinweise" sheetId="15" r:id="rId1"/>
    <sheet name="Allgemeine Angaben" sheetId="1" r:id="rId2"/>
    <sheet name="Belegung_wö. Arbeitszeit" sheetId="2" r:id="rId3"/>
    <sheet name="Personalkostenaufstellung" sheetId="14" r:id="rId4"/>
    <sheet name="Personalaufwendungen" sheetId="3" r:id="rId5"/>
    <sheet name="Sachaufwendungen" sheetId="4" r:id="rId6"/>
    <sheet name="Forderung" sheetId="6" r:id="rId7"/>
    <sheet name="Versionsinfo" sheetId="16" state="hidden" r:id="rId8"/>
    <sheet name="KAT" sheetId="9" state="hidden" r:id="rId9"/>
    <sheet name="Gesamtkalkulation " sheetId="7" r:id="rId10"/>
    <sheet name="Bewohnervertretung" sheetId="8" r:id="rId11"/>
    <sheet name="Hinweise Sachaufwendungen" sheetId="23" r:id="rId12"/>
    <sheet name="Adressverzeichnis" sheetId="12" r:id="rId13"/>
    <sheet name="Verknüpfungstabelle" sheetId="21" state="hidden" r:id="rId14"/>
    <sheet name="Tabelle für VP" sheetId="22" r:id="rId15"/>
  </sheets>
  <definedNames>
    <definedName name="divisor">'Belegung_wö. Arbeitszeit'!$E$23</definedName>
    <definedName name="_xlnm.Print_Area" localSheetId="12">Adressverzeichnis!$A$1:$I$63</definedName>
    <definedName name="_xlnm.Print_Area" localSheetId="1">'Allgemeine Angaben'!$A$1:$N$74</definedName>
    <definedName name="_xlnm.Print_Area" localSheetId="0">'Allgemeine Hinweise'!$A$1:$C$58</definedName>
    <definedName name="_xlnm.Print_Area" localSheetId="2">'Belegung_wö. Arbeitszeit'!$A$1:$H$68</definedName>
    <definedName name="_xlnm.Print_Area" localSheetId="10">Bewohnervertretung!$A$1:$N$64</definedName>
    <definedName name="_xlnm.Print_Area" localSheetId="6">Forderung!$A$1:$P$107</definedName>
    <definedName name="_xlnm.Print_Area" localSheetId="9">'Gesamtkalkulation '!$A$1:$Y$60</definedName>
    <definedName name="_xlnm.Print_Area" localSheetId="11">'Hinweise Sachaufwendungen'!$A$1:$C$79</definedName>
    <definedName name="_xlnm.Print_Area" localSheetId="8">KAT!$A$1</definedName>
    <definedName name="_xlnm.Print_Area" localSheetId="4">Personalaufwendungen!$A$1:$K$84</definedName>
    <definedName name="_xlnm.Print_Area" localSheetId="3">Personalkostenaufstellung!$A$1:$Y$606</definedName>
    <definedName name="_xlnm.Print_Area" localSheetId="5">Sachaufwendungen!$A$1:$Q$75</definedName>
    <definedName name="_xlnm.Print_Area" localSheetId="7">Versionsinfo!$A$1:$E$48</definedName>
    <definedName name="_xlnm.Print_Titles" localSheetId="11">'Hinweise Sachaufwendungen'!$1:$1</definedName>
    <definedName name="_xlnm.Print_Titles" localSheetId="7">Versionsinfo!$5:$5</definedName>
    <definedName name="eeadivisor">'Gesamtkalkulation '!$F$11</definedName>
    <definedName name="pnk">Personalaufwendungen!$I$72</definedName>
    <definedName name="risiko">Personalaufwendungen!$I$76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S2" i="21" l="1"/>
  <c r="MP2" i="21"/>
  <c r="MN2" i="21"/>
  <c r="L70" i="4" l="1"/>
  <c r="D55" i="1"/>
  <c r="MQ2" i="21" l="1"/>
  <c r="C74" i="4"/>
  <c r="J69" i="4" l="1"/>
  <c r="R14" i="14" l="1"/>
  <c r="R19" i="9"/>
  <c r="B47" i="7"/>
  <c r="B48" i="7"/>
  <c r="B49" i="7"/>
  <c r="C26" i="7" l="1"/>
  <c r="D59" i="9"/>
  <c r="B7" i="14" l="1"/>
  <c r="G7" i="14"/>
  <c r="C18" i="2"/>
  <c r="C19" i="2"/>
  <c r="D17" i="2"/>
  <c r="G25" i="3" l="1"/>
  <c r="D27" i="2"/>
  <c r="C27" i="2"/>
  <c r="AF476" i="14"/>
  <c r="AF477" i="14"/>
  <c r="AF478" i="14"/>
  <c r="AF479" i="14"/>
  <c r="AF481" i="14"/>
  <c r="AF482" i="14"/>
  <c r="AF483" i="14"/>
  <c r="AF484" i="14"/>
  <c r="AF485" i="14"/>
  <c r="AF486" i="14"/>
  <c r="AF487" i="14"/>
  <c r="AF488" i="14"/>
  <c r="AF489" i="14"/>
  <c r="AF490" i="14"/>
  <c r="AF491" i="14"/>
  <c r="AF492" i="14"/>
  <c r="AF493" i="14"/>
  <c r="AF494" i="14"/>
  <c r="AF495" i="14"/>
  <c r="AF496" i="14"/>
  <c r="AF497" i="14"/>
  <c r="AF498" i="14"/>
  <c r="AF499" i="14"/>
  <c r="AF500" i="14"/>
  <c r="AF501" i="14"/>
  <c r="AF502" i="14"/>
  <c r="AF503" i="14"/>
  <c r="AF504" i="14"/>
  <c r="AF475" i="14"/>
  <c r="E39" i="12"/>
  <c r="E53" i="12"/>
  <c r="E34" i="12"/>
  <c r="E27" i="12"/>
  <c r="E21" i="12"/>
  <c r="E16" i="12"/>
  <c r="E12" i="12"/>
  <c r="E7" i="12"/>
  <c r="H29" i="4"/>
  <c r="G5" i="14"/>
  <c r="B5" i="14"/>
  <c r="B4" i="14"/>
  <c r="I79" i="3"/>
  <c r="I81" i="3"/>
  <c r="HN2" i="21" l="1"/>
  <c r="C40" i="4"/>
  <c r="AQ2" i="21"/>
  <c r="C2" i="21" l="1"/>
  <c r="B2" i="21"/>
  <c r="C18" i="14"/>
  <c r="C16" i="14"/>
  <c r="A3" i="1"/>
  <c r="Q14" i="9" l="1"/>
  <c r="KC2" i="21"/>
  <c r="JZ2" i="21"/>
  <c r="JX2" i="21"/>
  <c r="JD2" i="21"/>
  <c r="JB2" i="21"/>
  <c r="II2" i="21"/>
  <c r="IH2" i="21"/>
  <c r="IG2" i="21"/>
  <c r="IF2" i="21"/>
  <c r="IE2" i="21"/>
  <c r="ID2" i="21"/>
  <c r="IC2" i="21"/>
  <c r="IB2" i="21"/>
  <c r="IA2" i="21"/>
  <c r="HZ2" i="21"/>
  <c r="HX2" i="21"/>
  <c r="HW2" i="21"/>
  <c r="HV2" i="21"/>
  <c r="HU2" i="21"/>
  <c r="HT2" i="21"/>
  <c r="HS2" i="21"/>
  <c r="HR2" i="21"/>
  <c r="HQ2" i="21"/>
  <c r="HP2" i="21"/>
  <c r="HO2" i="21"/>
  <c r="GO2" i="21"/>
  <c r="GK2" i="21"/>
  <c r="GJ2" i="21"/>
  <c r="GI2" i="21"/>
  <c r="GH2" i="21"/>
  <c r="FC2" i="21"/>
  <c r="FB2" i="21"/>
  <c r="FA2" i="21"/>
  <c r="EZ2" i="21"/>
  <c r="EY2" i="21"/>
  <c r="EX2" i="21"/>
  <c r="EW2" i="21"/>
  <c r="EV2" i="21"/>
  <c r="ET2" i="21"/>
  <c r="ES2" i="21"/>
  <c r="EQ2" i="21"/>
  <c r="EP2" i="21"/>
  <c r="EL2" i="21"/>
  <c r="EK2" i="21"/>
  <c r="EJ2" i="21"/>
  <c r="EI2" i="21"/>
  <c r="EH2" i="21"/>
  <c r="EG2" i="21"/>
  <c r="EF2" i="21"/>
  <c r="ED2" i="21"/>
  <c r="EC2" i="21"/>
  <c r="EB2" i="21"/>
  <c r="DP2" i="21"/>
  <c r="DO2" i="21"/>
  <c r="DN2" i="21"/>
  <c r="DM2" i="21"/>
  <c r="DL2" i="21"/>
  <c r="DK2" i="21"/>
  <c r="DJ2" i="21"/>
  <c r="DF2" i="21"/>
  <c r="DD2" i="21"/>
  <c r="BP2" i="21"/>
  <c r="BN2" i="21"/>
  <c r="BM2" i="21"/>
  <c r="BL2" i="21"/>
  <c r="BK2" i="21"/>
  <c r="BJ2" i="21"/>
  <c r="BH2" i="21"/>
  <c r="BG2" i="21"/>
  <c r="BF2" i="21"/>
  <c r="BE2" i="21"/>
  <c r="BD2" i="21"/>
  <c r="BB2" i="21"/>
  <c r="BA2" i="21"/>
  <c r="AZ2" i="21"/>
  <c r="AY2" i="21"/>
  <c r="AX2" i="21"/>
  <c r="AV2" i="21"/>
  <c r="AU2" i="21"/>
  <c r="AT2" i="21"/>
  <c r="AS2" i="21"/>
  <c r="AR2" i="21"/>
  <c r="AP2" i="21"/>
  <c r="AO2" i="21"/>
  <c r="AN2" i="21"/>
  <c r="AM2" i="21"/>
  <c r="AL2" i="21"/>
  <c r="AK2" i="21"/>
  <c r="AJ2" i="21"/>
  <c r="AI2" i="21"/>
  <c r="AH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GP2" i="21"/>
  <c r="C51" i="4"/>
  <c r="D30" i="4"/>
  <c r="C75" i="3"/>
  <c r="B48" i="2"/>
  <c r="K66" i="1"/>
  <c r="D11" i="1"/>
  <c r="S14" i="9" l="1"/>
  <c r="J72" i="3"/>
  <c r="GM2" i="21" s="1"/>
  <c r="G29" i="3"/>
  <c r="N12" i="9" l="1"/>
  <c r="AP13" i="14" l="1"/>
  <c r="AO13" i="14"/>
  <c r="AN13" i="14"/>
  <c r="AL13" i="14"/>
  <c r="AM13" i="14"/>
  <c r="Y146" i="14"/>
  <c r="Y147" i="14"/>
  <c r="Y148" i="14"/>
  <c r="Y149" i="14"/>
  <c r="Y150" i="14"/>
  <c r="X587" i="14"/>
  <c r="X586" i="14"/>
  <c r="X573" i="14"/>
  <c r="X574" i="14"/>
  <c r="X575" i="14"/>
  <c r="X576" i="14"/>
  <c r="X577" i="14"/>
  <c r="X578" i="14"/>
  <c r="X579" i="14"/>
  <c r="X580" i="14"/>
  <c r="X581" i="14"/>
  <c r="X572" i="14"/>
  <c r="X540" i="14"/>
  <c r="X541" i="14"/>
  <c r="X542" i="14"/>
  <c r="X543" i="14"/>
  <c r="X544" i="14"/>
  <c r="X545" i="14"/>
  <c r="X546" i="14"/>
  <c r="X547" i="14"/>
  <c r="X548" i="14"/>
  <c r="X549" i="14"/>
  <c r="X550" i="14"/>
  <c r="X551" i="14"/>
  <c r="X552" i="14"/>
  <c r="X553" i="14"/>
  <c r="X554" i="14"/>
  <c r="X555" i="14"/>
  <c r="X556" i="14"/>
  <c r="X557" i="14"/>
  <c r="X558" i="14"/>
  <c r="X559" i="14"/>
  <c r="X560" i="14"/>
  <c r="X561" i="14"/>
  <c r="X562" i="14"/>
  <c r="X563" i="14"/>
  <c r="X564" i="14"/>
  <c r="X565" i="14"/>
  <c r="X566" i="14"/>
  <c r="X567" i="14"/>
  <c r="X568" i="14"/>
  <c r="X539" i="14"/>
  <c r="X507" i="14"/>
  <c r="X508" i="14"/>
  <c r="X509" i="14"/>
  <c r="X510" i="14"/>
  <c r="X511" i="14"/>
  <c r="X512" i="14"/>
  <c r="X513" i="14"/>
  <c r="X514" i="14"/>
  <c r="X515" i="14"/>
  <c r="X516" i="14"/>
  <c r="X517" i="14"/>
  <c r="X518" i="14"/>
  <c r="X519" i="14"/>
  <c r="X520" i="14"/>
  <c r="X521" i="14"/>
  <c r="X522" i="14"/>
  <c r="X523" i="14"/>
  <c r="X524" i="14"/>
  <c r="X525" i="14"/>
  <c r="X526" i="14"/>
  <c r="X527" i="14"/>
  <c r="X528" i="14"/>
  <c r="X529" i="14"/>
  <c r="X530" i="14"/>
  <c r="X531" i="14"/>
  <c r="X532" i="14"/>
  <c r="X533" i="14"/>
  <c r="X534" i="14"/>
  <c r="X506" i="14"/>
  <c r="X476" i="14"/>
  <c r="X477" i="14"/>
  <c r="X478" i="14"/>
  <c r="X479" i="14"/>
  <c r="X481" i="14"/>
  <c r="X482" i="14"/>
  <c r="X483" i="14"/>
  <c r="X484" i="14"/>
  <c r="X485" i="14"/>
  <c r="X486" i="14"/>
  <c r="X487" i="14"/>
  <c r="X488" i="14"/>
  <c r="X489" i="14"/>
  <c r="X490" i="14"/>
  <c r="X491" i="14"/>
  <c r="X492" i="14"/>
  <c r="X493" i="14"/>
  <c r="X494" i="14"/>
  <c r="X495" i="14"/>
  <c r="X496" i="14"/>
  <c r="X497" i="14"/>
  <c r="X498" i="14"/>
  <c r="X499" i="14"/>
  <c r="X500" i="14"/>
  <c r="X501" i="14"/>
  <c r="X502" i="14"/>
  <c r="X503" i="14"/>
  <c r="X504" i="14"/>
  <c r="X468" i="14"/>
  <c r="X469" i="14"/>
  <c r="X470" i="14"/>
  <c r="X471" i="14"/>
  <c r="X472" i="14"/>
  <c r="X473" i="14"/>
  <c r="X467" i="14"/>
  <c r="X439" i="14"/>
  <c r="X440" i="14"/>
  <c r="X441" i="14"/>
  <c r="X442" i="14"/>
  <c r="X443" i="14"/>
  <c r="X444" i="14"/>
  <c r="X445" i="14"/>
  <c r="X446" i="14"/>
  <c r="X447" i="14"/>
  <c r="X448" i="14"/>
  <c r="X449" i="14"/>
  <c r="X450" i="14"/>
  <c r="X451" i="14"/>
  <c r="X452" i="14"/>
  <c r="X453" i="14"/>
  <c r="X454" i="14"/>
  <c r="X455" i="14"/>
  <c r="X456" i="14"/>
  <c r="X457" i="14"/>
  <c r="X458" i="14"/>
  <c r="X459" i="14"/>
  <c r="X460" i="14"/>
  <c r="X461" i="14"/>
  <c r="X462" i="14"/>
  <c r="X463" i="14"/>
  <c r="X464" i="14"/>
  <c r="X465" i="14"/>
  <c r="X438" i="14"/>
  <c r="X433" i="14"/>
  <c r="X434" i="14"/>
  <c r="X400" i="14"/>
  <c r="X401" i="14"/>
  <c r="X402" i="14"/>
  <c r="X403" i="14"/>
  <c r="X404" i="14"/>
  <c r="X405" i="14"/>
  <c r="X406" i="14"/>
  <c r="X407" i="14"/>
  <c r="X408" i="14"/>
  <c r="X410" i="14"/>
  <c r="X411" i="14"/>
  <c r="X412" i="14"/>
  <c r="X413" i="14"/>
  <c r="X414" i="14"/>
  <c r="X415" i="14"/>
  <c r="X416" i="14"/>
  <c r="X417" i="14"/>
  <c r="X418" i="14"/>
  <c r="X420" i="14"/>
  <c r="X372" i="14"/>
  <c r="X373" i="14"/>
  <c r="X374" i="14"/>
  <c r="X375" i="14"/>
  <c r="X376" i="14"/>
  <c r="X377" i="14"/>
  <c r="X378" i="14"/>
  <c r="X379" i="14"/>
  <c r="X380" i="14"/>
  <c r="X381" i="14"/>
  <c r="X382" i="14"/>
  <c r="X383" i="14"/>
  <c r="X384" i="14"/>
  <c r="X385" i="14"/>
  <c r="X386" i="14"/>
  <c r="X387" i="14"/>
  <c r="X388" i="14"/>
  <c r="X389" i="14"/>
  <c r="X390" i="14"/>
  <c r="X391" i="14"/>
  <c r="X392" i="14"/>
  <c r="X393" i="14"/>
  <c r="X394" i="14"/>
  <c r="X395" i="14"/>
  <c r="X330" i="14"/>
  <c r="X331" i="14"/>
  <c r="X332" i="14"/>
  <c r="X333" i="14"/>
  <c r="X334" i="14"/>
  <c r="X335" i="14"/>
  <c r="X336" i="14"/>
  <c r="X337" i="14"/>
  <c r="X338" i="14"/>
  <c r="X339" i="14"/>
  <c r="X340" i="14"/>
  <c r="X341" i="14"/>
  <c r="X342" i="14"/>
  <c r="X343" i="14"/>
  <c r="X344" i="14"/>
  <c r="X345" i="14"/>
  <c r="X346" i="14"/>
  <c r="X347" i="14"/>
  <c r="X348" i="14"/>
  <c r="X349" i="14"/>
  <c r="X350" i="14"/>
  <c r="X351" i="14"/>
  <c r="X352" i="14"/>
  <c r="X353" i="14"/>
  <c r="X354" i="14"/>
  <c r="X329" i="14"/>
  <c r="X259" i="14"/>
  <c r="X260" i="14"/>
  <c r="X261" i="14"/>
  <c r="X262" i="14"/>
  <c r="X263" i="14"/>
  <c r="X264" i="14"/>
  <c r="X265" i="14"/>
  <c r="X266" i="14"/>
  <c r="X267" i="14"/>
  <c r="X268" i="14"/>
  <c r="X269" i="14"/>
  <c r="X270" i="14"/>
  <c r="X271" i="14"/>
  <c r="X272" i="14"/>
  <c r="X273" i="14"/>
  <c r="X274" i="14"/>
  <c r="X275" i="14"/>
  <c r="X276" i="14"/>
  <c r="X277" i="14"/>
  <c r="X278" i="14"/>
  <c r="X279" i="14"/>
  <c r="X280" i="14"/>
  <c r="X281" i="14"/>
  <c r="X282" i="14"/>
  <c r="X283" i="14"/>
  <c r="X284" i="14"/>
  <c r="X285" i="14"/>
  <c r="X286" i="14"/>
  <c r="X287" i="14"/>
  <c r="X288" i="14"/>
  <c r="X289" i="14"/>
  <c r="X290" i="14"/>
  <c r="X291" i="14"/>
  <c r="X292" i="14"/>
  <c r="X293" i="14"/>
  <c r="X294" i="14"/>
  <c r="X295" i="14"/>
  <c r="X296" i="14"/>
  <c r="X297" i="14"/>
  <c r="X298" i="14"/>
  <c r="X299" i="14"/>
  <c r="X300" i="14"/>
  <c r="X301" i="14"/>
  <c r="X302" i="14"/>
  <c r="X303" i="14"/>
  <c r="X304" i="14"/>
  <c r="X305" i="14"/>
  <c r="X306" i="14"/>
  <c r="X307" i="14"/>
  <c r="X308" i="14"/>
  <c r="X309" i="14"/>
  <c r="X310" i="14"/>
  <c r="X311" i="14"/>
  <c r="X312" i="14"/>
  <c r="X313" i="14"/>
  <c r="X314" i="14"/>
  <c r="X315" i="14"/>
  <c r="X316" i="14"/>
  <c r="X317" i="14"/>
  <c r="X318" i="14"/>
  <c r="X319" i="14"/>
  <c r="X320" i="14"/>
  <c r="X321" i="14"/>
  <c r="X322" i="14"/>
  <c r="X323" i="14"/>
  <c r="X324" i="14"/>
  <c r="X325" i="14"/>
  <c r="X326" i="14"/>
  <c r="X327" i="14"/>
  <c r="X226" i="14"/>
  <c r="X227" i="14"/>
  <c r="X228" i="14"/>
  <c r="X229" i="14"/>
  <c r="X230" i="14"/>
  <c r="X231" i="14"/>
  <c r="X232" i="14"/>
  <c r="X233" i="14"/>
  <c r="X234" i="14"/>
  <c r="X235" i="14"/>
  <c r="X236" i="14"/>
  <c r="X237" i="14"/>
  <c r="X238" i="14"/>
  <c r="X239" i="14"/>
  <c r="X240" i="14"/>
  <c r="X241" i="14"/>
  <c r="X242" i="14"/>
  <c r="X243" i="14"/>
  <c r="X244" i="14"/>
  <c r="X245" i="14"/>
  <c r="X246" i="14"/>
  <c r="X247" i="14"/>
  <c r="X248" i="14"/>
  <c r="X249" i="14"/>
  <c r="X250" i="14"/>
  <c r="X251" i="14"/>
  <c r="X252" i="14"/>
  <c r="X253" i="14"/>
  <c r="X156" i="14"/>
  <c r="X157" i="14"/>
  <c r="X158" i="14"/>
  <c r="X159" i="14"/>
  <c r="X160" i="14"/>
  <c r="X161" i="14"/>
  <c r="X162" i="14"/>
  <c r="X163" i="14"/>
  <c r="X164" i="14"/>
  <c r="X165" i="14"/>
  <c r="X166" i="14"/>
  <c r="X167" i="14"/>
  <c r="X168" i="14"/>
  <c r="X169" i="14"/>
  <c r="X170" i="14"/>
  <c r="X171" i="14"/>
  <c r="X172" i="14"/>
  <c r="X173" i="14"/>
  <c r="X174" i="14"/>
  <c r="X175" i="14"/>
  <c r="X176" i="14"/>
  <c r="X177" i="14"/>
  <c r="X178" i="14"/>
  <c r="X179" i="14"/>
  <c r="X180" i="14"/>
  <c r="X181" i="14"/>
  <c r="X182" i="14"/>
  <c r="X183" i="14"/>
  <c r="X184" i="14"/>
  <c r="X185" i="14"/>
  <c r="X186" i="14"/>
  <c r="X187" i="14"/>
  <c r="X188" i="14"/>
  <c r="X189" i="14"/>
  <c r="X190" i="14"/>
  <c r="X191" i="14"/>
  <c r="X192" i="14"/>
  <c r="X193" i="14"/>
  <c r="X194" i="14"/>
  <c r="X195" i="14"/>
  <c r="X196" i="14"/>
  <c r="X197" i="14"/>
  <c r="X198" i="14"/>
  <c r="X199" i="14"/>
  <c r="X200" i="14"/>
  <c r="X201" i="14"/>
  <c r="X202" i="14"/>
  <c r="X203" i="14"/>
  <c r="X204" i="14"/>
  <c r="X205" i="14"/>
  <c r="X206" i="14"/>
  <c r="X207" i="14"/>
  <c r="X208" i="14"/>
  <c r="X209" i="14"/>
  <c r="X210" i="14"/>
  <c r="X211" i="14"/>
  <c r="X212" i="14"/>
  <c r="X213" i="14"/>
  <c r="X214" i="14"/>
  <c r="X215" i="14"/>
  <c r="X216" i="14"/>
  <c r="X217" i="14"/>
  <c r="X218" i="14"/>
  <c r="X219" i="14"/>
  <c r="X220" i="14"/>
  <c r="X221" i="14"/>
  <c r="X222" i="14"/>
  <c r="X223" i="14"/>
  <c r="X140" i="14"/>
  <c r="X141" i="14"/>
  <c r="X142" i="14"/>
  <c r="X143" i="14"/>
  <c r="X144" i="14"/>
  <c r="X145" i="14"/>
  <c r="X139" i="14"/>
  <c r="X55" i="14"/>
  <c r="X56" i="14"/>
  <c r="X57" i="14"/>
  <c r="X58" i="14"/>
  <c r="X59" i="14"/>
  <c r="X60" i="14"/>
  <c r="X61" i="14"/>
  <c r="X62" i="14"/>
  <c r="X63" i="14"/>
  <c r="X64" i="14"/>
  <c r="X65" i="14"/>
  <c r="X66" i="14"/>
  <c r="X67" i="14"/>
  <c r="X68" i="14"/>
  <c r="X69" i="14"/>
  <c r="X70" i="14"/>
  <c r="X71" i="14"/>
  <c r="X72" i="14"/>
  <c r="X73" i="14"/>
  <c r="X74" i="14"/>
  <c r="X75" i="14"/>
  <c r="X76" i="14"/>
  <c r="X77" i="14"/>
  <c r="X78" i="14"/>
  <c r="X79" i="14"/>
  <c r="X80" i="14"/>
  <c r="X81" i="14"/>
  <c r="X82" i="14"/>
  <c r="X83" i="14"/>
  <c r="X84" i="14"/>
  <c r="X85" i="14"/>
  <c r="X86" i="14"/>
  <c r="X87" i="14"/>
  <c r="X88" i="14"/>
  <c r="X89" i="14"/>
  <c r="X90" i="14"/>
  <c r="X91" i="14"/>
  <c r="X92" i="14"/>
  <c r="X93" i="14"/>
  <c r="X94" i="14"/>
  <c r="X95" i="14"/>
  <c r="X96" i="14"/>
  <c r="X97" i="14"/>
  <c r="X98" i="14"/>
  <c r="X99" i="14"/>
  <c r="X100" i="14"/>
  <c r="X101" i="14"/>
  <c r="X102" i="14"/>
  <c r="X103" i="14"/>
  <c r="X104" i="14"/>
  <c r="X105" i="14"/>
  <c r="X106" i="14"/>
  <c r="X107" i="14"/>
  <c r="X108" i="14"/>
  <c r="X109" i="14"/>
  <c r="X110" i="14"/>
  <c r="X111" i="14"/>
  <c r="X112" i="14"/>
  <c r="X113" i="14"/>
  <c r="X114" i="14"/>
  <c r="X115" i="14"/>
  <c r="X116" i="14"/>
  <c r="X117" i="14"/>
  <c r="X118" i="14"/>
  <c r="X119" i="14"/>
  <c r="X120" i="14"/>
  <c r="X121" i="14"/>
  <c r="X122" i="14"/>
  <c r="X123" i="14"/>
  <c r="X124" i="14"/>
  <c r="X125" i="14"/>
  <c r="X126" i="14"/>
  <c r="X127" i="14"/>
  <c r="X128" i="14"/>
  <c r="X129" i="14"/>
  <c r="X130" i="14"/>
  <c r="X131" i="14"/>
  <c r="X132" i="14"/>
  <c r="X133" i="14"/>
  <c r="X134" i="14"/>
  <c r="X135" i="14"/>
  <c r="X136" i="14"/>
  <c r="X137" i="14"/>
  <c r="X53" i="14"/>
  <c r="X52" i="14"/>
  <c r="X45" i="14"/>
  <c r="X44" i="14"/>
  <c r="X38" i="14"/>
  <c r="X39" i="14"/>
  <c r="X31" i="14"/>
  <c r="X32" i="14"/>
  <c r="X33" i="14"/>
  <c r="F39" i="2"/>
  <c r="BO2" i="21" l="1"/>
  <c r="F41" i="2"/>
  <c r="J54" i="4"/>
  <c r="F20" i="4"/>
  <c r="HK2" i="21" s="1"/>
  <c r="K68" i="1"/>
  <c r="O15" i="14" l="1"/>
  <c r="C39" i="4" l="1"/>
  <c r="F41" i="4" l="1"/>
  <c r="H40" i="4"/>
  <c r="H41" i="4"/>
  <c r="F40" i="4"/>
  <c r="K5" i="1" l="1"/>
  <c r="K53" i="1" l="1"/>
  <c r="R1" i="9"/>
  <c r="L60" i="6"/>
  <c r="L46" i="6"/>
  <c r="K38" i="6"/>
  <c r="L38" i="6" s="1"/>
  <c r="K10" i="6"/>
  <c r="K9" i="6"/>
  <c r="L10" i="6"/>
  <c r="L9" i="6"/>
  <c r="X61" i="7"/>
  <c r="V61" i="7"/>
  <c r="T61" i="7"/>
  <c r="C62" i="7"/>
  <c r="E39" i="2"/>
  <c r="BI2" i="21" l="1"/>
  <c r="E41" i="2"/>
  <c r="I10" i="6"/>
  <c r="AK507" i="14"/>
  <c r="AL507" i="14"/>
  <c r="AM507" i="14"/>
  <c r="AN507" i="14"/>
  <c r="AO507" i="14"/>
  <c r="AK508" i="14"/>
  <c r="AL508" i="14"/>
  <c r="AM508" i="14"/>
  <c r="AN508" i="14"/>
  <c r="AO508" i="14"/>
  <c r="AK509" i="14"/>
  <c r="AL509" i="14"/>
  <c r="AM509" i="14"/>
  <c r="AN509" i="14"/>
  <c r="AO509" i="14"/>
  <c r="AK510" i="14"/>
  <c r="AL510" i="14"/>
  <c r="AM510" i="14"/>
  <c r="AN510" i="14"/>
  <c r="AO510" i="14"/>
  <c r="AK511" i="14"/>
  <c r="AL511" i="14"/>
  <c r="AM511" i="14"/>
  <c r="AN511" i="14"/>
  <c r="AO511" i="14"/>
  <c r="AK512" i="14"/>
  <c r="AL512" i="14"/>
  <c r="AM512" i="14"/>
  <c r="AN512" i="14"/>
  <c r="AO512" i="14"/>
  <c r="AK513" i="14"/>
  <c r="AL513" i="14"/>
  <c r="AM513" i="14"/>
  <c r="AN513" i="14"/>
  <c r="AO513" i="14"/>
  <c r="AK514" i="14"/>
  <c r="AL514" i="14"/>
  <c r="AM514" i="14"/>
  <c r="AN514" i="14"/>
  <c r="AO514" i="14"/>
  <c r="AK515" i="14"/>
  <c r="AL515" i="14"/>
  <c r="AM515" i="14"/>
  <c r="AN515" i="14"/>
  <c r="AO515" i="14"/>
  <c r="AK516" i="14"/>
  <c r="AL516" i="14"/>
  <c r="AM516" i="14"/>
  <c r="AN516" i="14"/>
  <c r="AO516" i="14"/>
  <c r="AK517" i="14"/>
  <c r="AL517" i="14"/>
  <c r="AM517" i="14"/>
  <c r="AN517" i="14"/>
  <c r="AO517" i="14"/>
  <c r="AK518" i="14"/>
  <c r="AL518" i="14"/>
  <c r="AM518" i="14"/>
  <c r="AN518" i="14"/>
  <c r="AO518" i="14"/>
  <c r="AK519" i="14"/>
  <c r="AL519" i="14"/>
  <c r="AM519" i="14"/>
  <c r="AN519" i="14"/>
  <c r="AO519" i="14"/>
  <c r="AK520" i="14"/>
  <c r="AL520" i="14"/>
  <c r="AM520" i="14"/>
  <c r="AN520" i="14"/>
  <c r="AO520" i="14"/>
  <c r="AK521" i="14"/>
  <c r="AL521" i="14"/>
  <c r="AM521" i="14"/>
  <c r="AN521" i="14"/>
  <c r="AO521" i="14"/>
  <c r="AK522" i="14"/>
  <c r="AL522" i="14"/>
  <c r="AM522" i="14"/>
  <c r="AN522" i="14"/>
  <c r="AO522" i="14"/>
  <c r="AK523" i="14"/>
  <c r="AL523" i="14"/>
  <c r="AM523" i="14"/>
  <c r="AN523" i="14"/>
  <c r="AO523" i="14"/>
  <c r="AK524" i="14"/>
  <c r="AL524" i="14"/>
  <c r="AM524" i="14"/>
  <c r="AN524" i="14"/>
  <c r="AO524" i="14"/>
  <c r="AK525" i="14"/>
  <c r="AL525" i="14"/>
  <c r="AM525" i="14"/>
  <c r="AN525" i="14"/>
  <c r="AO525" i="14"/>
  <c r="AK526" i="14"/>
  <c r="AL526" i="14"/>
  <c r="AM526" i="14"/>
  <c r="AN526" i="14"/>
  <c r="AO526" i="14"/>
  <c r="AK527" i="14"/>
  <c r="AL527" i="14"/>
  <c r="AM527" i="14"/>
  <c r="AN527" i="14"/>
  <c r="AO527" i="14"/>
  <c r="AK528" i="14"/>
  <c r="AL528" i="14"/>
  <c r="AM528" i="14"/>
  <c r="AN528" i="14"/>
  <c r="AO528" i="14"/>
  <c r="AK529" i="14"/>
  <c r="AL529" i="14"/>
  <c r="AM529" i="14"/>
  <c r="AN529" i="14"/>
  <c r="AO529" i="14"/>
  <c r="AK530" i="14"/>
  <c r="AL530" i="14"/>
  <c r="AM530" i="14"/>
  <c r="AN530" i="14"/>
  <c r="AO530" i="14"/>
  <c r="AK531" i="14"/>
  <c r="AL531" i="14"/>
  <c r="AM531" i="14"/>
  <c r="AN531" i="14"/>
  <c r="AO531" i="14"/>
  <c r="AK532" i="14"/>
  <c r="AL532" i="14"/>
  <c r="AM532" i="14"/>
  <c r="AN532" i="14"/>
  <c r="AO532" i="14"/>
  <c r="AK533" i="14"/>
  <c r="AL533" i="14"/>
  <c r="AM533" i="14"/>
  <c r="AN533" i="14"/>
  <c r="AO533" i="14"/>
  <c r="AK534" i="14"/>
  <c r="AL534" i="14"/>
  <c r="AM534" i="14"/>
  <c r="AN534" i="14"/>
  <c r="AO534" i="14"/>
  <c r="AL535" i="14"/>
  <c r="AM535" i="14"/>
  <c r="AN535" i="14"/>
  <c r="AO535" i="14"/>
  <c r="AL506" i="14"/>
  <c r="AM506" i="14"/>
  <c r="AN506" i="14"/>
  <c r="AO506" i="14"/>
  <c r="AU507" i="14"/>
  <c r="AU508" i="14"/>
  <c r="AU509" i="14"/>
  <c r="AU510" i="14"/>
  <c r="AU511" i="14"/>
  <c r="AU512" i="14"/>
  <c r="AU513" i="14"/>
  <c r="AU514" i="14"/>
  <c r="AU515" i="14"/>
  <c r="AU516" i="14"/>
  <c r="AU517" i="14"/>
  <c r="AU518" i="14"/>
  <c r="AU519" i="14"/>
  <c r="AU520" i="14"/>
  <c r="AU521" i="14"/>
  <c r="AU522" i="14"/>
  <c r="AU523" i="14"/>
  <c r="AU524" i="14"/>
  <c r="AU525" i="14"/>
  <c r="AU526" i="14"/>
  <c r="AU527" i="14"/>
  <c r="AU528" i="14"/>
  <c r="AU529" i="14"/>
  <c r="AU530" i="14"/>
  <c r="AU531" i="14"/>
  <c r="AU532" i="14"/>
  <c r="AU533" i="14"/>
  <c r="AU534" i="14"/>
  <c r="AR507" i="14"/>
  <c r="AR508" i="14"/>
  <c r="AR509" i="14"/>
  <c r="AR510" i="14"/>
  <c r="AR511" i="14"/>
  <c r="AR512" i="14"/>
  <c r="AR513" i="14"/>
  <c r="AR514" i="14"/>
  <c r="AR515" i="14"/>
  <c r="AR516" i="14"/>
  <c r="AR517" i="14"/>
  <c r="AR518" i="14"/>
  <c r="AR519" i="14"/>
  <c r="AR520" i="14"/>
  <c r="AR521" i="14"/>
  <c r="AR522" i="14"/>
  <c r="AR523" i="14"/>
  <c r="AR524" i="14"/>
  <c r="AR525" i="14"/>
  <c r="AR526" i="14"/>
  <c r="AR527" i="14"/>
  <c r="AR528" i="14"/>
  <c r="AR529" i="14"/>
  <c r="AR530" i="14"/>
  <c r="AR531" i="14"/>
  <c r="AR532" i="14"/>
  <c r="AR533" i="14"/>
  <c r="AR534" i="14"/>
  <c r="AR535" i="14"/>
  <c r="AR506" i="14"/>
  <c r="AT476" i="14"/>
  <c r="AT477" i="14"/>
  <c r="AT478" i="14"/>
  <c r="AT479" i="14"/>
  <c r="AT481" i="14"/>
  <c r="AT482" i="14"/>
  <c r="AT483" i="14"/>
  <c r="AT484" i="14"/>
  <c r="AT485" i="14"/>
  <c r="AT486" i="14"/>
  <c r="AT487" i="14"/>
  <c r="AT488" i="14"/>
  <c r="AT489" i="14"/>
  <c r="AT490" i="14"/>
  <c r="AT491" i="14"/>
  <c r="AT492" i="14"/>
  <c r="AT493" i="14"/>
  <c r="AT494" i="14"/>
  <c r="AT495" i="14"/>
  <c r="AT496" i="14"/>
  <c r="AT497" i="14"/>
  <c r="AT498" i="14"/>
  <c r="AT499" i="14"/>
  <c r="AT500" i="14"/>
  <c r="AT501" i="14"/>
  <c r="AT502" i="14"/>
  <c r="AT503" i="14"/>
  <c r="AT504" i="14"/>
  <c r="AQ476" i="14"/>
  <c r="AQ477" i="14"/>
  <c r="AQ478" i="14"/>
  <c r="AQ479" i="14"/>
  <c r="AQ480" i="14"/>
  <c r="AQ481" i="14"/>
  <c r="AQ482" i="14"/>
  <c r="AQ483" i="14"/>
  <c r="AQ484" i="14"/>
  <c r="AQ485" i="14"/>
  <c r="AQ486" i="14"/>
  <c r="AQ487" i="14"/>
  <c r="AQ488" i="14"/>
  <c r="AQ489" i="14"/>
  <c r="AQ490" i="14"/>
  <c r="AQ491" i="14"/>
  <c r="AQ492" i="14"/>
  <c r="AQ493" i="14"/>
  <c r="AQ494" i="14"/>
  <c r="AQ495" i="14"/>
  <c r="AQ496" i="14"/>
  <c r="AQ497" i="14"/>
  <c r="AQ498" i="14"/>
  <c r="AQ499" i="14"/>
  <c r="AQ500" i="14"/>
  <c r="AQ501" i="14"/>
  <c r="AQ502" i="14"/>
  <c r="AQ503" i="14"/>
  <c r="AQ504" i="14"/>
  <c r="AQ475" i="14"/>
  <c r="AG476" i="14"/>
  <c r="AH476" i="14"/>
  <c r="AI476" i="14"/>
  <c r="AJ476" i="14"/>
  <c r="AG477" i="14"/>
  <c r="AH477" i="14"/>
  <c r="AI477" i="14"/>
  <c r="AJ477" i="14"/>
  <c r="AG478" i="14"/>
  <c r="AH478" i="14"/>
  <c r="AI478" i="14"/>
  <c r="AJ478" i="14"/>
  <c r="AG479" i="14"/>
  <c r="AH479" i="14"/>
  <c r="AI479" i="14"/>
  <c r="AJ479" i="14"/>
  <c r="AG480" i="14"/>
  <c r="AH480" i="14"/>
  <c r="AI480" i="14"/>
  <c r="AJ480" i="14"/>
  <c r="AG481" i="14"/>
  <c r="AH481" i="14"/>
  <c r="AI481" i="14"/>
  <c r="AJ481" i="14"/>
  <c r="AG482" i="14"/>
  <c r="AH482" i="14"/>
  <c r="AI482" i="14"/>
  <c r="AJ482" i="14"/>
  <c r="AG483" i="14"/>
  <c r="AH483" i="14"/>
  <c r="AI483" i="14"/>
  <c r="AJ483" i="14"/>
  <c r="AG484" i="14"/>
  <c r="AH484" i="14"/>
  <c r="AI484" i="14"/>
  <c r="AJ484" i="14"/>
  <c r="AG485" i="14"/>
  <c r="AH485" i="14"/>
  <c r="AI485" i="14"/>
  <c r="AJ485" i="14"/>
  <c r="AG486" i="14"/>
  <c r="AH486" i="14"/>
  <c r="AI486" i="14"/>
  <c r="AJ486" i="14"/>
  <c r="AG487" i="14"/>
  <c r="AH487" i="14"/>
  <c r="AI487" i="14"/>
  <c r="AJ487" i="14"/>
  <c r="AG488" i="14"/>
  <c r="AH488" i="14"/>
  <c r="AI488" i="14"/>
  <c r="AJ488" i="14"/>
  <c r="AG489" i="14"/>
  <c r="AH489" i="14"/>
  <c r="AI489" i="14"/>
  <c r="AJ489" i="14"/>
  <c r="AG490" i="14"/>
  <c r="AH490" i="14"/>
  <c r="AI490" i="14"/>
  <c r="AJ490" i="14"/>
  <c r="AG491" i="14"/>
  <c r="AH491" i="14"/>
  <c r="AI491" i="14"/>
  <c r="AJ491" i="14"/>
  <c r="AG492" i="14"/>
  <c r="AH492" i="14"/>
  <c r="AI492" i="14"/>
  <c r="AJ492" i="14"/>
  <c r="AG493" i="14"/>
  <c r="AH493" i="14"/>
  <c r="AI493" i="14"/>
  <c r="AJ493" i="14"/>
  <c r="AG494" i="14"/>
  <c r="AH494" i="14"/>
  <c r="AI494" i="14"/>
  <c r="AJ494" i="14"/>
  <c r="AG495" i="14"/>
  <c r="AH495" i="14"/>
  <c r="AI495" i="14"/>
  <c r="AJ495" i="14"/>
  <c r="AG496" i="14"/>
  <c r="AH496" i="14"/>
  <c r="AI496" i="14"/>
  <c r="AJ496" i="14"/>
  <c r="AG497" i="14"/>
  <c r="AH497" i="14"/>
  <c r="AI497" i="14"/>
  <c r="AJ497" i="14"/>
  <c r="AG498" i="14"/>
  <c r="AH498" i="14"/>
  <c r="AI498" i="14"/>
  <c r="AJ498" i="14"/>
  <c r="AG499" i="14"/>
  <c r="AH499" i="14"/>
  <c r="AI499" i="14"/>
  <c r="AJ499" i="14"/>
  <c r="AG500" i="14"/>
  <c r="AH500" i="14"/>
  <c r="AI500" i="14"/>
  <c r="AJ500" i="14"/>
  <c r="AG501" i="14"/>
  <c r="AH501" i="14"/>
  <c r="AI501" i="14"/>
  <c r="AJ501" i="14"/>
  <c r="AG502" i="14"/>
  <c r="AH502" i="14"/>
  <c r="AI502" i="14"/>
  <c r="AJ502" i="14"/>
  <c r="AG503" i="14"/>
  <c r="AH503" i="14"/>
  <c r="AI503" i="14"/>
  <c r="AJ503" i="14"/>
  <c r="AG504" i="14"/>
  <c r="AH504" i="14"/>
  <c r="AI504" i="14"/>
  <c r="AJ504" i="14"/>
  <c r="AJ475" i="14"/>
  <c r="AI475" i="14"/>
  <c r="AH475" i="14"/>
  <c r="AG475" i="14"/>
  <c r="AI5" i="14" l="1"/>
  <c r="AI3" i="14"/>
  <c r="AH3" i="14"/>
  <c r="AJ3" i="14" s="1"/>
  <c r="H19" i="3"/>
  <c r="FI2" i="21" s="1"/>
  <c r="H52" i="3"/>
  <c r="FY2" i="21" s="1"/>
  <c r="AQ1" i="14"/>
  <c r="AF549" i="14"/>
  <c r="AG549" i="14"/>
  <c r="AH549" i="14"/>
  <c r="AI549" i="14"/>
  <c r="AJ549" i="14"/>
  <c r="AK549" i="14"/>
  <c r="AL549" i="14"/>
  <c r="AM549" i="14"/>
  <c r="AN549" i="14"/>
  <c r="AO549" i="14"/>
  <c r="AQ549" i="14"/>
  <c r="AR549" i="14"/>
  <c r="AT549" i="14"/>
  <c r="AU549" i="14"/>
  <c r="AF550" i="14"/>
  <c r="AG550" i="14"/>
  <c r="AH550" i="14"/>
  <c r="AI550" i="14"/>
  <c r="AJ550" i="14"/>
  <c r="AK550" i="14"/>
  <c r="AL550" i="14"/>
  <c r="AM550" i="14"/>
  <c r="AN550" i="14"/>
  <c r="AO550" i="14"/>
  <c r="AQ550" i="14"/>
  <c r="AR550" i="14"/>
  <c r="AT550" i="14"/>
  <c r="AU550" i="14"/>
  <c r="AF551" i="14"/>
  <c r="AG551" i="14"/>
  <c r="AH551" i="14"/>
  <c r="AI551" i="14"/>
  <c r="AJ551" i="14"/>
  <c r="AK551" i="14"/>
  <c r="AL551" i="14"/>
  <c r="AM551" i="14"/>
  <c r="AN551" i="14"/>
  <c r="AO551" i="14"/>
  <c r="AQ551" i="14"/>
  <c r="AR551" i="14"/>
  <c r="AT551" i="14"/>
  <c r="AU551" i="14"/>
  <c r="AF552" i="14"/>
  <c r="AG552" i="14"/>
  <c r="AH552" i="14"/>
  <c r="AI552" i="14"/>
  <c r="AJ552" i="14"/>
  <c r="AK552" i="14"/>
  <c r="AL552" i="14"/>
  <c r="AM552" i="14"/>
  <c r="AN552" i="14"/>
  <c r="AO552" i="14"/>
  <c r="AQ552" i="14"/>
  <c r="AR552" i="14"/>
  <c r="AT552" i="14"/>
  <c r="AU552" i="14"/>
  <c r="AF553" i="14"/>
  <c r="AG553" i="14"/>
  <c r="AH553" i="14"/>
  <c r="AI553" i="14"/>
  <c r="AJ553" i="14"/>
  <c r="AK553" i="14"/>
  <c r="AL553" i="14"/>
  <c r="AM553" i="14"/>
  <c r="AN553" i="14"/>
  <c r="AO553" i="14"/>
  <c r="AQ553" i="14"/>
  <c r="AR553" i="14"/>
  <c r="AT553" i="14"/>
  <c r="AU553" i="14"/>
  <c r="AF554" i="14"/>
  <c r="AG554" i="14"/>
  <c r="AH554" i="14"/>
  <c r="AI554" i="14"/>
  <c r="AJ554" i="14"/>
  <c r="AK554" i="14"/>
  <c r="AL554" i="14"/>
  <c r="AM554" i="14"/>
  <c r="AN554" i="14"/>
  <c r="AO554" i="14"/>
  <c r="AQ554" i="14"/>
  <c r="AR554" i="14"/>
  <c r="AT554" i="14"/>
  <c r="AU554" i="14"/>
  <c r="AF555" i="14"/>
  <c r="AG555" i="14"/>
  <c r="AH555" i="14"/>
  <c r="AI555" i="14"/>
  <c r="AJ555" i="14"/>
  <c r="AK555" i="14"/>
  <c r="AL555" i="14"/>
  <c r="AM555" i="14"/>
  <c r="AN555" i="14"/>
  <c r="AO555" i="14"/>
  <c r="AQ555" i="14"/>
  <c r="AR555" i="14"/>
  <c r="AT555" i="14"/>
  <c r="AU555" i="14"/>
  <c r="AF556" i="14"/>
  <c r="AG556" i="14"/>
  <c r="AH556" i="14"/>
  <c r="AI556" i="14"/>
  <c r="AJ556" i="14"/>
  <c r="AK556" i="14"/>
  <c r="AL556" i="14"/>
  <c r="AM556" i="14"/>
  <c r="AN556" i="14"/>
  <c r="AO556" i="14"/>
  <c r="AQ556" i="14"/>
  <c r="AR556" i="14"/>
  <c r="AT556" i="14"/>
  <c r="AU556" i="14"/>
  <c r="AF557" i="14"/>
  <c r="AG557" i="14"/>
  <c r="AH557" i="14"/>
  <c r="AI557" i="14"/>
  <c r="AJ557" i="14"/>
  <c r="AK557" i="14"/>
  <c r="AL557" i="14"/>
  <c r="AM557" i="14"/>
  <c r="AN557" i="14"/>
  <c r="AO557" i="14"/>
  <c r="AQ557" i="14"/>
  <c r="AR557" i="14"/>
  <c r="AT557" i="14"/>
  <c r="AU557" i="14"/>
  <c r="AF558" i="14"/>
  <c r="AG558" i="14"/>
  <c r="AH558" i="14"/>
  <c r="AI558" i="14"/>
  <c r="AJ558" i="14"/>
  <c r="AK558" i="14"/>
  <c r="AL558" i="14"/>
  <c r="AM558" i="14"/>
  <c r="AN558" i="14"/>
  <c r="AO558" i="14"/>
  <c r="AQ558" i="14"/>
  <c r="AR558" i="14"/>
  <c r="AT558" i="14"/>
  <c r="AU558" i="14"/>
  <c r="AF559" i="14"/>
  <c r="AG559" i="14"/>
  <c r="AH559" i="14"/>
  <c r="AI559" i="14"/>
  <c r="AJ559" i="14"/>
  <c r="AK559" i="14"/>
  <c r="AL559" i="14"/>
  <c r="AM559" i="14"/>
  <c r="AN559" i="14"/>
  <c r="AO559" i="14"/>
  <c r="AQ559" i="14"/>
  <c r="AR559" i="14"/>
  <c r="AT559" i="14"/>
  <c r="AU559" i="14"/>
  <c r="AF560" i="14"/>
  <c r="AG560" i="14"/>
  <c r="AH560" i="14"/>
  <c r="AI560" i="14"/>
  <c r="AJ560" i="14"/>
  <c r="AK560" i="14"/>
  <c r="AL560" i="14"/>
  <c r="AM560" i="14"/>
  <c r="AN560" i="14"/>
  <c r="AO560" i="14"/>
  <c r="AQ560" i="14"/>
  <c r="AR560" i="14"/>
  <c r="AT560" i="14"/>
  <c r="AU560" i="14"/>
  <c r="AF561" i="14"/>
  <c r="AG561" i="14"/>
  <c r="AH561" i="14"/>
  <c r="AI561" i="14"/>
  <c r="AJ561" i="14"/>
  <c r="AK561" i="14"/>
  <c r="AL561" i="14"/>
  <c r="AM561" i="14"/>
  <c r="AN561" i="14"/>
  <c r="AO561" i="14"/>
  <c r="AQ561" i="14"/>
  <c r="AR561" i="14"/>
  <c r="AT561" i="14"/>
  <c r="AU561" i="14"/>
  <c r="AF562" i="14"/>
  <c r="AG562" i="14"/>
  <c r="AH562" i="14"/>
  <c r="AI562" i="14"/>
  <c r="AJ562" i="14"/>
  <c r="AK562" i="14"/>
  <c r="AL562" i="14"/>
  <c r="AM562" i="14"/>
  <c r="AN562" i="14"/>
  <c r="AO562" i="14"/>
  <c r="AQ562" i="14"/>
  <c r="AR562" i="14"/>
  <c r="AT562" i="14"/>
  <c r="AU562" i="14"/>
  <c r="AF563" i="14"/>
  <c r="AG563" i="14"/>
  <c r="AH563" i="14"/>
  <c r="AI563" i="14"/>
  <c r="AJ563" i="14"/>
  <c r="AK563" i="14"/>
  <c r="AL563" i="14"/>
  <c r="AM563" i="14"/>
  <c r="AN563" i="14"/>
  <c r="AO563" i="14"/>
  <c r="AQ563" i="14"/>
  <c r="AR563" i="14"/>
  <c r="AT563" i="14"/>
  <c r="AU563" i="14"/>
  <c r="AF564" i="14"/>
  <c r="AG564" i="14"/>
  <c r="AH564" i="14"/>
  <c r="AI564" i="14"/>
  <c r="AJ564" i="14"/>
  <c r="AK564" i="14"/>
  <c r="AL564" i="14"/>
  <c r="AM564" i="14"/>
  <c r="AN564" i="14"/>
  <c r="AO564" i="14"/>
  <c r="AQ564" i="14"/>
  <c r="AR564" i="14"/>
  <c r="AT564" i="14"/>
  <c r="AU564" i="14"/>
  <c r="AF565" i="14"/>
  <c r="AG565" i="14"/>
  <c r="AH565" i="14"/>
  <c r="AI565" i="14"/>
  <c r="AJ565" i="14"/>
  <c r="AK565" i="14"/>
  <c r="AL565" i="14"/>
  <c r="AM565" i="14"/>
  <c r="AN565" i="14"/>
  <c r="AO565" i="14"/>
  <c r="AQ565" i="14"/>
  <c r="AR565" i="14"/>
  <c r="AT565" i="14"/>
  <c r="AU565" i="14"/>
  <c r="AF566" i="14"/>
  <c r="AG566" i="14"/>
  <c r="AH566" i="14"/>
  <c r="AI566" i="14"/>
  <c r="AJ566" i="14"/>
  <c r="AK566" i="14"/>
  <c r="AL566" i="14"/>
  <c r="AM566" i="14"/>
  <c r="AN566" i="14"/>
  <c r="AO566" i="14"/>
  <c r="AQ566" i="14"/>
  <c r="AR566" i="14"/>
  <c r="AT566" i="14"/>
  <c r="AU566" i="14"/>
  <c r="AF567" i="14"/>
  <c r="AG567" i="14"/>
  <c r="AH567" i="14"/>
  <c r="AI567" i="14"/>
  <c r="AJ567" i="14"/>
  <c r="AK567" i="14"/>
  <c r="AL567" i="14"/>
  <c r="AM567" i="14"/>
  <c r="AN567" i="14"/>
  <c r="AO567" i="14"/>
  <c r="AQ567" i="14"/>
  <c r="AR567" i="14"/>
  <c r="AT567" i="14"/>
  <c r="AU567" i="14"/>
  <c r="AF568" i="14"/>
  <c r="AG568" i="14"/>
  <c r="AH568" i="14"/>
  <c r="AI568" i="14"/>
  <c r="AJ568" i="14"/>
  <c r="AK568" i="14"/>
  <c r="AL568" i="14"/>
  <c r="AM568" i="14"/>
  <c r="AN568" i="14"/>
  <c r="AO568" i="14"/>
  <c r="AQ568" i="14"/>
  <c r="AR568" i="14"/>
  <c r="AT568" i="14"/>
  <c r="AU568" i="14"/>
  <c r="AF540" i="14"/>
  <c r="AG540" i="14"/>
  <c r="AH540" i="14"/>
  <c r="AI540" i="14"/>
  <c r="AJ540" i="14"/>
  <c r="AK540" i="14"/>
  <c r="AL540" i="14"/>
  <c r="AM540" i="14"/>
  <c r="AN540" i="14"/>
  <c r="AO540" i="14"/>
  <c r="AQ540" i="14"/>
  <c r="AR540" i="14"/>
  <c r="AT540" i="14"/>
  <c r="AU540" i="14"/>
  <c r="AF541" i="14"/>
  <c r="AG541" i="14"/>
  <c r="AH541" i="14"/>
  <c r="AI541" i="14"/>
  <c r="AJ541" i="14"/>
  <c r="AK541" i="14"/>
  <c r="AL541" i="14"/>
  <c r="AM541" i="14"/>
  <c r="AN541" i="14"/>
  <c r="AO541" i="14"/>
  <c r="AQ541" i="14"/>
  <c r="AR541" i="14"/>
  <c r="AT541" i="14"/>
  <c r="AU541" i="14"/>
  <c r="AF542" i="14"/>
  <c r="AG542" i="14"/>
  <c r="AH542" i="14"/>
  <c r="AI542" i="14"/>
  <c r="AJ542" i="14"/>
  <c r="AK542" i="14"/>
  <c r="AL542" i="14"/>
  <c r="AM542" i="14"/>
  <c r="AN542" i="14"/>
  <c r="AO542" i="14"/>
  <c r="AQ542" i="14"/>
  <c r="AR542" i="14"/>
  <c r="AT542" i="14"/>
  <c r="AU542" i="14"/>
  <c r="AF543" i="14"/>
  <c r="AG543" i="14"/>
  <c r="AH543" i="14"/>
  <c r="AI543" i="14"/>
  <c r="AJ543" i="14"/>
  <c r="AK543" i="14"/>
  <c r="AL543" i="14"/>
  <c r="AM543" i="14"/>
  <c r="AN543" i="14"/>
  <c r="AO543" i="14"/>
  <c r="AQ543" i="14"/>
  <c r="AR543" i="14"/>
  <c r="AT543" i="14"/>
  <c r="AU543" i="14"/>
  <c r="AF544" i="14"/>
  <c r="AG544" i="14"/>
  <c r="AH544" i="14"/>
  <c r="AI544" i="14"/>
  <c r="AJ544" i="14"/>
  <c r="AK544" i="14"/>
  <c r="AL544" i="14"/>
  <c r="AM544" i="14"/>
  <c r="AN544" i="14"/>
  <c r="AO544" i="14"/>
  <c r="AQ544" i="14"/>
  <c r="AR544" i="14"/>
  <c r="AT544" i="14"/>
  <c r="AU544" i="14"/>
  <c r="AF545" i="14"/>
  <c r="AG545" i="14"/>
  <c r="AH545" i="14"/>
  <c r="AI545" i="14"/>
  <c r="AJ545" i="14"/>
  <c r="AK545" i="14"/>
  <c r="AL545" i="14"/>
  <c r="AM545" i="14"/>
  <c r="AN545" i="14"/>
  <c r="AO545" i="14"/>
  <c r="AQ545" i="14"/>
  <c r="AR545" i="14"/>
  <c r="AT545" i="14"/>
  <c r="AU545" i="14"/>
  <c r="AF546" i="14"/>
  <c r="AG546" i="14"/>
  <c r="AH546" i="14"/>
  <c r="AI546" i="14"/>
  <c r="AJ546" i="14"/>
  <c r="AK546" i="14"/>
  <c r="AL546" i="14"/>
  <c r="AM546" i="14"/>
  <c r="AN546" i="14"/>
  <c r="AO546" i="14"/>
  <c r="AQ546" i="14"/>
  <c r="AR546" i="14"/>
  <c r="AT546" i="14"/>
  <c r="AU546" i="14"/>
  <c r="AF547" i="14"/>
  <c r="AG547" i="14"/>
  <c r="AH547" i="14"/>
  <c r="AI547" i="14"/>
  <c r="AJ547" i="14"/>
  <c r="AK547" i="14"/>
  <c r="AL547" i="14"/>
  <c r="AM547" i="14"/>
  <c r="AN547" i="14"/>
  <c r="AO547" i="14"/>
  <c r="AQ547" i="14"/>
  <c r="AR547" i="14"/>
  <c r="AT547" i="14"/>
  <c r="AU547" i="14"/>
  <c r="AF548" i="14"/>
  <c r="AG548" i="14"/>
  <c r="AH548" i="14"/>
  <c r="AI548" i="14"/>
  <c r="AJ548" i="14"/>
  <c r="AK548" i="14"/>
  <c r="AL548" i="14"/>
  <c r="AM548" i="14"/>
  <c r="AN548" i="14"/>
  <c r="AO548" i="14"/>
  <c r="AQ548" i="14"/>
  <c r="AR548" i="14"/>
  <c r="AT548" i="14"/>
  <c r="AU548" i="14"/>
  <c r="AU539" i="14"/>
  <c r="AT539" i="14"/>
  <c r="AR539" i="14"/>
  <c r="AQ539" i="14"/>
  <c r="AO539" i="14"/>
  <c r="AN539" i="14"/>
  <c r="AM539" i="14"/>
  <c r="AL539" i="14"/>
  <c r="AK539" i="14"/>
  <c r="AJ539" i="14"/>
  <c r="AI539" i="14"/>
  <c r="AH539" i="14"/>
  <c r="AG539" i="14"/>
  <c r="AF539" i="14"/>
  <c r="AT439" i="14"/>
  <c r="AT440" i="14"/>
  <c r="AU440" i="14"/>
  <c r="AT441" i="14"/>
  <c r="AU441" i="14"/>
  <c r="AT442" i="14"/>
  <c r="AU442" i="14"/>
  <c r="AT443" i="14"/>
  <c r="AU443" i="14"/>
  <c r="AT444" i="14"/>
  <c r="AU444" i="14"/>
  <c r="AT445" i="14"/>
  <c r="AU445" i="14"/>
  <c r="AT446" i="14"/>
  <c r="AU446" i="14"/>
  <c r="AT447" i="14"/>
  <c r="AU447" i="14"/>
  <c r="AT448" i="14"/>
  <c r="AU448" i="14"/>
  <c r="AT449" i="14"/>
  <c r="AU449" i="14"/>
  <c r="AT450" i="14"/>
  <c r="AU450" i="14"/>
  <c r="AT451" i="14"/>
  <c r="AU451" i="14"/>
  <c r="AT452" i="14"/>
  <c r="AU452" i="14"/>
  <c r="AT453" i="14"/>
  <c r="AU453" i="14"/>
  <c r="AT454" i="14"/>
  <c r="AU454" i="14"/>
  <c r="AT455" i="14"/>
  <c r="AU455" i="14"/>
  <c r="AT456" i="14"/>
  <c r="AU456" i="14"/>
  <c r="AT457" i="14"/>
  <c r="AU457" i="14"/>
  <c r="AT458" i="14"/>
  <c r="AU458" i="14"/>
  <c r="AT459" i="14"/>
  <c r="AU459" i="14"/>
  <c r="AT460" i="14"/>
  <c r="AU460" i="14"/>
  <c r="AT461" i="14"/>
  <c r="AU461" i="14"/>
  <c r="AT462" i="14"/>
  <c r="AU462" i="14"/>
  <c r="AT463" i="14"/>
  <c r="AU463" i="14"/>
  <c r="AT464" i="14"/>
  <c r="AU464" i="14"/>
  <c r="AT465" i="14"/>
  <c r="AU465" i="14"/>
  <c r="AT466" i="14"/>
  <c r="AU466" i="14"/>
  <c r="AU438" i="14"/>
  <c r="AB51" i="14"/>
  <c r="AC51" i="14"/>
  <c r="AD51" i="14"/>
  <c r="AE51" i="14"/>
  <c r="AA52" i="14"/>
  <c r="AB52" i="14"/>
  <c r="AC52" i="14"/>
  <c r="AD52" i="14"/>
  <c r="AE52" i="14"/>
  <c r="AB53" i="14"/>
  <c r="AC53" i="14"/>
  <c r="AD53" i="14"/>
  <c r="AE53" i="14"/>
  <c r="AA54" i="14"/>
  <c r="AB54" i="14"/>
  <c r="AC54" i="14"/>
  <c r="AD54" i="14"/>
  <c r="AE54" i="14"/>
  <c r="AA55" i="14"/>
  <c r="AB55" i="14"/>
  <c r="AC55" i="14"/>
  <c r="AD55" i="14"/>
  <c r="AE55" i="14"/>
  <c r="AA56" i="14"/>
  <c r="AB56" i="14"/>
  <c r="AC56" i="14"/>
  <c r="AD56" i="14"/>
  <c r="AE56" i="14"/>
  <c r="AA57" i="14"/>
  <c r="AB57" i="14"/>
  <c r="AC57" i="14"/>
  <c r="AD57" i="14"/>
  <c r="AE57" i="14"/>
  <c r="AA58" i="14"/>
  <c r="AB58" i="14"/>
  <c r="AC58" i="14"/>
  <c r="AD58" i="14"/>
  <c r="AE58" i="14"/>
  <c r="AA59" i="14"/>
  <c r="AB59" i="14"/>
  <c r="AC59" i="14"/>
  <c r="AD59" i="14"/>
  <c r="AE59" i="14"/>
  <c r="AA60" i="14"/>
  <c r="AB60" i="14"/>
  <c r="AC60" i="14"/>
  <c r="AD60" i="14"/>
  <c r="AE60" i="14"/>
  <c r="AA61" i="14"/>
  <c r="AB61" i="14"/>
  <c r="AC61" i="14"/>
  <c r="AD61" i="14"/>
  <c r="AE61" i="14"/>
  <c r="AA62" i="14"/>
  <c r="AB62" i="14"/>
  <c r="AC62" i="14"/>
  <c r="AD62" i="14"/>
  <c r="AE62" i="14"/>
  <c r="AA63" i="14"/>
  <c r="AB63" i="14"/>
  <c r="AC63" i="14"/>
  <c r="AD63" i="14"/>
  <c r="AE63" i="14"/>
  <c r="AA64" i="14"/>
  <c r="AB64" i="14"/>
  <c r="AC64" i="14"/>
  <c r="AD64" i="14"/>
  <c r="AE64" i="14"/>
  <c r="AA65" i="14"/>
  <c r="AB65" i="14"/>
  <c r="AC65" i="14"/>
  <c r="AD65" i="14"/>
  <c r="AE65" i="14"/>
  <c r="AA66" i="14"/>
  <c r="AB66" i="14"/>
  <c r="AC66" i="14"/>
  <c r="AD66" i="14"/>
  <c r="AE66" i="14"/>
  <c r="AA67" i="14"/>
  <c r="AB67" i="14"/>
  <c r="AC67" i="14"/>
  <c r="AD67" i="14"/>
  <c r="AE67" i="14"/>
  <c r="AA68" i="14"/>
  <c r="AB68" i="14"/>
  <c r="AC68" i="14"/>
  <c r="AD68" i="14"/>
  <c r="AE68" i="14"/>
  <c r="AA69" i="14"/>
  <c r="AB69" i="14"/>
  <c r="AC69" i="14"/>
  <c r="AD69" i="14"/>
  <c r="AE69" i="14"/>
  <c r="AA70" i="14"/>
  <c r="AB70" i="14"/>
  <c r="AC70" i="14"/>
  <c r="AD70" i="14"/>
  <c r="AE70" i="14"/>
  <c r="AA71" i="14"/>
  <c r="AB71" i="14"/>
  <c r="AC71" i="14"/>
  <c r="AD71" i="14"/>
  <c r="AE71" i="14"/>
  <c r="AA72" i="14"/>
  <c r="AB72" i="14"/>
  <c r="AC72" i="14"/>
  <c r="AD72" i="14"/>
  <c r="AE72" i="14"/>
  <c r="AA73" i="14"/>
  <c r="AB73" i="14"/>
  <c r="AC73" i="14"/>
  <c r="AD73" i="14"/>
  <c r="AE73" i="14"/>
  <c r="AA74" i="14"/>
  <c r="AB74" i="14"/>
  <c r="AC74" i="14"/>
  <c r="AD74" i="14"/>
  <c r="AE74" i="14"/>
  <c r="AA75" i="14"/>
  <c r="AB75" i="14"/>
  <c r="AC75" i="14"/>
  <c r="AD75" i="14"/>
  <c r="AE75" i="14"/>
  <c r="AA76" i="14"/>
  <c r="AB76" i="14"/>
  <c r="AC76" i="14"/>
  <c r="AD76" i="14"/>
  <c r="AE76" i="14"/>
  <c r="AA77" i="14"/>
  <c r="AB77" i="14"/>
  <c r="AC77" i="14"/>
  <c r="AD77" i="14"/>
  <c r="AE77" i="14"/>
  <c r="AA78" i="14"/>
  <c r="AB78" i="14"/>
  <c r="AC78" i="14"/>
  <c r="AD78" i="14"/>
  <c r="AE78" i="14"/>
  <c r="AA79" i="14"/>
  <c r="AB79" i="14"/>
  <c r="AC79" i="14"/>
  <c r="AD79" i="14"/>
  <c r="AE79" i="14"/>
  <c r="AA80" i="14"/>
  <c r="AB80" i="14"/>
  <c r="AC80" i="14"/>
  <c r="AD80" i="14"/>
  <c r="AE80" i="14"/>
  <c r="AA81" i="14"/>
  <c r="AB81" i="14"/>
  <c r="AC81" i="14"/>
  <c r="AD81" i="14"/>
  <c r="AE81" i="14"/>
  <c r="AA82" i="14"/>
  <c r="AB82" i="14"/>
  <c r="AC82" i="14"/>
  <c r="AD82" i="14"/>
  <c r="AE82" i="14"/>
  <c r="AA83" i="14"/>
  <c r="AB83" i="14"/>
  <c r="AC83" i="14"/>
  <c r="AD83" i="14"/>
  <c r="AE83" i="14"/>
  <c r="AA84" i="14"/>
  <c r="AB84" i="14"/>
  <c r="AC84" i="14"/>
  <c r="AD84" i="14"/>
  <c r="AE84" i="14"/>
  <c r="AA85" i="14"/>
  <c r="AB85" i="14"/>
  <c r="AC85" i="14"/>
  <c r="AD85" i="14"/>
  <c r="AE85" i="14"/>
  <c r="AA86" i="14"/>
  <c r="AB86" i="14"/>
  <c r="AC86" i="14"/>
  <c r="AD86" i="14"/>
  <c r="AE86" i="14"/>
  <c r="AA87" i="14"/>
  <c r="AB87" i="14"/>
  <c r="AC87" i="14"/>
  <c r="AD87" i="14"/>
  <c r="AE87" i="14"/>
  <c r="AA88" i="14"/>
  <c r="AB88" i="14"/>
  <c r="AC88" i="14"/>
  <c r="AD88" i="14"/>
  <c r="AE88" i="14"/>
  <c r="AA89" i="14"/>
  <c r="AB89" i="14"/>
  <c r="AC89" i="14"/>
  <c r="AD89" i="14"/>
  <c r="AE89" i="14"/>
  <c r="AA90" i="14"/>
  <c r="AB90" i="14"/>
  <c r="AC90" i="14"/>
  <c r="AD90" i="14"/>
  <c r="AE90" i="14"/>
  <c r="AA91" i="14"/>
  <c r="AB91" i="14"/>
  <c r="AC91" i="14"/>
  <c r="AD91" i="14"/>
  <c r="AE91" i="14"/>
  <c r="AA92" i="14"/>
  <c r="AB92" i="14"/>
  <c r="AC92" i="14"/>
  <c r="AD92" i="14"/>
  <c r="AE92" i="14"/>
  <c r="AA93" i="14"/>
  <c r="AB93" i="14"/>
  <c r="AC93" i="14"/>
  <c r="AD93" i="14"/>
  <c r="AE93" i="14"/>
  <c r="AA94" i="14"/>
  <c r="AB94" i="14"/>
  <c r="AC94" i="14"/>
  <c r="AD94" i="14"/>
  <c r="AE94" i="14"/>
  <c r="AA95" i="14"/>
  <c r="AB95" i="14"/>
  <c r="AC95" i="14"/>
  <c r="AD95" i="14"/>
  <c r="AE95" i="14"/>
  <c r="AA96" i="14"/>
  <c r="AB96" i="14"/>
  <c r="AC96" i="14"/>
  <c r="AD96" i="14"/>
  <c r="AE96" i="14"/>
  <c r="AA97" i="14"/>
  <c r="AB97" i="14"/>
  <c r="AC97" i="14"/>
  <c r="AD97" i="14"/>
  <c r="AE97" i="14"/>
  <c r="AA98" i="14"/>
  <c r="AB98" i="14"/>
  <c r="AC98" i="14"/>
  <c r="AD98" i="14"/>
  <c r="AE98" i="14"/>
  <c r="AA99" i="14"/>
  <c r="AB99" i="14"/>
  <c r="AC99" i="14"/>
  <c r="AD99" i="14"/>
  <c r="AE99" i="14"/>
  <c r="AA100" i="14"/>
  <c r="AB100" i="14"/>
  <c r="AC100" i="14"/>
  <c r="AD100" i="14"/>
  <c r="AE100" i="14"/>
  <c r="AA101" i="14"/>
  <c r="AB101" i="14"/>
  <c r="AC101" i="14"/>
  <c r="AD101" i="14"/>
  <c r="AE101" i="14"/>
  <c r="AA102" i="14"/>
  <c r="AB102" i="14"/>
  <c r="AC102" i="14"/>
  <c r="AD102" i="14"/>
  <c r="AE102" i="14"/>
  <c r="AA103" i="14"/>
  <c r="AB103" i="14"/>
  <c r="AC103" i="14"/>
  <c r="AD103" i="14"/>
  <c r="AE103" i="14"/>
  <c r="AA104" i="14"/>
  <c r="AB104" i="14"/>
  <c r="AC104" i="14"/>
  <c r="AD104" i="14"/>
  <c r="AE104" i="14"/>
  <c r="AA105" i="14"/>
  <c r="AB105" i="14"/>
  <c r="AC105" i="14"/>
  <c r="AD105" i="14"/>
  <c r="AE105" i="14"/>
  <c r="AA106" i="14"/>
  <c r="AB106" i="14"/>
  <c r="AC106" i="14"/>
  <c r="AD106" i="14"/>
  <c r="AE106" i="14"/>
  <c r="AA107" i="14"/>
  <c r="AB107" i="14"/>
  <c r="AC107" i="14"/>
  <c r="AD107" i="14"/>
  <c r="AE107" i="14"/>
  <c r="AA108" i="14"/>
  <c r="AB108" i="14"/>
  <c r="AC108" i="14"/>
  <c r="AD108" i="14"/>
  <c r="AE108" i="14"/>
  <c r="AA109" i="14"/>
  <c r="AB109" i="14"/>
  <c r="AC109" i="14"/>
  <c r="AD109" i="14"/>
  <c r="AE109" i="14"/>
  <c r="AA110" i="14"/>
  <c r="AB110" i="14"/>
  <c r="AC110" i="14"/>
  <c r="AD110" i="14"/>
  <c r="AE110" i="14"/>
  <c r="AA111" i="14"/>
  <c r="AB111" i="14"/>
  <c r="AC111" i="14"/>
  <c r="AD111" i="14"/>
  <c r="AE111" i="14"/>
  <c r="AA112" i="14"/>
  <c r="AB112" i="14"/>
  <c r="AC112" i="14"/>
  <c r="AD112" i="14"/>
  <c r="AE112" i="14"/>
  <c r="AA113" i="14"/>
  <c r="AB113" i="14"/>
  <c r="AC113" i="14"/>
  <c r="AD113" i="14"/>
  <c r="AE113" i="14"/>
  <c r="AA114" i="14"/>
  <c r="AB114" i="14"/>
  <c r="AC114" i="14"/>
  <c r="AD114" i="14"/>
  <c r="AE114" i="14"/>
  <c r="AA115" i="14"/>
  <c r="AB115" i="14"/>
  <c r="AC115" i="14"/>
  <c r="AD115" i="14"/>
  <c r="AE115" i="14"/>
  <c r="AA116" i="14"/>
  <c r="AB116" i="14"/>
  <c r="AC116" i="14"/>
  <c r="AD116" i="14"/>
  <c r="AE116" i="14"/>
  <c r="AA117" i="14"/>
  <c r="AB117" i="14"/>
  <c r="AC117" i="14"/>
  <c r="AD117" i="14"/>
  <c r="AE117" i="14"/>
  <c r="AA118" i="14"/>
  <c r="AB118" i="14"/>
  <c r="AC118" i="14"/>
  <c r="AD118" i="14"/>
  <c r="AE118" i="14"/>
  <c r="AA119" i="14"/>
  <c r="AB119" i="14"/>
  <c r="AC119" i="14"/>
  <c r="AD119" i="14"/>
  <c r="AE119" i="14"/>
  <c r="AA120" i="14"/>
  <c r="AB120" i="14"/>
  <c r="AC120" i="14"/>
  <c r="AD120" i="14"/>
  <c r="AE120" i="14"/>
  <c r="AA121" i="14"/>
  <c r="AB121" i="14"/>
  <c r="AC121" i="14"/>
  <c r="AD121" i="14"/>
  <c r="AE121" i="14"/>
  <c r="AA122" i="14"/>
  <c r="AB122" i="14"/>
  <c r="AC122" i="14"/>
  <c r="AD122" i="14"/>
  <c r="AE122" i="14"/>
  <c r="AA123" i="14"/>
  <c r="AB123" i="14"/>
  <c r="AC123" i="14"/>
  <c r="AD123" i="14"/>
  <c r="AE123" i="14"/>
  <c r="AA124" i="14"/>
  <c r="AB124" i="14"/>
  <c r="AC124" i="14"/>
  <c r="AD124" i="14"/>
  <c r="AE124" i="14"/>
  <c r="AA125" i="14"/>
  <c r="AB125" i="14"/>
  <c r="AC125" i="14"/>
  <c r="AD125" i="14"/>
  <c r="AE125" i="14"/>
  <c r="AA126" i="14"/>
  <c r="AB126" i="14"/>
  <c r="AC126" i="14"/>
  <c r="AD126" i="14"/>
  <c r="AE126" i="14"/>
  <c r="AA127" i="14"/>
  <c r="AB127" i="14"/>
  <c r="AC127" i="14"/>
  <c r="AD127" i="14"/>
  <c r="AE127" i="14"/>
  <c r="AA128" i="14"/>
  <c r="AB128" i="14"/>
  <c r="AC128" i="14"/>
  <c r="AD128" i="14"/>
  <c r="AE128" i="14"/>
  <c r="AA129" i="14"/>
  <c r="AB129" i="14"/>
  <c r="AC129" i="14"/>
  <c r="AD129" i="14"/>
  <c r="AE129" i="14"/>
  <c r="AA130" i="14"/>
  <c r="AB130" i="14"/>
  <c r="AC130" i="14"/>
  <c r="AD130" i="14"/>
  <c r="AE130" i="14"/>
  <c r="AA131" i="14"/>
  <c r="AB131" i="14"/>
  <c r="AC131" i="14"/>
  <c r="AD131" i="14"/>
  <c r="AE131" i="14"/>
  <c r="AA132" i="14"/>
  <c r="AB132" i="14"/>
  <c r="AC132" i="14"/>
  <c r="AD132" i="14"/>
  <c r="AE132" i="14"/>
  <c r="AA133" i="14"/>
  <c r="AB133" i="14"/>
  <c r="AC133" i="14"/>
  <c r="AD133" i="14"/>
  <c r="AE133" i="14"/>
  <c r="AA134" i="14"/>
  <c r="AB134" i="14"/>
  <c r="AC134" i="14"/>
  <c r="AD134" i="14"/>
  <c r="AE134" i="14"/>
  <c r="AA135" i="14"/>
  <c r="AB135" i="14"/>
  <c r="AC135" i="14"/>
  <c r="AD135" i="14"/>
  <c r="AE135" i="14"/>
  <c r="AA136" i="14"/>
  <c r="AB136" i="14"/>
  <c r="AC136" i="14"/>
  <c r="AD136" i="14"/>
  <c r="AE136" i="14"/>
  <c r="AA137" i="14"/>
  <c r="AB137" i="14"/>
  <c r="AC137" i="14"/>
  <c r="AD137" i="14"/>
  <c r="AE137" i="14"/>
  <c r="AA139" i="14"/>
  <c r="AB139" i="14"/>
  <c r="AC139" i="14"/>
  <c r="AD139" i="14"/>
  <c r="AE139" i="14"/>
  <c r="AA140" i="14"/>
  <c r="AB140" i="14"/>
  <c r="AC140" i="14"/>
  <c r="AD140" i="14"/>
  <c r="AE140" i="14"/>
  <c r="AA141" i="14"/>
  <c r="AB141" i="14"/>
  <c r="AC141" i="14"/>
  <c r="AD141" i="14"/>
  <c r="AE141" i="14"/>
  <c r="AA142" i="14"/>
  <c r="AB142" i="14"/>
  <c r="AC142" i="14"/>
  <c r="AD142" i="14"/>
  <c r="AE142" i="14"/>
  <c r="AA143" i="14"/>
  <c r="AB143" i="14"/>
  <c r="AC143" i="14"/>
  <c r="AD143" i="14"/>
  <c r="AE143" i="14"/>
  <c r="AA144" i="14"/>
  <c r="AB144" i="14"/>
  <c r="AC144" i="14"/>
  <c r="AD144" i="14"/>
  <c r="AE144" i="14"/>
  <c r="AA145" i="14"/>
  <c r="AB145" i="14"/>
  <c r="AC145" i="14"/>
  <c r="AD145" i="14"/>
  <c r="AE145" i="14"/>
  <c r="AA44" i="14"/>
  <c r="AB44" i="14"/>
  <c r="AC44" i="14"/>
  <c r="AD44" i="14"/>
  <c r="AE44" i="14"/>
  <c r="AF44" i="14"/>
  <c r="AG44" i="14"/>
  <c r="AH44" i="14"/>
  <c r="AI44" i="14"/>
  <c r="AJ44" i="14"/>
  <c r="AK44" i="14"/>
  <c r="AL44" i="14"/>
  <c r="AM44" i="14"/>
  <c r="AN44" i="14"/>
  <c r="AO44" i="14"/>
  <c r="AP44" i="14"/>
  <c r="AQ44" i="14"/>
  <c r="AR44" i="14"/>
  <c r="AS44" i="14"/>
  <c r="AT44" i="14"/>
  <c r="AU44" i="14"/>
  <c r="AA45" i="14"/>
  <c r="AB45" i="14"/>
  <c r="AC45" i="14"/>
  <c r="AD45" i="14"/>
  <c r="AE45" i="14"/>
  <c r="AF45" i="14"/>
  <c r="AG45" i="14"/>
  <c r="AH45" i="14"/>
  <c r="AI45" i="14"/>
  <c r="AJ45" i="14"/>
  <c r="AK45" i="14"/>
  <c r="AL45" i="14"/>
  <c r="AM45" i="14"/>
  <c r="AN45" i="14"/>
  <c r="AO45" i="14"/>
  <c r="AP45" i="14"/>
  <c r="AQ45" i="14"/>
  <c r="AR45" i="14"/>
  <c r="AS45" i="14"/>
  <c r="AT45" i="14"/>
  <c r="AU45" i="14"/>
  <c r="AU43" i="14"/>
  <c r="AT43" i="14"/>
  <c r="AS43" i="14"/>
  <c r="AR43" i="14"/>
  <c r="AQ43" i="14"/>
  <c r="AP43" i="14"/>
  <c r="AO43" i="14"/>
  <c r="AN43" i="14"/>
  <c r="AM43" i="14"/>
  <c r="AL43" i="14"/>
  <c r="AK43" i="14"/>
  <c r="AJ43" i="14"/>
  <c r="AI43" i="14"/>
  <c r="AH43" i="14"/>
  <c r="AG43" i="14"/>
  <c r="AF43" i="14"/>
  <c r="AE43" i="14"/>
  <c r="AD43" i="14"/>
  <c r="AC43" i="14"/>
  <c r="AB43" i="14"/>
  <c r="AA43" i="14"/>
  <c r="AA38" i="14"/>
  <c r="AB38" i="14"/>
  <c r="AC38" i="14"/>
  <c r="AD38" i="14"/>
  <c r="AE38" i="14"/>
  <c r="AF38" i="14"/>
  <c r="AG38" i="14"/>
  <c r="AH38" i="14"/>
  <c r="AI38" i="14"/>
  <c r="AJ38" i="14"/>
  <c r="AK38" i="14"/>
  <c r="AL38" i="14"/>
  <c r="AM38" i="14"/>
  <c r="AN38" i="14"/>
  <c r="AO38" i="14"/>
  <c r="AP38" i="14"/>
  <c r="AQ38" i="14"/>
  <c r="AR38" i="14"/>
  <c r="AA39" i="14"/>
  <c r="AB39" i="14"/>
  <c r="AC39" i="14"/>
  <c r="AD39" i="14"/>
  <c r="AE39" i="14"/>
  <c r="AF39" i="14"/>
  <c r="AG39" i="14"/>
  <c r="AH39" i="14"/>
  <c r="AI39" i="14"/>
  <c r="AJ39" i="14"/>
  <c r="AK39" i="14"/>
  <c r="AL39" i="14"/>
  <c r="AM39" i="14"/>
  <c r="AN39" i="14"/>
  <c r="AO39" i="14"/>
  <c r="AP39" i="14"/>
  <c r="AQ39" i="14"/>
  <c r="AR39" i="14"/>
  <c r="AU38" i="14"/>
  <c r="AU39" i="14"/>
  <c r="AT38" i="14"/>
  <c r="AT39" i="14"/>
  <c r="AS38" i="14"/>
  <c r="AS39" i="14"/>
  <c r="AC37" i="14"/>
  <c r="E467" i="14" l="1"/>
  <c r="L467" i="14"/>
  <c r="M467" i="14" s="1"/>
  <c r="Y467" i="14" s="1"/>
  <c r="E468" i="14"/>
  <c r="L468" i="14"/>
  <c r="M468" i="14" s="1"/>
  <c r="Y468" i="14" s="1"/>
  <c r="E469" i="14"/>
  <c r="L469" i="14"/>
  <c r="M469" i="14" s="1"/>
  <c r="Y469" i="14" s="1"/>
  <c r="E470" i="14"/>
  <c r="L470" i="14"/>
  <c r="M470" i="14" s="1"/>
  <c r="Y470" i="14" s="1"/>
  <c r="E471" i="14"/>
  <c r="L471" i="14"/>
  <c r="M471" i="14" s="1"/>
  <c r="Y471" i="14" s="1"/>
  <c r="E472" i="14"/>
  <c r="L472" i="14"/>
  <c r="M472" i="14" s="1"/>
  <c r="Y472" i="14" s="1"/>
  <c r="E473" i="14"/>
  <c r="L473" i="14"/>
  <c r="M473" i="14" s="1"/>
  <c r="Y473" i="14" s="1"/>
  <c r="H151" i="14"/>
  <c r="D151" i="14"/>
  <c r="B151" i="14"/>
  <c r="BY2" i="21" s="1"/>
  <c r="C151" i="14" l="1"/>
  <c r="C30" i="2"/>
  <c r="C29" i="2"/>
  <c r="D29" i="2"/>
  <c r="J50" i="4" l="1"/>
  <c r="H50" i="4"/>
  <c r="IJ2" i="21" s="1"/>
  <c r="HY2" i="21"/>
  <c r="H424" i="14"/>
  <c r="AB10" i="9"/>
  <c r="Z9" i="9"/>
  <c r="Z8" i="9"/>
  <c r="U424" i="14" l="1"/>
  <c r="T424" i="14"/>
  <c r="N424" i="14"/>
  <c r="O424" i="14"/>
  <c r="S424" i="14"/>
  <c r="R424" i="14"/>
  <c r="W424" i="14"/>
  <c r="Q424" i="14"/>
  <c r="V424" i="14"/>
  <c r="P424" i="14"/>
  <c r="Q13" i="9"/>
  <c r="S13" i="9" s="1"/>
  <c r="L33" i="9" l="1"/>
  <c r="L89" i="6" l="1"/>
  <c r="L91" i="6" l="1"/>
  <c r="L34" i="9"/>
  <c r="B50" i="9" l="1"/>
  <c r="B48" i="9"/>
  <c r="B46" i="9"/>
  <c r="G44" i="9"/>
  <c r="K44" i="9" s="1"/>
  <c r="C50" i="9"/>
  <c r="C48" i="9"/>
  <c r="C46" i="9"/>
  <c r="D50" i="9"/>
  <c r="D48" i="9"/>
  <c r="D46" i="9"/>
  <c r="E50" i="9"/>
  <c r="E48" i="9"/>
  <c r="E46" i="9"/>
  <c r="F50" i="9"/>
  <c r="F48" i="9"/>
  <c r="F46" i="9"/>
  <c r="M33" i="9"/>
  <c r="G46" i="9" l="1"/>
  <c r="G48" i="9"/>
  <c r="G50" i="9"/>
  <c r="K50" i="9" s="1"/>
  <c r="I62" i="7"/>
  <c r="G51" i="9" l="1"/>
  <c r="C29" i="7"/>
  <c r="C28" i="7"/>
  <c r="C27" i="7"/>
  <c r="C24" i="7"/>
  <c r="C23" i="7"/>
  <c r="C22" i="7"/>
  <c r="C17" i="7"/>
  <c r="C21" i="7"/>
  <c r="C19" i="7"/>
  <c r="C20" i="7"/>
  <c r="C18" i="7"/>
  <c r="O12" i="9" l="1"/>
  <c r="IZ2" i="21" l="1"/>
  <c r="AP52" i="14"/>
  <c r="AP53" i="14"/>
  <c r="AP54" i="14"/>
  <c r="AS54" i="14"/>
  <c r="AP55" i="14"/>
  <c r="AS55" i="14"/>
  <c r="AP56" i="14"/>
  <c r="AS56" i="14"/>
  <c r="AP57" i="14"/>
  <c r="AS57" i="14"/>
  <c r="AP58" i="14"/>
  <c r="AS58" i="14"/>
  <c r="AP59" i="14"/>
  <c r="AS59" i="14"/>
  <c r="AP60" i="14"/>
  <c r="AS60" i="14"/>
  <c r="AP61" i="14"/>
  <c r="AS61" i="14"/>
  <c r="AP62" i="14"/>
  <c r="AS62" i="14"/>
  <c r="AP63" i="14"/>
  <c r="AS63" i="14"/>
  <c r="AP64" i="14"/>
  <c r="AS64" i="14"/>
  <c r="AP65" i="14"/>
  <c r="AS65" i="14"/>
  <c r="AP66" i="14"/>
  <c r="AS66" i="14"/>
  <c r="AP67" i="14"/>
  <c r="AS67" i="14"/>
  <c r="AP68" i="14"/>
  <c r="AS68" i="14"/>
  <c r="AP69" i="14"/>
  <c r="AS69" i="14"/>
  <c r="AP70" i="14"/>
  <c r="AS70" i="14"/>
  <c r="AP71" i="14"/>
  <c r="AS71" i="14"/>
  <c r="AP72" i="14"/>
  <c r="AS72" i="14"/>
  <c r="AP73" i="14"/>
  <c r="AS73" i="14"/>
  <c r="AP74" i="14"/>
  <c r="AS74" i="14"/>
  <c r="AP75" i="14"/>
  <c r="AS75" i="14"/>
  <c r="AP76" i="14"/>
  <c r="AS76" i="14"/>
  <c r="AP77" i="14"/>
  <c r="AS77" i="14"/>
  <c r="AP78" i="14"/>
  <c r="AS78" i="14"/>
  <c r="AP79" i="14"/>
  <c r="AS79" i="14"/>
  <c r="AP80" i="14"/>
  <c r="AS80" i="14"/>
  <c r="AP81" i="14"/>
  <c r="AS81" i="14"/>
  <c r="AP82" i="14"/>
  <c r="AS82" i="14"/>
  <c r="AP83" i="14"/>
  <c r="AS83" i="14"/>
  <c r="AP84" i="14"/>
  <c r="AS84" i="14"/>
  <c r="AP85" i="14"/>
  <c r="AS85" i="14"/>
  <c r="AP86" i="14"/>
  <c r="AS86" i="14"/>
  <c r="AP87" i="14"/>
  <c r="AS87" i="14"/>
  <c r="AP88" i="14"/>
  <c r="AS88" i="14"/>
  <c r="AP89" i="14"/>
  <c r="AS89" i="14"/>
  <c r="AP90" i="14"/>
  <c r="AS90" i="14"/>
  <c r="AP91" i="14"/>
  <c r="AS91" i="14"/>
  <c r="AP92" i="14"/>
  <c r="AS92" i="14"/>
  <c r="AP93" i="14"/>
  <c r="AS93" i="14"/>
  <c r="AP94" i="14"/>
  <c r="AS94" i="14"/>
  <c r="AP95" i="14"/>
  <c r="AS95" i="14"/>
  <c r="AP96" i="14"/>
  <c r="AS96" i="14"/>
  <c r="AP97" i="14"/>
  <c r="AS97" i="14"/>
  <c r="AP98" i="14"/>
  <c r="AS98" i="14"/>
  <c r="AP99" i="14"/>
  <c r="AS99" i="14"/>
  <c r="AP100" i="14"/>
  <c r="AS100" i="14"/>
  <c r="AP101" i="14"/>
  <c r="AS101" i="14"/>
  <c r="AP102" i="14"/>
  <c r="AS102" i="14"/>
  <c r="AP103" i="14"/>
  <c r="AS103" i="14"/>
  <c r="AP104" i="14"/>
  <c r="AS104" i="14"/>
  <c r="AP105" i="14"/>
  <c r="AS105" i="14"/>
  <c r="AP106" i="14"/>
  <c r="AS106" i="14"/>
  <c r="AP107" i="14"/>
  <c r="AS107" i="14"/>
  <c r="AP108" i="14"/>
  <c r="AS108" i="14"/>
  <c r="AP109" i="14"/>
  <c r="AS109" i="14"/>
  <c r="AP110" i="14"/>
  <c r="AS110" i="14"/>
  <c r="AP111" i="14"/>
  <c r="AS111" i="14"/>
  <c r="AP112" i="14"/>
  <c r="AS112" i="14"/>
  <c r="AP113" i="14"/>
  <c r="AS113" i="14"/>
  <c r="AP114" i="14"/>
  <c r="AS114" i="14"/>
  <c r="AP115" i="14"/>
  <c r="AS115" i="14"/>
  <c r="AP116" i="14"/>
  <c r="AS116" i="14"/>
  <c r="AP117" i="14"/>
  <c r="AS117" i="14"/>
  <c r="AP118" i="14"/>
  <c r="AS118" i="14"/>
  <c r="AP119" i="14"/>
  <c r="AS119" i="14"/>
  <c r="AP120" i="14"/>
  <c r="AS120" i="14"/>
  <c r="AP121" i="14"/>
  <c r="AS121" i="14"/>
  <c r="AP122" i="14"/>
  <c r="AS122" i="14"/>
  <c r="AP123" i="14"/>
  <c r="AS123" i="14"/>
  <c r="AP124" i="14"/>
  <c r="AS124" i="14"/>
  <c r="AP125" i="14"/>
  <c r="AS125" i="14"/>
  <c r="AP126" i="14"/>
  <c r="AS126" i="14"/>
  <c r="AP127" i="14"/>
  <c r="AS127" i="14"/>
  <c r="AP128" i="14"/>
  <c r="AS128" i="14"/>
  <c r="AP129" i="14"/>
  <c r="AS129" i="14"/>
  <c r="AP130" i="14"/>
  <c r="AS130" i="14"/>
  <c r="AP131" i="14"/>
  <c r="AS131" i="14"/>
  <c r="AP132" i="14"/>
  <c r="AS132" i="14"/>
  <c r="AP133" i="14"/>
  <c r="AS133" i="14"/>
  <c r="AP134" i="14"/>
  <c r="AS134" i="14"/>
  <c r="AP135" i="14"/>
  <c r="AS135" i="14"/>
  <c r="AP136" i="14"/>
  <c r="AS136" i="14"/>
  <c r="AP137" i="14"/>
  <c r="AS137" i="14"/>
  <c r="AP139" i="14"/>
  <c r="AS139" i="14"/>
  <c r="AP140" i="14"/>
  <c r="AS140" i="14"/>
  <c r="AP141" i="14"/>
  <c r="AS141" i="14"/>
  <c r="AP142" i="14"/>
  <c r="AS142" i="14"/>
  <c r="AP143" i="14"/>
  <c r="AS143" i="14"/>
  <c r="AP144" i="14"/>
  <c r="AS144" i="14"/>
  <c r="AP145" i="14"/>
  <c r="AS145" i="14"/>
  <c r="AP51" i="14"/>
  <c r="G35" i="3" l="1"/>
  <c r="G32" i="3"/>
  <c r="H81" i="3"/>
  <c r="GG2" i="21" s="1"/>
  <c r="H79" i="3"/>
  <c r="GF2" i="21" s="1"/>
  <c r="G56" i="3"/>
  <c r="H23" i="3"/>
  <c r="FM2" i="21" s="1"/>
  <c r="H21" i="3"/>
  <c r="FK2" i="21" s="1"/>
  <c r="BR2" i="21" l="1"/>
  <c r="HM2" i="21"/>
  <c r="BQ2" i="21"/>
  <c r="HL2" i="21"/>
  <c r="H54" i="3"/>
  <c r="GA2" i="21" s="1"/>
  <c r="H53" i="3"/>
  <c r="FZ2" i="21" s="1"/>
  <c r="I53" i="3" l="1"/>
  <c r="GC2" i="21" s="1"/>
  <c r="G46" i="3"/>
  <c r="ER2" i="21" s="1"/>
  <c r="AH4" i="14"/>
  <c r="AH5" i="14"/>
  <c r="AJ5" i="14" s="1"/>
  <c r="AI4" i="14"/>
  <c r="G15" i="3"/>
  <c r="EE2" i="21" s="1"/>
  <c r="AK400" i="14"/>
  <c r="AL400" i="14"/>
  <c r="AM400" i="14"/>
  <c r="AN400" i="14"/>
  <c r="AO400" i="14"/>
  <c r="AR400" i="14"/>
  <c r="AU400" i="14"/>
  <c r="AK401" i="14"/>
  <c r="AL401" i="14"/>
  <c r="AM401" i="14"/>
  <c r="AN401" i="14"/>
  <c r="AO401" i="14"/>
  <c r="AR401" i="14"/>
  <c r="AU401" i="14"/>
  <c r="AK402" i="14"/>
  <c r="AL402" i="14"/>
  <c r="AM402" i="14"/>
  <c r="AN402" i="14"/>
  <c r="AO402" i="14"/>
  <c r="AR402" i="14"/>
  <c r="AU402" i="14"/>
  <c r="AK403" i="14"/>
  <c r="AL403" i="14"/>
  <c r="AM403" i="14"/>
  <c r="AN403" i="14"/>
  <c r="AO403" i="14"/>
  <c r="AR403" i="14"/>
  <c r="AU403" i="14"/>
  <c r="AK404" i="14"/>
  <c r="AL404" i="14"/>
  <c r="AM404" i="14"/>
  <c r="AN404" i="14"/>
  <c r="AO404" i="14"/>
  <c r="AR404" i="14"/>
  <c r="AU404" i="14"/>
  <c r="AK405" i="14"/>
  <c r="AL405" i="14"/>
  <c r="AM405" i="14"/>
  <c r="AN405" i="14"/>
  <c r="AO405" i="14"/>
  <c r="AR405" i="14"/>
  <c r="AU405" i="14"/>
  <c r="AK406" i="14"/>
  <c r="AL406" i="14"/>
  <c r="AM406" i="14"/>
  <c r="AN406" i="14"/>
  <c r="AO406" i="14"/>
  <c r="AR406" i="14"/>
  <c r="AU406" i="14"/>
  <c r="AK407" i="14"/>
  <c r="AL407" i="14"/>
  <c r="AM407" i="14"/>
  <c r="AN407" i="14"/>
  <c r="AO407" i="14"/>
  <c r="AR407" i="14"/>
  <c r="AU407" i="14"/>
  <c r="AK408" i="14"/>
  <c r="AL408" i="14"/>
  <c r="AM408" i="14"/>
  <c r="AN408" i="14"/>
  <c r="AO408" i="14"/>
  <c r="AR408" i="14"/>
  <c r="AU408" i="14"/>
  <c r="AK409" i="14"/>
  <c r="AL409" i="14"/>
  <c r="AM409" i="14"/>
  <c r="AN409" i="14"/>
  <c r="AO409" i="14"/>
  <c r="AR409" i="14"/>
  <c r="AU409" i="14"/>
  <c r="AK410" i="14"/>
  <c r="AL410" i="14"/>
  <c r="AM410" i="14"/>
  <c r="AN410" i="14"/>
  <c r="AO410" i="14"/>
  <c r="AR410" i="14"/>
  <c r="AU410" i="14"/>
  <c r="AK411" i="14"/>
  <c r="AL411" i="14"/>
  <c r="AM411" i="14"/>
  <c r="AN411" i="14"/>
  <c r="AO411" i="14"/>
  <c r="AR411" i="14"/>
  <c r="AU411" i="14"/>
  <c r="AK412" i="14"/>
  <c r="AL412" i="14"/>
  <c r="AM412" i="14"/>
  <c r="AN412" i="14"/>
  <c r="AO412" i="14"/>
  <c r="AR412" i="14"/>
  <c r="AU412" i="14"/>
  <c r="AK413" i="14"/>
  <c r="AL413" i="14"/>
  <c r="AM413" i="14"/>
  <c r="AN413" i="14"/>
  <c r="AO413" i="14"/>
  <c r="AR413" i="14"/>
  <c r="AU413" i="14"/>
  <c r="AK414" i="14"/>
  <c r="AL414" i="14"/>
  <c r="AM414" i="14"/>
  <c r="AN414" i="14"/>
  <c r="AO414" i="14"/>
  <c r="AR414" i="14"/>
  <c r="AU414" i="14"/>
  <c r="AK415" i="14"/>
  <c r="AL415" i="14"/>
  <c r="AM415" i="14"/>
  <c r="AN415" i="14"/>
  <c r="AO415" i="14"/>
  <c r="AR415" i="14"/>
  <c r="AU415" i="14"/>
  <c r="AK416" i="14"/>
  <c r="AL416" i="14"/>
  <c r="AM416" i="14"/>
  <c r="AN416" i="14"/>
  <c r="AO416" i="14"/>
  <c r="AR416" i="14"/>
  <c r="AU416" i="14"/>
  <c r="AK417" i="14"/>
  <c r="AL417" i="14"/>
  <c r="AM417" i="14"/>
  <c r="AN417" i="14"/>
  <c r="AO417" i="14"/>
  <c r="AR417" i="14"/>
  <c r="AU417" i="14"/>
  <c r="AK418" i="14"/>
  <c r="AL418" i="14"/>
  <c r="AM418" i="14"/>
  <c r="AN418" i="14"/>
  <c r="AO418" i="14"/>
  <c r="AR418" i="14"/>
  <c r="AU418" i="14"/>
  <c r="AK419" i="14"/>
  <c r="AL419" i="14"/>
  <c r="AM419" i="14"/>
  <c r="AN419" i="14"/>
  <c r="AO419" i="14"/>
  <c r="AR419" i="14"/>
  <c r="AU419" i="14"/>
  <c r="AK420" i="14"/>
  <c r="AL420" i="14"/>
  <c r="AM420" i="14"/>
  <c r="AN420" i="14"/>
  <c r="AO420" i="14"/>
  <c r="AR420" i="14"/>
  <c r="AU420" i="14"/>
  <c r="AK421" i="14"/>
  <c r="AL421" i="14"/>
  <c r="AM421" i="14"/>
  <c r="AN421" i="14"/>
  <c r="AO421" i="14"/>
  <c r="AR421" i="14"/>
  <c r="AU421" i="14"/>
  <c r="AK422" i="14"/>
  <c r="AL422" i="14"/>
  <c r="AM422" i="14"/>
  <c r="AN422" i="14"/>
  <c r="AO422" i="14"/>
  <c r="AR422" i="14"/>
  <c r="AU422" i="14"/>
  <c r="AK423" i="14"/>
  <c r="AL423" i="14"/>
  <c r="AM423" i="14"/>
  <c r="AN423" i="14"/>
  <c r="AO423" i="14"/>
  <c r="AR423" i="14"/>
  <c r="AU423" i="14"/>
  <c r="AR399" i="14"/>
  <c r="AO399" i="14"/>
  <c r="AN399" i="14"/>
  <c r="AM399" i="14"/>
  <c r="AL399" i="14"/>
  <c r="AF372" i="14"/>
  <c r="AG372" i="14"/>
  <c r="AH372" i="14"/>
  <c r="AI372" i="14"/>
  <c r="AJ372" i="14"/>
  <c r="AQ372" i="14"/>
  <c r="AT372" i="14"/>
  <c r="AF373" i="14"/>
  <c r="AG373" i="14"/>
  <c r="AH373" i="14"/>
  <c r="AI373" i="14"/>
  <c r="AJ373" i="14"/>
  <c r="AQ373" i="14"/>
  <c r="AT373" i="14"/>
  <c r="AF374" i="14"/>
  <c r="AG374" i="14"/>
  <c r="AH374" i="14"/>
  <c r="AI374" i="14"/>
  <c r="AJ374" i="14"/>
  <c r="AQ374" i="14"/>
  <c r="AT374" i="14"/>
  <c r="AF375" i="14"/>
  <c r="AG375" i="14"/>
  <c r="AH375" i="14"/>
  <c r="AI375" i="14"/>
  <c r="AJ375" i="14"/>
  <c r="AQ375" i="14"/>
  <c r="AT375" i="14"/>
  <c r="AF376" i="14"/>
  <c r="AG376" i="14"/>
  <c r="AH376" i="14"/>
  <c r="AI376" i="14"/>
  <c r="AJ376" i="14"/>
  <c r="AQ376" i="14"/>
  <c r="AT376" i="14"/>
  <c r="AF377" i="14"/>
  <c r="AG377" i="14"/>
  <c r="AH377" i="14"/>
  <c r="AI377" i="14"/>
  <c r="AJ377" i="14"/>
  <c r="AQ377" i="14"/>
  <c r="AT377" i="14"/>
  <c r="AF378" i="14"/>
  <c r="AG378" i="14"/>
  <c r="AH378" i="14"/>
  <c r="AI378" i="14"/>
  <c r="AJ378" i="14"/>
  <c r="AQ378" i="14"/>
  <c r="AT378" i="14"/>
  <c r="AF379" i="14"/>
  <c r="AG379" i="14"/>
  <c r="AH379" i="14"/>
  <c r="AI379" i="14"/>
  <c r="AJ379" i="14"/>
  <c r="AQ379" i="14"/>
  <c r="AT379" i="14"/>
  <c r="AF380" i="14"/>
  <c r="AG380" i="14"/>
  <c r="AH380" i="14"/>
  <c r="AI380" i="14"/>
  <c r="AJ380" i="14"/>
  <c r="AQ380" i="14"/>
  <c r="AT380" i="14"/>
  <c r="AF381" i="14"/>
  <c r="AG381" i="14"/>
  <c r="AH381" i="14"/>
  <c r="AI381" i="14"/>
  <c r="AJ381" i="14"/>
  <c r="AQ381" i="14"/>
  <c r="AT381" i="14"/>
  <c r="AF382" i="14"/>
  <c r="AG382" i="14"/>
  <c r="AH382" i="14"/>
  <c r="AI382" i="14"/>
  <c r="AJ382" i="14"/>
  <c r="AQ382" i="14"/>
  <c r="AT382" i="14"/>
  <c r="AF383" i="14"/>
  <c r="AG383" i="14"/>
  <c r="AH383" i="14"/>
  <c r="AI383" i="14"/>
  <c r="AJ383" i="14"/>
  <c r="AQ383" i="14"/>
  <c r="AT383" i="14"/>
  <c r="AF384" i="14"/>
  <c r="AG384" i="14"/>
  <c r="AH384" i="14"/>
  <c r="AI384" i="14"/>
  <c r="AJ384" i="14"/>
  <c r="AQ384" i="14"/>
  <c r="AT384" i="14"/>
  <c r="AF385" i="14"/>
  <c r="AG385" i="14"/>
  <c r="AH385" i="14"/>
  <c r="AI385" i="14"/>
  <c r="AJ385" i="14"/>
  <c r="AQ385" i="14"/>
  <c r="AT385" i="14"/>
  <c r="AF386" i="14"/>
  <c r="AG386" i="14"/>
  <c r="AH386" i="14"/>
  <c r="AI386" i="14"/>
  <c r="AJ386" i="14"/>
  <c r="AQ386" i="14"/>
  <c r="AT386" i="14"/>
  <c r="AF387" i="14"/>
  <c r="AG387" i="14"/>
  <c r="AH387" i="14"/>
  <c r="AI387" i="14"/>
  <c r="AJ387" i="14"/>
  <c r="AQ387" i="14"/>
  <c r="AT387" i="14"/>
  <c r="AF388" i="14"/>
  <c r="AG388" i="14"/>
  <c r="AH388" i="14"/>
  <c r="AI388" i="14"/>
  <c r="AJ388" i="14"/>
  <c r="AQ388" i="14"/>
  <c r="AT388" i="14"/>
  <c r="AF389" i="14"/>
  <c r="AG389" i="14"/>
  <c r="AH389" i="14"/>
  <c r="AI389" i="14"/>
  <c r="AJ389" i="14"/>
  <c r="AQ389" i="14"/>
  <c r="AT389" i="14"/>
  <c r="AF390" i="14"/>
  <c r="AG390" i="14"/>
  <c r="AH390" i="14"/>
  <c r="AI390" i="14"/>
  <c r="AJ390" i="14"/>
  <c r="AQ390" i="14"/>
  <c r="AT390" i="14"/>
  <c r="AF391" i="14"/>
  <c r="AG391" i="14"/>
  <c r="AH391" i="14"/>
  <c r="AI391" i="14"/>
  <c r="AJ391" i="14"/>
  <c r="AQ391" i="14"/>
  <c r="AT391" i="14"/>
  <c r="AF392" i="14"/>
  <c r="AG392" i="14"/>
  <c r="AH392" i="14"/>
  <c r="AI392" i="14"/>
  <c r="AJ392" i="14"/>
  <c r="AQ392" i="14"/>
  <c r="AT392" i="14"/>
  <c r="AF393" i="14"/>
  <c r="AG393" i="14"/>
  <c r="AH393" i="14"/>
  <c r="AI393" i="14"/>
  <c r="AJ393" i="14"/>
  <c r="AQ393" i="14"/>
  <c r="AT393" i="14"/>
  <c r="AF394" i="14"/>
  <c r="AG394" i="14"/>
  <c r="AH394" i="14"/>
  <c r="AI394" i="14"/>
  <c r="AJ394" i="14"/>
  <c r="AQ394" i="14"/>
  <c r="AT394" i="14"/>
  <c r="AF395" i="14"/>
  <c r="AG395" i="14"/>
  <c r="AH395" i="14"/>
  <c r="AI395" i="14"/>
  <c r="AJ395" i="14"/>
  <c r="AQ395" i="14"/>
  <c r="AT395" i="14"/>
  <c r="AQ371" i="14"/>
  <c r="AJ371" i="14"/>
  <c r="AI371" i="14"/>
  <c r="AH371" i="14"/>
  <c r="AG371" i="14"/>
  <c r="AK330" i="14"/>
  <c r="AL330" i="14"/>
  <c r="AM330" i="14"/>
  <c r="AN330" i="14"/>
  <c r="AO330" i="14"/>
  <c r="AR330" i="14"/>
  <c r="AU330" i="14"/>
  <c r="AK331" i="14"/>
  <c r="AL331" i="14"/>
  <c r="AM331" i="14"/>
  <c r="AN331" i="14"/>
  <c r="AO331" i="14"/>
  <c r="AR331" i="14"/>
  <c r="AU331" i="14"/>
  <c r="AK332" i="14"/>
  <c r="AL332" i="14"/>
  <c r="AM332" i="14"/>
  <c r="AN332" i="14"/>
  <c r="AO332" i="14"/>
  <c r="AR332" i="14"/>
  <c r="AU332" i="14"/>
  <c r="AK333" i="14"/>
  <c r="AL333" i="14"/>
  <c r="AM333" i="14"/>
  <c r="AN333" i="14"/>
  <c r="AO333" i="14"/>
  <c r="AR333" i="14"/>
  <c r="AU333" i="14"/>
  <c r="AK334" i="14"/>
  <c r="AL334" i="14"/>
  <c r="AM334" i="14"/>
  <c r="AN334" i="14"/>
  <c r="AO334" i="14"/>
  <c r="AR334" i="14"/>
  <c r="AU334" i="14"/>
  <c r="AK335" i="14"/>
  <c r="AL335" i="14"/>
  <c r="AM335" i="14"/>
  <c r="AN335" i="14"/>
  <c r="AO335" i="14"/>
  <c r="AR335" i="14"/>
  <c r="AU335" i="14"/>
  <c r="AK336" i="14"/>
  <c r="AL336" i="14"/>
  <c r="AM336" i="14"/>
  <c r="AN336" i="14"/>
  <c r="AO336" i="14"/>
  <c r="AR336" i="14"/>
  <c r="AU336" i="14"/>
  <c r="AK337" i="14"/>
  <c r="AL337" i="14"/>
  <c r="AM337" i="14"/>
  <c r="AN337" i="14"/>
  <c r="AO337" i="14"/>
  <c r="AR337" i="14"/>
  <c r="AU337" i="14"/>
  <c r="AK338" i="14"/>
  <c r="AL338" i="14"/>
  <c r="AM338" i="14"/>
  <c r="AN338" i="14"/>
  <c r="AO338" i="14"/>
  <c r="AR338" i="14"/>
  <c r="AU338" i="14"/>
  <c r="AK339" i="14"/>
  <c r="AL339" i="14"/>
  <c r="AM339" i="14"/>
  <c r="AN339" i="14"/>
  <c r="AO339" i="14"/>
  <c r="AR339" i="14"/>
  <c r="AU339" i="14"/>
  <c r="AK340" i="14"/>
  <c r="AL340" i="14"/>
  <c r="AM340" i="14"/>
  <c r="AN340" i="14"/>
  <c r="AO340" i="14"/>
  <c r="AR340" i="14"/>
  <c r="AU340" i="14"/>
  <c r="AK341" i="14"/>
  <c r="AL341" i="14"/>
  <c r="AM341" i="14"/>
  <c r="AN341" i="14"/>
  <c r="AO341" i="14"/>
  <c r="AR341" i="14"/>
  <c r="AU341" i="14"/>
  <c r="AK342" i="14"/>
  <c r="AL342" i="14"/>
  <c r="AM342" i="14"/>
  <c r="AN342" i="14"/>
  <c r="AO342" i="14"/>
  <c r="AR342" i="14"/>
  <c r="AU342" i="14"/>
  <c r="AK343" i="14"/>
  <c r="AL343" i="14"/>
  <c r="AM343" i="14"/>
  <c r="AN343" i="14"/>
  <c r="AO343" i="14"/>
  <c r="AR343" i="14"/>
  <c r="AU343" i="14"/>
  <c r="AK344" i="14"/>
  <c r="AL344" i="14"/>
  <c r="AM344" i="14"/>
  <c r="AN344" i="14"/>
  <c r="AO344" i="14"/>
  <c r="AR344" i="14"/>
  <c r="AU344" i="14"/>
  <c r="AK345" i="14"/>
  <c r="AL345" i="14"/>
  <c r="AM345" i="14"/>
  <c r="AN345" i="14"/>
  <c r="AO345" i="14"/>
  <c r="AR345" i="14"/>
  <c r="AU345" i="14"/>
  <c r="AK346" i="14"/>
  <c r="AL346" i="14"/>
  <c r="AM346" i="14"/>
  <c r="AN346" i="14"/>
  <c r="AO346" i="14"/>
  <c r="AR346" i="14"/>
  <c r="AU346" i="14"/>
  <c r="AK347" i="14"/>
  <c r="AL347" i="14"/>
  <c r="AM347" i="14"/>
  <c r="AN347" i="14"/>
  <c r="AO347" i="14"/>
  <c r="AR347" i="14"/>
  <c r="AU347" i="14"/>
  <c r="AK348" i="14"/>
  <c r="AL348" i="14"/>
  <c r="AM348" i="14"/>
  <c r="AN348" i="14"/>
  <c r="AO348" i="14"/>
  <c r="AR348" i="14"/>
  <c r="AU348" i="14"/>
  <c r="AK349" i="14"/>
  <c r="AL349" i="14"/>
  <c r="AM349" i="14"/>
  <c r="AN349" i="14"/>
  <c r="AO349" i="14"/>
  <c r="AR349" i="14"/>
  <c r="AU349" i="14"/>
  <c r="AK350" i="14"/>
  <c r="AL350" i="14"/>
  <c r="AM350" i="14"/>
  <c r="AN350" i="14"/>
  <c r="AO350" i="14"/>
  <c r="AR350" i="14"/>
  <c r="AU350" i="14"/>
  <c r="AK351" i="14"/>
  <c r="AL351" i="14"/>
  <c r="AM351" i="14"/>
  <c r="AN351" i="14"/>
  <c r="AO351" i="14"/>
  <c r="AR351" i="14"/>
  <c r="AU351" i="14"/>
  <c r="AK352" i="14"/>
  <c r="AL352" i="14"/>
  <c r="AM352" i="14"/>
  <c r="AN352" i="14"/>
  <c r="AO352" i="14"/>
  <c r="AR352" i="14"/>
  <c r="AU352" i="14"/>
  <c r="AK353" i="14"/>
  <c r="AL353" i="14"/>
  <c r="AM353" i="14"/>
  <c r="AN353" i="14"/>
  <c r="AO353" i="14"/>
  <c r="AR353" i="14"/>
  <c r="AU353" i="14"/>
  <c r="AK354" i="14"/>
  <c r="AL354" i="14"/>
  <c r="AM354" i="14"/>
  <c r="AN354" i="14"/>
  <c r="AO354" i="14"/>
  <c r="AR354" i="14"/>
  <c r="AU354" i="14"/>
  <c r="AK355" i="14"/>
  <c r="AL355" i="14"/>
  <c r="AM355" i="14"/>
  <c r="AN355" i="14"/>
  <c r="AO355" i="14"/>
  <c r="AR355" i="14"/>
  <c r="AU355" i="14"/>
  <c r="AK356" i="14"/>
  <c r="AL356" i="14"/>
  <c r="AM356" i="14"/>
  <c r="AN356" i="14"/>
  <c r="AO356" i="14"/>
  <c r="AR356" i="14"/>
  <c r="AU356" i="14"/>
  <c r="AK357" i="14"/>
  <c r="AL357" i="14"/>
  <c r="AM357" i="14"/>
  <c r="AN357" i="14"/>
  <c r="AO357" i="14"/>
  <c r="AR357" i="14"/>
  <c r="AU357" i="14"/>
  <c r="AK358" i="14"/>
  <c r="AL358" i="14"/>
  <c r="AM358" i="14"/>
  <c r="AN358" i="14"/>
  <c r="AO358" i="14"/>
  <c r="AR358" i="14"/>
  <c r="AU358" i="14"/>
  <c r="AR329" i="14"/>
  <c r="AO329" i="14"/>
  <c r="AN329" i="14"/>
  <c r="AM329" i="14"/>
  <c r="AL329" i="14"/>
  <c r="AK259" i="14"/>
  <c r="AL259" i="14"/>
  <c r="AM259" i="14"/>
  <c r="AN259" i="14"/>
  <c r="AO259" i="14"/>
  <c r="AR259" i="14"/>
  <c r="AU259" i="14"/>
  <c r="AK260" i="14"/>
  <c r="AL260" i="14"/>
  <c r="AM260" i="14"/>
  <c r="AN260" i="14"/>
  <c r="AO260" i="14"/>
  <c r="AR260" i="14"/>
  <c r="AU260" i="14"/>
  <c r="AK261" i="14"/>
  <c r="AL261" i="14"/>
  <c r="AM261" i="14"/>
  <c r="AN261" i="14"/>
  <c r="AO261" i="14"/>
  <c r="AR261" i="14"/>
  <c r="AU261" i="14"/>
  <c r="AK262" i="14"/>
  <c r="AL262" i="14"/>
  <c r="AM262" i="14"/>
  <c r="AN262" i="14"/>
  <c r="AO262" i="14"/>
  <c r="AR262" i="14"/>
  <c r="AU262" i="14"/>
  <c r="AK263" i="14"/>
  <c r="AL263" i="14"/>
  <c r="AM263" i="14"/>
  <c r="AN263" i="14"/>
  <c r="AO263" i="14"/>
  <c r="AR263" i="14"/>
  <c r="AU263" i="14"/>
  <c r="AK264" i="14"/>
  <c r="AL264" i="14"/>
  <c r="AM264" i="14"/>
  <c r="AN264" i="14"/>
  <c r="AO264" i="14"/>
  <c r="AR264" i="14"/>
  <c r="AU264" i="14"/>
  <c r="AK265" i="14"/>
  <c r="AL265" i="14"/>
  <c r="AM265" i="14"/>
  <c r="AN265" i="14"/>
  <c r="AO265" i="14"/>
  <c r="AR265" i="14"/>
  <c r="AU265" i="14"/>
  <c r="AK266" i="14"/>
  <c r="AL266" i="14"/>
  <c r="AM266" i="14"/>
  <c r="AN266" i="14"/>
  <c r="AO266" i="14"/>
  <c r="AR266" i="14"/>
  <c r="AU266" i="14"/>
  <c r="AK267" i="14"/>
  <c r="AL267" i="14"/>
  <c r="AM267" i="14"/>
  <c r="AN267" i="14"/>
  <c r="AO267" i="14"/>
  <c r="AR267" i="14"/>
  <c r="AU267" i="14"/>
  <c r="AK268" i="14"/>
  <c r="AL268" i="14"/>
  <c r="AM268" i="14"/>
  <c r="AN268" i="14"/>
  <c r="AO268" i="14"/>
  <c r="AR268" i="14"/>
  <c r="AU268" i="14"/>
  <c r="AK269" i="14"/>
  <c r="AL269" i="14"/>
  <c r="AM269" i="14"/>
  <c r="AN269" i="14"/>
  <c r="AO269" i="14"/>
  <c r="AR269" i="14"/>
  <c r="AU269" i="14"/>
  <c r="AK270" i="14"/>
  <c r="AL270" i="14"/>
  <c r="AM270" i="14"/>
  <c r="AN270" i="14"/>
  <c r="AO270" i="14"/>
  <c r="AR270" i="14"/>
  <c r="AU270" i="14"/>
  <c r="AK271" i="14"/>
  <c r="AL271" i="14"/>
  <c r="AM271" i="14"/>
  <c r="AN271" i="14"/>
  <c r="AO271" i="14"/>
  <c r="AR271" i="14"/>
  <c r="AU271" i="14"/>
  <c r="AK272" i="14"/>
  <c r="AL272" i="14"/>
  <c r="AM272" i="14"/>
  <c r="AN272" i="14"/>
  <c r="AO272" i="14"/>
  <c r="AR272" i="14"/>
  <c r="AU272" i="14"/>
  <c r="AK273" i="14"/>
  <c r="AL273" i="14"/>
  <c r="AM273" i="14"/>
  <c r="AN273" i="14"/>
  <c r="AO273" i="14"/>
  <c r="AR273" i="14"/>
  <c r="AU273" i="14"/>
  <c r="AK274" i="14"/>
  <c r="AL274" i="14"/>
  <c r="AM274" i="14"/>
  <c r="AN274" i="14"/>
  <c r="AO274" i="14"/>
  <c r="AR274" i="14"/>
  <c r="AU274" i="14"/>
  <c r="AK275" i="14"/>
  <c r="AL275" i="14"/>
  <c r="AM275" i="14"/>
  <c r="AN275" i="14"/>
  <c r="AO275" i="14"/>
  <c r="AR275" i="14"/>
  <c r="AU275" i="14"/>
  <c r="AK276" i="14"/>
  <c r="AL276" i="14"/>
  <c r="AM276" i="14"/>
  <c r="AN276" i="14"/>
  <c r="AO276" i="14"/>
  <c r="AR276" i="14"/>
  <c r="AU276" i="14"/>
  <c r="AK277" i="14"/>
  <c r="AL277" i="14"/>
  <c r="AM277" i="14"/>
  <c r="AN277" i="14"/>
  <c r="AO277" i="14"/>
  <c r="AR277" i="14"/>
  <c r="AU277" i="14"/>
  <c r="AK278" i="14"/>
  <c r="AL278" i="14"/>
  <c r="AM278" i="14"/>
  <c r="AN278" i="14"/>
  <c r="AO278" i="14"/>
  <c r="AR278" i="14"/>
  <c r="AU278" i="14"/>
  <c r="AK279" i="14"/>
  <c r="AL279" i="14"/>
  <c r="AM279" i="14"/>
  <c r="AN279" i="14"/>
  <c r="AO279" i="14"/>
  <c r="AR279" i="14"/>
  <c r="AU279" i="14"/>
  <c r="AK280" i="14"/>
  <c r="AL280" i="14"/>
  <c r="AM280" i="14"/>
  <c r="AN280" i="14"/>
  <c r="AO280" i="14"/>
  <c r="AR280" i="14"/>
  <c r="AU280" i="14"/>
  <c r="AK281" i="14"/>
  <c r="AL281" i="14"/>
  <c r="AM281" i="14"/>
  <c r="AN281" i="14"/>
  <c r="AO281" i="14"/>
  <c r="AR281" i="14"/>
  <c r="AU281" i="14"/>
  <c r="AK282" i="14"/>
  <c r="AL282" i="14"/>
  <c r="AM282" i="14"/>
  <c r="AN282" i="14"/>
  <c r="AO282" i="14"/>
  <c r="AR282" i="14"/>
  <c r="AU282" i="14"/>
  <c r="AK283" i="14"/>
  <c r="AL283" i="14"/>
  <c r="AM283" i="14"/>
  <c r="AN283" i="14"/>
  <c r="AO283" i="14"/>
  <c r="AR283" i="14"/>
  <c r="AU283" i="14"/>
  <c r="AK284" i="14"/>
  <c r="AL284" i="14"/>
  <c r="AM284" i="14"/>
  <c r="AN284" i="14"/>
  <c r="AO284" i="14"/>
  <c r="AR284" i="14"/>
  <c r="AU284" i="14"/>
  <c r="AK285" i="14"/>
  <c r="AL285" i="14"/>
  <c r="AM285" i="14"/>
  <c r="AN285" i="14"/>
  <c r="AO285" i="14"/>
  <c r="AR285" i="14"/>
  <c r="AU285" i="14"/>
  <c r="AK286" i="14"/>
  <c r="AL286" i="14"/>
  <c r="AM286" i="14"/>
  <c r="AN286" i="14"/>
  <c r="AO286" i="14"/>
  <c r="AR286" i="14"/>
  <c r="AU286" i="14"/>
  <c r="AK287" i="14"/>
  <c r="AL287" i="14"/>
  <c r="AM287" i="14"/>
  <c r="AN287" i="14"/>
  <c r="AO287" i="14"/>
  <c r="AR287" i="14"/>
  <c r="AU287" i="14"/>
  <c r="AK288" i="14"/>
  <c r="AL288" i="14"/>
  <c r="AM288" i="14"/>
  <c r="AN288" i="14"/>
  <c r="AO288" i="14"/>
  <c r="AR288" i="14"/>
  <c r="AU288" i="14"/>
  <c r="AK289" i="14"/>
  <c r="AL289" i="14"/>
  <c r="AM289" i="14"/>
  <c r="AN289" i="14"/>
  <c r="AO289" i="14"/>
  <c r="AR289" i="14"/>
  <c r="AU289" i="14"/>
  <c r="AK290" i="14"/>
  <c r="AL290" i="14"/>
  <c r="AM290" i="14"/>
  <c r="AN290" i="14"/>
  <c r="AO290" i="14"/>
  <c r="AR290" i="14"/>
  <c r="AU290" i="14"/>
  <c r="AK291" i="14"/>
  <c r="AL291" i="14"/>
  <c r="AM291" i="14"/>
  <c r="AN291" i="14"/>
  <c r="AO291" i="14"/>
  <c r="AR291" i="14"/>
  <c r="AU291" i="14"/>
  <c r="AK292" i="14"/>
  <c r="AL292" i="14"/>
  <c r="AM292" i="14"/>
  <c r="AN292" i="14"/>
  <c r="AO292" i="14"/>
  <c r="AR292" i="14"/>
  <c r="AU292" i="14"/>
  <c r="AK293" i="14"/>
  <c r="AL293" i="14"/>
  <c r="AM293" i="14"/>
  <c r="AN293" i="14"/>
  <c r="AO293" i="14"/>
  <c r="AR293" i="14"/>
  <c r="AU293" i="14"/>
  <c r="AK294" i="14"/>
  <c r="AL294" i="14"/>
  <c r="AM294" i="14"/>
  <c r="AN294" i="14"/>
  <c r="AO294" i="14"/>
  <c r="AR294" i="14"/>
  <c r="AU294" i="14"/>
  <c r="AK295" i="14"/>
  <c r="AL295" i="14"/>
  <c r="AM295" i="14"/>
  <c r="AN295" i="14"/>
  <c r="AO295" i="14"/>
  <c r="AR295" i="14"/>
  <c r="AU295" i="14"/>
  <c r="AK296" i="14"/>
  <c r="AL296" i="14"/>
  <c r="AM296" i="14"/>
  <c r="AN296" i="14"/>
  <c r="AO296" i="14"/>
  <c r="AR296" i="14"/>
  <c r="AU296" i="14"/>
  <c r="AK297" i="14"/>
  <c r="AL297" i="14"/>
  <c r="AM297" i="14"/>
  <c r="AN297" i="14"/>
  <c r="AO297" i="14"/>
  <c r="AR297" i="14"/>
  <c r="AU297" i="14"/>
  <c r="AK298" i="14"/>
  <c r="AL298" i="14"/>
  <c r="AM298" i="14"/>
  <c r="AN298" i="14"/>
  <c r="AO298" i="14"/>
  <c r="AR298" i="14"/>
  <c r="AU298" i="14"/>
  <c r="AK299" i="14"/>
  <c r="AL299" i="14"/>
  <c r="AM299" i="14"/>
  <c r="AN299" i="14"/>
  <c r="AO299" i="14"/>
  <c r="AR299" i="14"/>
  <c r="AU299" i="14"/>
  <c r="AK300" i="14"/>
  <c r="AL300" i="14"/>
  <c r="AM300" i="14"/>
  <c r="AN300" i="14"/>
  <c r="AO300" i="14"/>
  <c r="AR300" i="14"/>
  <c r="AU300" i="14"/>
  <c r="AK301" i="14"/>
  <c r="AL301" i="14"/>
  <c r="AM301" i="14"/>
  <c r="AN301" i="14"/>
  <c r="AO301" i="14"/>
  <c r="AR301" i="14"/>
  <c r="AU301" i="14"/>
  <c r="AK302" i="14"/>
  <c r="AL302" i="14"/>
  <c r="AM302" i="14"/>
  <c r="AN302" i="14"/>
  <c r="AO302" i="14"/>
  <c r="AR302" i="14"/>
  <c r="AU302" i="14"/>
  <c r="AK303" i="14"/>
  <c r="AL303" i="14"/>
  <c r="AM303" i="14"/>
  <c r="AN303" i="14"/>
  <c r="AO303" i="14"/>
  <c r="AR303" i="14"/>
  <c r="AU303" i="14"/>
  <c r="AK304" i="14"/>
  <c r="AL304" i="14"/>
  <c r="AM304" i="14"/>
  <c r="AN304" i="14"/>
  <c r="AO304" i="14"/>
  <c r="AR304" i="14"/>
  <c r="AU304" i="14"/>
  <c r="AK305" i="14"/>
  <c r="AL305" i="14"/>
  <c r="AM305" i="14"/>
  <c r="AN305" i="14"/>
  <c r="AO305" i="14"/>
  <c r="AR305" i="14"/>
  <c r="AU305" i="14"/>
  <c r="AK306" i="14"/>
  <c r="AL306" i="14"/>
  <c r="AM306" i="14"/>
  <c r="AN306" i="14"/>
  <c r="AO306" i="14"/>
  <c r="AR306" i="14"/>
  <c r="AU306" i="14"/>
  <c r="AK307" i="14"/>
  <c r="AL307" i="14"/>
  <c r="AM307" i="14"/>
  <c r="AN307" i="14"/>
  <c r="AO307" i="14"/>
  <c r="AR307" i="14"/>
  <c r="AU307" i="14"/>
  <c r="AK308" i="14"/>
  <c r="AL308" i="14"/>
  <c r="AM308" i="14"/>
  <c r="AN308" i="14"/>
  <c r="AO308" i="14"/>
  <c r="AR308" i="14"/>
  <c r="AU308" i="14"/>
  <c r="AK309" i="14"/>
  <c r="AL309" i="14"/>
  <c r="AM309" i="14"/>
  <c r="AN309" i="14"/>
  <c r="AO309" i="14"/>
  <c r="AR309" i="14"/>
  <c r="AU309" i="14"/>
  <c r="AK310" i="14"/>
  <c r="AL310" i="14"/>
  <c r="AM310" i="14"/>
  <c r="AN310" i="14"/>
  <c r="AO310" i="14"/>
  <c r="AR310" i="14"/>
  <c r="AU310" i="14"/>
  <c r="AK311" i="14"/>
  <c r="AL311" i="14"/>
  <c r="AM311" i="14"/>
  <c r="AN311" i="14"/>
  <c r="AO311" i="14"/>
  <c r="AR311" i="14"/>
  <c r="AU311" i="14"/>
  <c r="AK312" i="14"/>
  <c r="AL312" i="14"/>
  <c r="AM312" i="14"/>
  <c r="AN312" i="14"/>
  <c r="AO312" i="14"/>
  <c r="AR312" i="14"/>
  <c r="AU312" i="14"/>
  <c r="AK313" i="14"/>
  <c r="AL313" i="14"/>
  <c r="AM313" i="14"/>
  <c r="AN313" i="14"/>
  <c r="AO313" i="14"/>
  <c r="AR313" i="14"/>
  <c r="AU313" i="14"/>
  <c r="AK314" i="14"/>
  <c r="AL314" i="14"/>
  <c r="AM314" i="14"/>
  <c r="AN314" i="14"/>
  <c r="AO314" i="14"/>
  <c r="AR314" i="14"/>
  <c r="AU314" i="14"/>
  <c r="AK315" i="14"/>
  <c r="AL315" i="14"/>
  <c r="AM315" i="14"/>
  <c r="AN315" i="14"/>
  <c r="AO315" i="14"/>
  <c r="AR315" i="14"/>
  <c r="AU315" i="14"/>
  <c r="AK316" i="14"/>
  <c r="AL316" i="14"/>
  <c r="AM316" i="14"/>
  <c r="AN316" i="14"/>
  <c r="AO316" i="14"/>
  <c r="AR316" i="14"/>
  <c r="AU316" i="14"/>
  <c r="AK317" i="14"/>
  <c r="AL317" i="14"/>
  <c r="AM317" i="14"/>
  <c r="AN317" i="14"/>
  <c r="AO317" i="14"/>
  <c r="AR317" i="14"/>
  <c r="AU317" i="14"/>
  <c r="AK318" i="14"/>
  <c r="AL318" i="14"/>
  <c r="AM318" i="14"/>
  <c r="AN318" i="14"/>
  <c r="AO318" i="14"/>
  <c r="AR318" i="14"/>
  <c r="AU318" i="14"/>
  <c r="AK319" i="14"/>
  <c r="AL319" i="14"/>
  <c r="AM319" i="14"/>
  <c r="AN319" i="14"/>
  <c r="AO319" i="14"/>
  <c r="AR319" i="14"/>
  <c r="AU319" i="14"/>
  <c r="AK320" i="14"/>
  <c r="AL320" i="14"/>
  <c r="AM320" i="14"/>
  <c r="AN320" i="14"/>
  <c r="AO320" i="14"/>
  <c r="AR320" i="14"/>
  <c r="AU320" i="14"/>
  <c r="AK321" i="14"/>
  <c r="AL321" i="14"/>
  <c r="AM321" i="14"/>
  <c r="AN321" i="14"/>
  <c r="AO321" i="14"/>
  <c r="AR321" i="14"/>
  <c r="AU321" i="14"/>
  <c r="AK322" i="14"/>
  <c r="AL322" i="14"/>
  <c r="AM322" i="14"/>
  <c r="AN322" i="14"/>
  <c r="AO322" i="14"/>
  <c r="AR322" i="14"/>
  <c r="AU322" i="14"/>
  <c r="AK323" i="14"/>
  <c r="AL323" i="14"/>
  <c r="AM323" i="14"/>
  <c r="AN323" i="14"/>
  <c r="AO323" i="14"/>
  <c r="AR323" i="14"/>
  <c r="AU323" i="14"/>
  <c r="AK324" i="14"/>
  <c r="AL324" i="14"/>
  <c r="AM324" i="14"/>
  <c r="AN324" i="14"/>
  <c r="AO324" i="14"/>
  <c r="AR324" i="14"/>
  <c r="AU324" i="14"/>
  <c r="AK325" i="14"/>
  <c r="AL325" i="14"/>
  <c r="AM325" i="14"/>
  <c r="AN325" i="14"/>
  <c r="AO325" i="14"/>
  <c r="AR325" i="14"/>
  <c r="AU325" i="14"/>
  <c r="AK326" i="14"/>
  <c r="AL326" i="14"/>
  <c r="AM326" i="14"/>
  <c r="AN326" i="14"/>
  <c r="AO326" i="14"/>
  <c r="AR326" i="14"/>
  <c r="AU326" i="14"/>
  <c r="AK327" i="14"/>
  <c r="AL327" i="14"/>
  <c r="AM327" i="14"/>
  <c r="AN327" i="14"/>
  <c r="AO327" i="14"/>
  <c r="AR327" i="14"/>
  <c r="AU327" i="14"/>
  <c r="AT156" i="14"/>
  <c r="AT157" i="14"/>
  <c r="AT158" i="14"/>
  <c r="AT159" i="14"/>
  <c r="AT160" i="14"/>
  <c r="AT161" i="14"/>
  <c r="AT162" i="14"/>
  <c r="AT163" i="14"/>
  <c r="AT164" i="14"/>
  <c r="AT165" i="14"/>
  <c r="AT166" i="14"/>
  <c r="AT167" i="14"/>
  <c r="AT168" i="14"/>
  <c r="AT169" i="14"/>
  <c r="AT170" i="14"/>
  <c r="AT171" i="14"/>
  <c r="AT172" i="14"/>
  <c r="AT173" i="14"/>
  <c r="AT174" i="14"/>
  <c r="AT175" i="14"/>
  <c r="AT176" i="14"/>
  <c r="AT177" i="14"/>
  <c r="AT178" i="14"/>
  <c r="AT179" i="14"/>
  <c r="AT180" i="14"/>
  <c r="AT181" i="14"/>
  <c r="AT182" i="14"/>
  <c r="AT183" i="14"/>
  <c r="AT184" i="14"/>
  <c r="AT185" i="14"/>
  <c r="AT186" i="14"/>
  <c r="AT187" i="14"/>
  <c r="AT188" i="14"/>
  <c r="AT189" i="14"/>
  <c r="AT190" i="14"/>
  <c r="AT191" i="14"/>
  <c r="AT192" i="14"/>
  <c r="AT193" i="14"/>
  <c r="AT194" i="14"/>
  <c r="AT195" i="14"/>
  <c r="AT196" i="14"/>
  <c r="AT197" i="14"/>
  <c r="AT198" i="14"/>
  <c r="AT199" i="14"/>
  <c r="AT200" i="14"/>
  <c r="AT201" i="14"/>
  <c r="AT202" i="14"/>
  <c r="AT203" i="14"/>
  <c r="AT204" i="14"/>
  <c r="AT205" i="14"/>
  <c r="AT206" i="14"/>
  <c r="AT207" i="14"/>
  <c r="AT208" i="14"/>
  <c r="AT209" i="14"/>
  <c r="AT210" i="14"/>
  <c r="AT211" i="14"/>
  <c r="AT212" i="14"/>
  <c r="AT213" i="14"/>
  <c r="AT214" i="14"/>
  <c r="AT215" i="14"/>
  <c r="AT216" i="14"/>
  <c r="AT217" i="14"/>
  <c r="AT218" i="14"/>
  <c r="AT219" i="14"/>
  <c r="AT220" i="14"/>
  <c r="AT221" i="14"/>
  <c r="AT222" i="14"/>
  <c r="AT223" i="14"/>
  <c r="AT226" i="14"/>
  <c r="AT227" i="14"/>
  <c r="AT228" i="14"/>
  <c r="AT229" i="14"/>
  <c r="AT230" i="14"/>
  <c r="AT231" i="14"/>
  <c r="AT232" i="14"/>
  <c r="AT233" i="14"/>
  <c r="AT234" i="14"/>
  <c r="AT235" i="14"/>
  <c r="AT236" i="14"/>
  <c r="AT237" i="14"/>
  <c r="AT238" i="14"/>
  <c r="AT239" i="14"/>
  <c r="AT240" i="14"/>
  <c r="AT241" i="14"/>
  <c r="AT242" i="14"/>
  <c r="AT243" i="14"/>
  <c r="AT244" i="14"/>
  <c r="AT245" i="14"/>
  <c r="AT246" i="14"/>
  <c r="AT247" i="14"/>
  <c r="AT248" i="14"/>
  <c r="AT249" i="14"/>
  <c r="AT250" i="14"/>
  <c r="AT251" i="14"/>
  <c r="AT252" i="14"/>
  <c r="AT253" i="14"/>
  <c r="AT254" i="14"/>
  <c r="AR258" i="14"/>
  <c r="AO258" i="14"/>
  <c r="AN258" i="14"/>
  <c r="AM258" i="14"/>
  <c r="AL258" i="14"/>
  <c r="AG155" i="14"/>
  <c r="AH155" i="14"/>
  <c r="AI155" i="14"/>
  <c r="AJ155" i="14"/>
  <c r="AQ155" i="14"/>
  <c r="AF156" i="14"/>
  <c r="AG156" i="14"/>
  <c r="AH156" i="14"/>
  <c r="AI156" i="14"/>
  <c r="AJ156" i="14"/>
  <c r="AQ156" i="14"/>
  <c r="AF157" i="14"/>
  <c r="AG157" i="14"/>
  <c r="AH157" i="14"/>
  <c r="AI157" i="14"/>
  <c r="AJ157" i="14"/>
  <c r="AQ157" i="14"/>
  <c r="AF158" i="14"/>
  <c r="AG158" i="14"/>
  <c r="AH158" i="14"/>
  <c r="AI158" i="14"/>
  <c r="AJ158" i="14"/>
  <c r="AQ158" i="14"/>
  <c r="AF159" i="14"/>
  <c r="AG159" i="14"/>
  <c r="AH159" i="14"/>
  <c r="AI159" i="14"/>
  <c r="AJ159" i="14"/>
  <c r="AQ159" i="14"/>
  <c r="AF160" i="14"/>
  <c r="AG160" i="14"/>
  <c r="AH160" i="14"/>
  <c r="AI160" i="14"/>
  <c r="AJ160" i="14"/>
  <c r="AQ160" i="14"/>
  <c r="AF161" i="14"/>
  <c r="AG161" i="14"/>
  <c r="AH161" i="14"/>
  <c r="AI161" i="14"/>
  <c r="AJ161" i="14"/>
  <c r="AQ161" i="14"/>
  <c r="AF162" i="14"/>
  <c r="AG162" i="14"/>
  <c r="AH162" i="14"/>
  <c r="AI162" i="14"/>
  <c r="AJ162" i="14"/>
  <c r="AQ162" i="14"/>
  <c r="AF163" i="14"/>
  <c r="AG163" i="14"/>
  <c r="AH163" i="14"/>
  <c r="AI163" i="14"/>
  <c r="AJ163" i="14"/>
  <c r="AQ163" i="14"/>
  <c r="AF164" i="14"/>
  <c r="AG164" i="14"/>
  <c r="AH164" i="14"/>
  <c r="AI164" i="14"/>
  <c r="AJ164" i="14"/>
  <c r="AQ164" i="14"/>
  <c r="AF165" i="14"/>
  <c r="AG165" i="14"/>
  <c r="AH165" i="14"/>
  <c r="AI165" i="14"/>
  <c r="AJ165" i="14"/>
  <c r="AQ165" i="14"/>
  <c r="AF166" i="14"/>
  <c r="AG166" i="14"/>
  <c r="AH166" i="14"/>
  <c r="AI166" i="14"/>
  <c r="AJ166" i="14"/>
  <c r="AQ166" i="14"/>
  <c r="AF167" i="14"/>
  <c r="AG167" i="14"/>
  <c r="AH167" i="14"/>
  <c r="AI167" i="14"/>
  <c r="AJ167" i="14"/>
  <c r="AQ167" i="14"/>
  <c r="AF168" i="14"/>
  <c r="AG168" i="14"/>
  <c r="AH168" i="14"/>
  <c r="AI168" i="14"/>
  <c r="AJ168" i="14"/>
  <c r="AQ168" i="14"/>
  <c r="AF169" i="14"/>
  <c r="AG169" i="14"/>
  <c r="AH169" i="14"/>
  <c r="AI169" i="14"/>
  <c r="AJ169" i="14"/>
  <c r="AQ169" i="14"/>
  <c r="AF170" i="14"/>
  <c r="AG170" i="14"/>
  <c r="AH170" i="14"/>
  <c r="AI170" i="14"/>
  <c r="AJ170" i="14"/>
  <c r="AQ170" i="14"/>
  <c r="AF171" i="14"/>
  <c r="AG171" i="14"/>
  <c r="AH171" i="14"/>
  <c r="AI171" i="14"/>
  <c r="AJ171" i="14"/>
  <c r="AQ171" i="14"/>
  <c r="AF172" i="14"/>
  <c r="AG172" i="14"/>
  <c r="AH172" i="14"/>
  <c r="AI172" i="14"/>
  <c r="AJ172" i="14"/>
  <c r="AQ172" i="14"/>
  <c r="AF173" i="14"/>
  <c r="AG173" i="14"/>
  <c r="AH173" i="14"/>
  <c r="AI173" i="14"/>
  <c r="AJ173" i="14"/>
  <c r="AQ173" i="14"/>
  <c r="AF174" i="14"/>
  <c r="AG174" i="14"/>
  <c r="AH174" i="14"/>
  <c r="AI174" i="14"/>
  <c r="AJ174" i="14"/>
  <c r="AQ174" i="14"/>
  <c r="AF175" i="14"/>
  <c r="AG175" i="14"/>
  <c r="AH175" i="14"/>
  <c r="AI175" i="14"/>
  <c r="AJ175" i="14"/>
  <c r="AQ175" i="14"/>
  <c r="AF176" i="14"/>
  <c r="AG176" i="14"/>
  <c r="AH176" i="14"/>
  <c r="AI176" i="14"/>
  <c r="AJ176" i="14"/>
  <c r="AQ176" i="14"/>
  <c r="AF177" i="14"/>
  <c r="AG177" i="14"/>
  <c r="AH177" i="14"/>
  <c r="AI177" i="14"/>
  <c r="AJ177" i="14"/>
  <c r="AQ177" i="14"/>
  <c r="AF178" i="14"/>
  <c r="AG178" i="14"/>
  <c r="AH178" i="14"/>
  <c r="AI178" i="14"/>
  <c r="AJ178" i="14"/>
  <c r="AQ178" i="14"/>
  <c r="AF179" i="14"/>
  <c r="AG179" i="14"/>
  <c r="AH179" i="14"/>
  <c r="AI179" i="14"/>
  <c r="AJ179" i="14"/>
  <c r="AQ179" i="14"/>
  <c r="AF180" i="14"/>
  <c r="AG180" i="14"/>
  <c r="AH180" i="14"/>
  <c r="AI180" i="14"/>
  <c r="AJ180" i="14"/>
  <c r="AQ180" i="14"/>
  <c r="AF181" i="14"/>
  <c r="AG181" i="14"/>
  <c r="AH181" i="14"/>
  <c r="AI181" i="14"/>
  <c r="AJ181" i="14"/>
  <c r="AQ181" i="14"/>
  <c r="AF182" i="14"/>
  <c r="AG182" i="14"/>
  <c r="AH182" i="14"/>
  <c r="AI182" i="14"/>
  <c r="AJ182" i="14"/>
  <c r="AQ182" i="14"/>
  <c r="AF183" i="14"/>
  <c r="AG183" i="14"/>
  <c r="AH183" i="14"/>
  <c r="AI183" i="14"/>
  <c r="AJ183" i="14"/>
  <c r="AQ183" i="14"/>
  <c r="AF184" i="14"/>
  <c r="AG184" i="14"/>
  <c r="AH184" i="14"/>
  <c r="AI184" i="14"/>
  <c r="AJ184" i="14"/>
  <c r="AQ184" i="14"/>
  <c r="AF185" i="14"/>
  <c r="AG185" i="14"/>
  <c r="AH185" i="14"/>
  <c r="AI185" i="14"/>
  <c r="AJ185" i="14"/>
  <c r="AQ185" i="14"/>
  <c r="AF186" i="14"/>
  <c r="AG186" i="14"/>
  <c r="AH186" i="14"/>
  <c r="AI186" i="14"/>
  <c r="AJ186" i="14"/>
  <c r="AQ186" i="14"/>
  <c r="AF187" i="14"/>
  <c r="AG187" i="14"/>
  <c r="AH187" i="14"/>
  <c r="AI187" i="14"/>
  <c r="AJ187" i="14"/>
  <c r="AQ187" i="14"/>
  <c r="AF188" i="14"/>
  <c r="AG188" i="14"/>
  <c r="AH188" i="14"/>
  <c r="AI188" i="14"/>
  <c r="AJ188" i="14"/>
  <c r="AQ188" i="14"/>
  <c r="AF189" i="14"/>
  <c r="AG189" i="14"/>
  <c r="AH189" i="14"/>
  <c r="AI189" i="14"/>
  <c r="AJ189" i="14"/>
  <c r="AQ189" i="14"/>
  <c r="AF190" i="14"/>
  <c r="AG190" i="14"/>
  <c r="AH190" i="14"/>
  <c r="AI190" i="14"/>
  <c r="AJ190" i="14"/>
  <c r="AQ190" i="14"/>
  <c r="AF191" i="14"/>
  <c r="AG191" i="14"/>
  <c r="AH191" i="14"/>
  <c r="AI191" i="14"/>
  <c r="AJ191" i="14"/>
  <c r="AQ191" i="14"/>
  <c r="AF192" i="14"/>
  <c r="AG192" i="14"/>
  <c r="AH192" i="14"/>
  <c r="AI192" i="14"/>
  <c r="AJ192" i="14"/>
  <c r="AQ192" i="14"/>
  <c r="AF193" i="14"/>
  <c r="AG193" i="14"/>
  <c r="AH193" i="14"/>
  <c r="AI193" i="14"/>
  <c r="AJ193" i="14"/>
  <c r="AQ193" i="14"/>
  <c r="AF194" i="14"/>
  <c r="AG194" i="14"/>
  <c r="AH194" i="14"/>
  <c r="AI194" i="14"/>
  <c r="AJ194" i="14"/>
  <c r="AQ194" i="14"/>
  <c r="AF195" i="14"/>
  <c r="AG195" i="14"/>
  <c r="AH195" i="14"/>
  <c r="AI195" i="14"/>
  <c r="AJ195" i="14"/>
  <c r="AQ195" i="14"/>
  <c r="AF196" i="14"/>
  <c r="AG196" i="14"/>
  <c r="AH196" i="14"/>
  <c r="AI196" i="14"/>
  <c r="AJ196" i="14"/>
  <c r="AQ196" i="14"/>
  <c r="AF197" i="14"/>
  <c r="AG197" i="14"/>
  <c r="AH197" i="14"/>
  <c r="AI197" i="14"/>
  <c r="AJ197" i="14"/>
  <c r="AQ197" i="14"/>
  <c r="AF198" i="14"/>
  <c r="AG198" i="14"/>
  <c r="AH198" i="14"/>
  <c r="AI198" i="14"/>
  <c r="AJ198" i="14"/>
  <c r="AQ198" i="14"/>
  <c r="AF199" i="14"/>
  <c r="AG199" i="14"/>
  <c r="AH199" i="14"/>
  <c r="AI199" i="14"/>
  <c r="AJ199" i="14"/>
  <c r="AQ199" i="14"/>
  <c r="AF200" i="14"/>
  <c r="AG200" i="14"/>
  <c r="AH200" i="14"/>
  <c r="AI200" i="14"/>
  <c r="AJ200" i="14"/>
  <c r="AQ200" i="14"/>
  <c r="AF201" i="14"/>
  <c r="AG201" i="14"/>
  <c r="AH201" i="14"/>
  <c r="AI201" i="14"/>
  <c r="AJ201" i="14"/>
  <c r="AQ201" i="14"/>
  <c r="AF202" i="14"/>
  <c r="AG202" i="14"/>
  <c r="AH202" i="14"/>
  <c r="AI202" i="14"/>
  <c r="AJ202" i="14"/>
  <c r="AQ202" i="14"/>
  <c r="AF203" i="14"/>
  <c r="AG203" i="14"/>
  <c r="AH203" i="14"/>
  <c r="AI203" i="14"/>
  <c r="AJ203" i="14"/>
  <c r="AQ203" i="14"/>
  <c r="AF204" i="14"/>
  <c r="AG204" i="14"/>
  <c r="AH204" i="14"/>
  <c r="AI204" i="14"/>
  <c r="AJ204" i="14"/>
  <c r="AQ204" i="14"/>
  <c r="AF205" i="14"/>
  <c r="AG205" i="14"/>
  <c r="AH205" i="14"/>
  <c r="AI205" i="14"/>
  <c r="AJ205" i="14"/>
  <c r="AQ205" i="14"/>
  <c r="AF206" i="14"/>
  <c r="AG206" i="14"/>
  <c r="AH206" i="14"/>
  <c r="AI206" i="14"/>
  <c r="AJ206" i="14"/>
  <c r="AQ206" i="14"/>
  <c r="AF207" i="14"/>
  <c r="AG207" i="14"/>
  <c r="AH207" i="14"/>
  <c r="AI207" i="14"/>
  <c r="AJ207" i="14"/>
  <c r="AQ207" i="14"/>
  <c r="AF208" i="14"/>
  <c r="AG208" i="14"/>
  <c r="AH208" i="14"/>
  <c r="AI208" i="14"/>
  <c r="AJ208" i="14"/>
  <c r="AQ208" i="14"/>
  <c r="AF209" i="14"/>
  <c r="AG209" i="14"/>
  <c r="AH209" i="14"/>
  <c r="AI209" i="14"/>
  <c r="AJ209" i="14"/>
  <c r="AQ209" i="14"/>
  <c r="AF210" i="14"/>
  <c r="AG210" i="14"/>
  <c r="AH210" i="14"/>
  <c r="AI210" i="14"/>
  <c r="AJ210" i="14"/>
  <c r="AQ210" i="14"/>
  <c r="AF211" i="14"/>
  <c r="AG211" i="14"/>
  <c r="AH211" i="14"/>
  <c r="AI211" i="14"/>
  <c r="AJ211" i="14"/>
  <c r="AQ211" i="14"/>
  <c r="AF212" i="14"/>
  <c r="AG212" i="14"/>
  <c r="AH212" i="14"/>
  <c r="AI212" i="14"/>
  <c r="AJ212" i="14"/>
  <c r="AQ212" i="14"/>
  <c r="AF213" i="14"/>
  <c r="AG213" i="14"/>
  <c r="AH213" i="14"/>
  <c r="AI213" i="14"/>
  <c r="AJ213" i="14"/>
  <c r="AQ213" i="14"/>
  <c r="AF214" i="14"/>
  <c r="AG214" i="14"/>
  <c r="AH214" i="14"/>
  <c r="AI214" i="14"/>
  <c r="AJ214" i="14"/>
  <c r="AQ214" i="14"/>
  <c r="AF215" i="14"/>
  <c r="AG215" i="14"/>
  <c r="AH215" i="14"/>
  <c r="AI215" i="14"/>
  <c r="AJ215" i="14"/>
  <c r="AQ215" i="14"/>
  <c r="AF216" i="14"/>
  <c r="AG216" i="14"/>
  <c r="AH216" i="14"/>
  <c r="AI216" i="14"/>
  <c r="AJ216" i="14"/>
  <c r="AQ216" i="14"/>
  <c r="AF217" i="14"/>
  <c r="AG217" i="14"/>
  <c r="AH217" i="14"/>
  <c r="AI217" i="14"/>
  <c r="AJ217" i="14"/>
  <c r="AQ217" i="14"/>
  <c r="AF218" i="14"/>
  <c r="AG218" i="14"/>
  <c r="AH218" i="14"/>
  <c r="AI218" i="14"/>
  <c r="AJ218" i="14"/>
  <c r="AQ218" i="14"/>
  <c r="AF219" i="14"/>
  <c r="AG219" i="14"/>
  <c r="AH219" i="14"/>
  <c r="AI219" i="14"/>
  <c r="AJ219" i="14"/>
  <c r="AQ219" i="14"/>
  <c r="AF220" i="14"/>
  <c r="AG220" i="14"/>
  <c r="AH220" i="14"/>
  <c r="AI220" i="14"/>
  <c r="AJ220" i="14"/>
  <c r="AQ220" i="14"/>
  <c r="AF221" i="14"/>
  <c r="AG221" i="14"/>
  <c r="AH221" i="14"/>
  <c r="AI221" i="14"/>
  <c r="AJ221" i="14"/>
  <c r="AQ221" i="14"/>
  <c r="AF222" i="14"/>
  <c r="AG222" i="14"/>
  <c r="AH222" i="14"/>
  <c r="AI222" i="14"/>
  <c r="AJ222" i="14"/>
  <c r="AQ222" i="14"/>
  <c r="AF223" i="14"/>
  <c r="AG223" i="14"/>
  <c r="AH223" i="14"/>
  <c r="AI223" i="14"/>
  <c r="AJ223" i="14"/>
  <c r="AQ223" i="14"/>
  <c r="AG225" i="14"/>
  <c r="AH225" i="14"/>
  <c r="AI225" i="14"/>
  <c r="AJ225" i="14"/>
  <c r="AQ225" i="14"/>
  <c r="AF226" i="14"/>
  <c r="AG226" i="14"/>
  <c r="AH226" i="14"/>
  <c r="AI226" i="14"/>
  <c r="AJ226" i="14"/>
  <c r="AQ226" i="14"/>
  <c r="AF227" i="14"/>
  <c r="AG227" i="14"/>
  <c r="AH227" i="14"/>
  <c r="AI227" i="14"/>
  <c r="AJ227" i="14"/>
  <c r="AQ227" i="14"/>
  <c r="AF228" i="14"/>
  <c r="AG228" i="14"/>
  <c r="AH228" i="14"/>
  <c r="AI228" i="14"/>
  <c r="AJ228" i="14"/>
  <c r="AQ228" i="14"/>
  <c r="AF229" i="14"/>
  <c r="AG229" i="14"/>
  <c r="AH229" i="14"/>
  <c r="AI229" i="14"/>
  <c r="AJ229" i="14"/>
  <c r="AQ229" i="14"/>
  <c r="AF230" i="14"/>
  <c r="AG230" i="14"/>
  <c r="AH230" i="14"/>
  <c r="AI230" i="14"/>
  <c r="AJ230" i="14"/>
  <c r="AQ230" i="14"/>
  <c r="AF231" i="14"/>
  <c r="AG231" i="14"/>
  <c r="AH231" i="14"/>
  <c r="AI231" i="14"/>
  <c r="AJ231" i="14"/>
  <c r="AQ231" i="14"/>
  <c r="AF232" i="14"/>
  <c r="AG232" i="14"/>
  <c r="AH232" i="14"/>
  <c r="AI232" i="14"/>
  <c r="AJ232" i="14"/>
  <c r="AQ232" i="14"/>
  <c r="AF233" i="14"/>
  <c r="AG233" i="14"/>
  <c r="AH233" i="14"/>
  <c r="AI233" i="14"/>
  <c r="AJ233" i="14"/>
  <c r="AQ233" i="14"/>
  <c r="AF234" i="14"/>
  <c r="AG234" i="14"/>
  <c r="AH234" i="14"/>
  <c r="AI234" i="14"/>
  <c r="AJ234" i="14"/>
  <c r="AQ234" i="14"/>
  <c r="AF235" i="14"/>
  <c r="AG235" i="14"/>
  <c r="AH235" i="14"/>
  <c r="AI235" i="14"/>
  <c r="AJ235" i="14"/>
  <c r="AQ235" i="14"/>
  <c r="AF236" i="14"/>
  <c r="AG236" i="14"/>
  <c r="AH236" i="14"/>
  <c r="AI236" i="14"/>
  <c r="AJ236" i="14"/>
  <c r="AQ236" i="14"/>
  <c r="AF237" i="14"/>
  <c r="AG237" i="14"/>
  <c r="AH237" i="14"/>
  <c r="AI237" i="14"/>
  <c r="AJ237" i="14"/>
  <c r="AQ237" i="14"/>
  <c r="AF238" i="14"/>
  <c r="AG238" i="14"/>
  <c r="AH238" i="14"/>
  <c r="AI238" i="14"/>
  <c r="AJ238" i="14"/>
  <c r="AQ238" i="14"/>
  <c r="AF239" i="14"/>
  <c r="AG239" i="14"/>
  <c r="AH239" i="14"/>
  <c r="AI239" i="14"/>
  <c r="AJ239" i="14"/>
  <c r="AQ239" i="14"/>
  <c r="AF240" i="14"/>
  <c r="AG240" i="14"/>
  <c r="AH240" i="14"/>
  <c r="AI240" i="14"/>
  <c r="AJ240" i="14"/>
  <c r="AQ240" i="14"/>
  <c r="AF241" i="14"/>
  <c r="AG241" i="14"/>
  <c r="AH241" i="14"/>
  <c r="AI241" i="14"/>
  <c r="AJ241" i="14"/>
  <c r="AQ241" i="14"/>
  <c r="AF242" i="14"/>
  <c r="AG242" i="14"/>
  <c r="AH242" i="14"/>
  <c r="AI242" i="14"/>
  <c r="AJ242" i="14"/>
  <c r="AQ242" i="14"/>
  <c r="AF243" i="14"/>
  <c r="AG243" i="14"/>
  <c r="AH243" i="14"/>
  <c r="AI243" i="14"/>
  <c r="AJ243" i="14"/>
  <c r="AQ243" i="14"/>
  <c r="AF244" i="14"/>
  <c r="AG244" i="14"/>
  <c r="AH244" i="14"/>
  <c r="AI244" i="14"/>
  <c r="AJ244" i="14"/>
  <c r="AQ244" i="14"/>
  <c r="AF245" i="14"/>
  <c r="AG245" i="14"/>
  <c r="AH245" i="14"/>
  <c r="AI245" i="14"/>
  <c r="AJ245" i="14"/>
  <c r="AQ245" i="14"/>
  <c r="AF246" i="14"/>
  <c r="AG246" i="14"/>
  <c r="AH246" i="14"/>
  <c r="AI246" i="14"/>
  <c r="AJ246" i="14"/>
  <c r="AQ246" i="14"/>
  <c r="AF247" i="14"/>
  <c r="AG247" i="14"/>
  <c r="AH247" i="14"/>
  <c r="AI247" i="14"/>
  <c r="AJ247" i="14"/>
  <c r="AQ247" i="14"/>
  <c r="AF248" i="14"/>
  <c r="AG248" i="14"/>
  <c r="AH248" i="14"/>
  <c r="AI248" i="14"/>
  <c r="AJ248" i="14"/>
  <c r="AQ248" i="14"/>
  <c r="AF249" i="14"/>
  <c r="AG249" i="14"/>
  <c r="AH249" i="14"/>
  <c r="AI249" i="14"/>
  <c r="AJ249" i="14"/>
  <c r="AQ249" i="14"/>
  <c r="AF250" i="14"/>
  <c r="AG250" i="14"/>
  <c r="AH250" i="14"/>
  <c r="AI250" i="14"/>
  <c r="AJ250" i="14"/>
  <c r="AQ250" i="14"/>
  <c r="AF251" i="14"/>
  <c r="AG251" i="14"/>
  <c r="AH251" i="14"/>
  <c r="AI251" i="14"/>
  <c r="AJ251" i="14"/>
  <c r="AQ251" i="14"/>
  <c r="AF252" i="14"/>
  <c r="AG252" i="14"/>
  <c r="AH252" i="14"/>
  <c r="AI252" i="14"/>
  <c r="AJ252" i="14"/>
  <c r="AQ252" i="14"/>
  <c r="AF253" i="14"/>
  <c r="AG253" i="14"/>
  <c r="AH253" i="14"/>
  <c r="AI253" i="14"/>
  <c r="AJ253" i="14"/>
  <c r="AQ253" i="14"/>
  <c r="AF254" i="14"/>
  <c r="AG254" i="14"/>
  <c r="AH254" i="14"/>
  <c r="AI254" i="14"/>
  <c r="AJ254" i="14"/>
  <c r="AQ254" i="14"/>
  <c r="AQ154" i="14"/>
  <c r="AJ154" i="14"/>
  <c r="AI154" i="14"/>
  <c r="AH154" i="14"/>
  <c r="AG154" i="14"/>
  <c r="AN37" i="14"/>
  <c r="AM37" i="14"/>
  <c r="AJ37" i="14"/>
  <c r="AI37" i="14"/>
  <c r="AH37" i="14"/>
  <c r="AD37" i="14"/>
  <c r="AB37" i="14"/>
  <c r="AE37" i="14"/>
  <c r="AF37" i="14"/>
  <c r="P12" i="9" l="1"/>
  <c r="Q12" i="9" s="1"/>
  <c r="C55" i="3"/>
  <c r="AJ4" i="14"/>
  <c r="AJ6" i="14" s="1"/>
  <c r="L573" i="14"/>
  <c r="M573" i="14" s="1"/>
  <c r="Y573" i="14" s="1"/>
  <c r="L574" i="14"/>
  <c r="M574" i="14" s="1"/>
  <c r="Y574" i="14" s="1"/>
  <c r="L575" i="14"/>
  <c r="M575" i="14" s="1"/>
  <c r="Y575" i="14" s="1"/>
  <c r="L576" i="14"/>
  <c r="M576" i="14" s="1"/>
  <c r="Y576" i="14" s="1"/>
  <c r="L577" i="14"/>
  <c r="M577" i="14" s="1"/>
  <c r="Y577" i="14" s="1"/>
  <c r="L578" i="14"/>
  <c r="M578" i="14" s="1"/>
  <c r="Y578" i="14" s="1"/>
  <c r="L579" i="14"/>
  <c r="M579" i="14" s="1"/>
  <c r="Y579" i="14" s="1"/>
  <c r="L580" i="14"/>
  <c r="M580" i="14" s="1"/>
  <c r="Y580" i="14" s="1"/>
  <c r="L581" i="14"/>
  <c r="M581" i="14" s="1"/>
  <c r="Y581" i="14" s="1"/>
  <c r="L572" i="14"/>
  <c r="M572" i="14" s="1"/>
  <c r="Y572" i="14" s="1"/>
  <c r="L541" i="14"/>
  <c r="M541" i="14" s="1"/>
  <c r="Y541" i="14" s="1"/>
  <c r="L542" i="14"/>
  <c r="M542" i="14" s="1"/>
  <c r="Y542" i="14" s="1"/>
  <c r="L543" i="14"/>
  <c r="M543" i="14" s="1"/>
  <c r="Y543" i="14" s="1"/>
  <c r="L544" i="14"/>
  <c r="M544" i="14" s="1"/>
  <c r="Y544" i="14" s="1"/>
  <c r="L545" i="14"/>
  <c r="M545" i="14" s="1"/>
  <c r="Y545" i="14" s="1"/>
  <c r="L546" i="14"/>
  <c r="M546" i="14" s="1"/>
  <c r="Y546" i="14" s="1"/>
  <c r="L547" i="14"/>
  <c r="M547" i="14" s="1"/>
  <c r="Y547" i="14" s="1"/>
  <c r="L548" i="14"/>
  <c r="M548" i="14" s="1"/>
  <c r="Y548" i="14" s="1"/>
  <c r="L549" i="14"/>
  <c r="M549" i="14" s="1"/>
  <c r="Y549" i="14" s="1"/>
  <c r="L550" i="14"/>
  <c r="M550" i="14" s="1"/>
  <c r="Y550" i="14" s="1"/>
  <c r="L551" i="14"/>
  <c r="M551" i="14" s="1"/>
  <c r="Y551" i="14" s="1"/>
  <c r="L552" i="14"/>
  <c r="M552" i="14" s="1"/>
  <c r="Y552" i="14" s="1"/>
  <c r="L553" i="14"/>
  <c r="M553" i="14" s="1"/>
  <c r="Y553" i="14" s="1"/>
  <c r="L554" i="14"/>
  <c r="M554" i="14" s="1"/>
  <c r="Y554" i="14" s="1"/>
  <c r="L555" i="14"/>
  <c r="M555" i="14" s="1"/>
  <c r="Y555" i="14" s="1"/>
  <c r="L556" i="14"/>
  <c r="M556" i="14" s="1"/>
  <c r="Y556" i="14" s="1"/>
  <c r="L557" i="14"/>
  <c r="M557" i="14" s="1"/>
  <c r="Y557" i="14" s="1"/>
  <c r="L558" i="14"/>
  <c r="M558" i="14" s="1"/>
  <c r="Y558" i="14" s="1"/>
  <c r="L559" i="14"/>
  <c r="M559" i="14" s="1"/>
  <c r="Y559" i="14" s="1"/>
  <c r="L560" i="14"/>
  <c r="M560" i="14" s="1"/>
  <c r="Y560" i="14" s="1"/>
  <c r="L561" i="14"/>
  <c r="M561" i="14" s="1"/>
  <c r="Y561" i="14" s="1"/>
  <c r="L562" i="14"/>
  <c r="M562" i="14" s="1"/>
  <c r="Y562" i="14" s="1"/>
  <c r="L563" i="14"/>
  <c r="M563" i="14" s="1"/>
  <c r="Y563" i="14" s="1"/>
  <c r="L564" i="14"/>
  <c r="M564" i="14" s="1"/>
  <c r="Y564" i="14" s="1"/>
  <c r="L565" i="14"/>
  <c r="M565" i="14" s="1"/>
  <c r="Y565" i="14" s="1"/>
  <c r="L566" i="14"/>
  <c r="M566" i="14" s="1"/>
  <c r="Y566" i="14" s="1"/>
  <c r="L567" i="14"/>
  <c r="M567" i="14" s="1"/>
  <c r="Y567" i="14" s="1"/>
  <c r="L568" i="14"/>
  <c r="M568" i="14" s="1"/>
  <c r="Y568" i="14" s="1"/>
  <c r="L540" i="14"/>
  <c r="M540" i="14" s="1"/>
  <c r="Y540" i="14" s="1"/>
  <c r="L539" i="14"/>
  <c r="M539" i="14" s="1"/>
  <c r="Y539" i="14" s="1"/>
  <c r="L508" i="14"/>
  <c r="M508" i="14" s="1"/>
  <c r="Y508" i="14" s="1"/>
  <c r="L509" i="14"/>
  <c r="M509" i="14" s="1"/>
  <c r="Y509" i="14" s="1"/>
  <c r="L510" i="14"/>
  <c r="M510" i="14" s="1"/>
  <c r="Y510" i="14" s="1"/>
  <c r="L511" i="14"/>
  <c r="M511" i="14" s="1"/>
  <c r="Y511" i="14" s="1"/>
  <c r="L512" i="14"/>
  <c r="M512" i="14" s="1"/>
  <c r="Y512" i="14" s="1"/>
  <c r="L513" i="14"/>
  <c r="M513" i="14" s="1"/>
  <c r="Y513" i="14" s="1"/>
  <c r="L514" i="14"/>
  <c r="M514" i="14" s="1"/>
  <c r="Y514" i="14" s="1"/>
  <c r="L515" i="14"/>
  <c r="M515" i="14" s="1"/>
  <c r="Y515" i="14" s="1"/>
  <c r="L516" i="14"/>
  <c r="M516" i="14" s="1"/>
  <c r="Y516" i="14" s="1"/>
  <c r="L517" i="14"/>
  <c r="M517" i="14" s="1"/>
  <c r="Y517" i="14" s="1"/>
  <c r="L518" i="14"/>
  <c r="M518" i="14" s="1"/>
  <c r="Y518" i="14" s="1"/>
  <c r="L519" i="14"/>
  <c r="M519" i="14" s="1"/>
  <c r="Y519" i="14" s="1"/>
  <c r="L520" i="14"/>
  <c r="M520" i="14" s="1"/>
  <c r="Y520" i="14" s="1"/>
  <c r="L521" i="14"/>
  <c r="M521" i="14" s="1"/>
  <c r="Y521" i="14" s="1"/>
  <c r="L522" i="14"/>
  <c r="M522" i="14" s="1"/>
  <c r="Y522" i="14" s="1"/>
  <c r="L523" i="14"/>
  <c r="M523" i="14" s="1"/>
  <c r="Y523" i="14" s="1"/>
  <c r="L524" i="14"/>
  <c r="M524" i="14" s="1"/>
  <c r="Y524" i="14" s="1"/>
  <c r="L525" i="14"/>
  <c r="M525" i="14" s="1"/>
  <c r="Y525" i="14" s="1"/>
  <c r="L526" i="14"/>
  <c r="M526" i="14" s="1"/>
  <c r="Y526" i="14" s="1"/>
  <c r="L527" i="14"/>
  <c r="M527" i="14" s="1"/>
  <c r="Y527" i="14" s="1"/>
  <c r="L528" i="14"/>
  <c r="M528" i="14" s="1"/>
  <c r="Y528" i="14" s="1"/>
  <c r="L529" i="14"/>
  <c r="M529" i="14" s="1"/>
  <c r="Y529" i="14" s="1"/>
  <c r="L530" i="14"/>
  <c r="M530" i="14" s="1"/>
  <c r="Y530" i="14" s="1"/>
  <c r="L531" i="14"/>
  <c r="M531" i="14" s="1"/>
  <c r="Y531" i="14" s="1"/>
  <c r="L532" i="14"/>
  <c r="M532" i="14" s="1"/>
  <c r="Y532" i="14" s="1"/>
  <c r="L533" i="14"/>
  <c r="M533" i="14" s="1"/>
  <c r="Y533" i="14" s="1"/>
  <c r="L534" i="14"/>
  <c r="M534" i="14" s="1"/>
  <c r="Y534" i="14" s="1"/>
  <c r="L535" i="14"/>
  <c r="M535" i="14" s="1"/>
  <c r="L507" i="14"/>
  <c r="M507" i="14" s="1"/>
  <c r="Y507" i="14" s="1"/>
  <c r="L506" i="14"/>
  <c r="M506" i="14" s="1"/>
  <c r="L476" i="14"/>
  <c r="M476" i="14" s="1"/>
  <c r="Y476" i="14" s="1"/>
  <c r="L477" i="14"/>
  <c r="M477" i="14" s="1"/>
  <c r="Y477" i="14" s="1"/>
  <c r="L478" i="14"/>
  <c r="M478" i="14" s="1"/>
  <c r="Y478" i="14" s="1"/>
  <c r="L479" i="14"/>
  <c r="M479" i="14" s="1"/>
  <c r="Y479" i="14" s="1"/>
  <c r="L480" i="14"/>
  <c r="M480" i="14" s="1"/>
  <c r="AF480" i="14" s="1"/>
  <c r="L481" i="14"/>
  <c r="M481" i="14" s="1"/>
  <c r="Y481" i="14" s="1"/>
  <c r="L482" i="14"/>
  <c r="M482" i="14" s="1"/>
  <c r="Y482" i="14" s="1"/>
  <c r="L483" i="14"/>
  <c r="M483" i="14" s="1"/>
  <c r="Y483" i="14" s="1"/>
  <c r="L484" i="14"/>
  <c r="M484" i="14" s="1"/>
  <c r="Y484" i="14" s="1"/>
  <c r="L485" i="14"/>
  <c r="M485" i="14" s="1"/>
  <c r="Y485" i="14" s="1"/>
  <c r="L486" i="14"/>
  <c r="M486" i="14" s="1"/>
  <c r="Y486" i="14" s="1"/>
  <c r="L487" i="14"/>
  <c r="M487" i="14" s="1"/>
  <c r="Y487" i="14" s="1"/>
  <c r="L488" i="14"/>
  <c r="M488" i="14" s="1"/>
  <c r="Y488" i="14" s="1"/>
  <c r="L489" i="14"/>
  <c r="M489" i="14" s="1"/>
  <c r="Y489" i="14" s="1"/>
  <c r="L490" i="14"/>
  <c r="M490" i="14" s="1"/>
  <c r="Y490" i="14" s="1"/>
  <c r="L491" i="14"/>
  <c r="M491" i="14" s="1"/>
  <c r="Y491" i="14" s="1"/>
  <c r="L492" i="14"/>
  <c r="M492" i="14" s="1"/>
  <c r="Y492" i="14" s="1"/>
  <c r="L493" i="14"/>
  <c r="M493" i="14" s="1"/>
  <c r="Y493" i="14" s="1"/>
  <c r="L494" i="14"/>
  <c r="M494" i="14" s="1"/>
  <c r="Y494" i="14" s="1"/>
  <c r="L495" i="14"/>
  <c r="M495" i="14" s="1"/>
  <c r="Y495" i="14" s="1"/>
  <c r="L496" i="14"/>
  <c r="M496" i="14" s="1"/>
  <c r="Y496" i="14" s="1"/>
  <c r="L497" i="14"/>
  <c r="M497" i="14" s="1"/>
  <c r="Y497" i="14" s="1"/>
  <c r="L498" i="14"/>
  <c r="M498" i="14" s="1"/>
  <c r="Y498" i="14" s="1"/>
  <c r="L499" i="14"/>
  <c r="M499" i="14" s="1"/>
  <c r="Y499" i="14" s="1"/>
  <c r="L500" i="14"/>
  <c r="M500" i="14" s="1"/>
  <c r="Y500" i="14" s="1"/>
  <c r="L501" i="14"/>
  <c r="M501" i="14" s="1"/>
  <c r="Y501" i="14" s="1"/>
  <c r="L502" i="14"/>
  <c r="M502" i="14" s="1"/>
  <c r="Y502" i="14" s="1"/>
  <c r="L503" i="14"/>
  <c r="M503" i="14" s="1"/>
  <c r="Y503" i="14" s="1"/>
  <c r="L504" i="14"/>
  <c r="M504" i="14" s="1"/>
  <c r="Y504" i="14" s="1"/>
  <c r="L475" i="14"/>
  <c r="M475" i="14" s="1"/>
  <c r="X475" i="14" s="1"/>
  <c r="L439" i="14"/>
  <c r="M439" i="14" s="1"/>
  <c r="L440" i="14"/>
  <c r="M440" i="14" s="1"/>
  <c r="Y440" i="14" s="1"/>
  <c r="L441" i="14"/>
  <c r="M441" i="14" s="1"/>
  <c r="Y441" i="14" s="1"/>
  <c r="L442" i="14"/>
  <c r="M442" i="14" s="1"/>
  <c r="Y442" i="14" s="1"/>
  <c r="L443" i="14"/>
  <c r="M443" i="14" s="1"/>
  <c r="Y443" i="14" s="1"/>
  <c r="L444" i="14"/>
  <c r="M444" i="14" s="1"/>
  <c r="Y444" i="14" s="1"/>
  <c r="L445" i="14"/>
  <c r="M445" i="14" s="1"/>
  <c r="Y445" i="14" s="1"/>
  <c r="L446" i="14"/>
  <c r="M446" i="14" s="1"/>
  <c r="Y446" i="14" s="1"/>
  <c r="L447" i="14"/>
  <c r="M447" i="14" s="1"/>
  <c r="Y447" i="14" s="1"/>
  <c r="L448" i="14"/>
  <c r="M448" i="14" s="1"/>
  <c r="Y448" i="14" s="1"/>
  <c r="L449" i="14"/>
  <c r="M449" i="14" s="1"/>
  <c r="Y449" i="14" s="1"/>
  <c r="L450" i="14"/>
  <c r="M450" i="14" s="1"/>
  <c r="Y450" i="14" s="1"/>
  <c r="L451" i="14"/>
  <c r="M451" i="14" s="1"/>
  <c r="Y451" i="14" s="1"/>
  <c r="L452" i="14"/>
  <c r="M452" i="14" s="1"/>
  <c r="Y452" i="14" s="1"/>
  <c r="L453" i="14"/>
  <c r="M453" i="14" s="1"/>
  <c r="Y453" i="14" s="1"/>
  <c r="L454" i="14"/>
  <c r="M454" i="14" s="1"/>
  <c r="Y454" i="14" s="1"/>
  <c r="L455" i="14"/>
  <c r="M455" i="14" s="1"/>
  <c r="Y455" i="14" s="1"/>
  <c r="L456" i="14"/>
  <c r="M456" i="14" s="1"/>
  <c r="Y456" i="14" s="1"/>
  <c r="L457" i="14"/>
  <c r="M457" i="14" s="1"/>
  <c r="Y457" i="14" s="1"/>
  <c r="L458" i="14"/>
  <c r="M458" i="14" s="1"/>
  <c r="Y458" i="14" s="1"/>
  <c r="L459" i="14"/>
  <c r="M459" i="14" s="1"/>
  <c r="Y459" i="14" s="1"/>
  <c r="L460" i="14"/>
  <c r="M460" i="14" s="1"/>
  <c r="Y460" i="14" s="1"/>
  <c r="L461" i="14"/>
  <c r="M461" i="14" s="1"/>
  <c r="Y461" i="14" s="1"/>
  <c r="L462" i="14"/>
  <c r="M462" i="14" s="1"/>
  <c r="Y462" i="14" s="1"/>
  <c r="L463" i="14"/>
  <c r="M463" i="14" s="1"/>
  <c r="Y463" i="14" s="1"/>
  <c r="L464" i="14"/>
  <c r="M464" i="14" s="1"/>
  <c r="Y464" i="14" s="1"/>
  <c r="L465" i="14"/>
  <c r="M465" i="14" s="1"/>
  <c r="Y465" i="14" s="1"/>
  <c r="L438" i="14"/>
  <c r="M438" i="14" s="1"/>
  <c r="L430" i="14"/>
  <c r="M430" i="14" s="1"/>
  <c r="L431" i="14"/>
  <c r="M431" i="14" s="1"/>
  <c r="L432" i="14"/>
  <c r="M432" i="14" s="1"/>
  <c r="L433" i="14"/>
  <c r="M433" i="14" s="1"/>
  <c r="Y433" i="14" s="1"/>
  <c r="L434" i="14"/>
  <c r="M434" i="14" s="1"/>
  <c r="Y434" i="14" s="1"/>
  <c r="L429" i="14"/>
  <c r="M429" i="14" s="1"/>
  <c r="L400" i="14"/>
  <c r="M400" i="14" s="1"/>
  <c r="Y400" i="14" s="1"/>
  <c r="L401" i="14"/>
  <c r="M401" i="14" s="1"/>
  <c r="Y401" i="14" s="1"/>
  <c r="L402" i="14"/>
  <c r="M402" i="14" s="1"/>
  <c r="Y402" i="14" s="1"/>
  <c r="L403" i="14"/>
  <c r="M403" i="14" s="1"/>
  <c r="Y403" i="14" s="1"/>
  <c r="L404" i="14"/>
  <c r="M404" i="14" s="1"/>
  <c r="Y404" i="14" s="1"/>
  <c r="L405" i="14"/>
  <c r="M405" i="14" s="1"/>
  <c r="Y405" i="14" s="1"/>
  <c r="L406" i="14"/>
  <c r="M406" i="14" s="1"/>
  <c r="Y406" i="14" s="1"/>
  <c r="L407" i="14"/>
  <c r="M407" i="14" s="1"/>
  <c r="Y407" i="14" s="1"/>
  <c r="L408" i="14"/>
  <c r="M408" i="14" s="1"/>
  <c r="Y408" i="14" s="1"/>
  <c r="L409" i="14"/>
  <c r="M409" i="14" s="1"/>
  <c r="L410" i="14"/>
  <c r="M410" i="14" s="1"/>
  <c r="Y410" i="14" s="1"/>
  <c r="L411" i="14"/>
  <c r="M411" i="14" s="1"/>
  <c r="Y411" i="14" s="1"/>
  <c r="L412" i="14"/>
  <c r="M412" i="14" s="1"/>
  <c r="Y412" i="14" s="1"/>
  <c r="L413" i="14"/>
  <c r="M413" i="14" s="1"/>
  <c r="Y413" i="14" s="1"/>
  <c r="L414" i="14"/>
  <c r="M414" i="14" s="1"/>
  <c r="Y414" i="14" s="1"/>
  <c r="L415" i="14"/>
  <c r="M415" i="14" s="1"/>
  <c r="Y415" i="14" s="1"/>
  <c r="L416" i="14"/>
  <c r="M416" i="14" s="1"/>
  <c r="Y416" i="14" s="1"/>
  <c r="L417" i="14"/>
  <c r="M417" i="14" s="1"/>
  <c r="Y417" i="14" s="1"/>
  <c r="L418" i="14"/>
  <c r="M418" i="14" s="1"/>
  <c r="Y418" i="14" s="1"/>
  <c r="L419" i="14"/>
  <c r="M419" i="14" s="1"/>
  <c r="L420" i="14"/>
  <c r="M420" i="14" s="1"/>
  <c r="Y420" i="14" s="1"/>
  <c r="L421" i="14"/>
  <c r="M421" i="14" s="1"/>
  <c r="L422" i="14"/>
  <c r="M422" i="14" s="1"/>
  <c r="L423" i="14"/>
  <c r="M423" i="14" s="1"/>
  <c r="L399" i="14"/>
  <c r="M399" i="14" s="1"/>
  <c r="L372" i="14"/>
  <c r="M372" i="14" s="1"/>
  <c r="Y372" i="14" s="1"/>
  <c r="L373" i="14"/>
  <c r="M373" i="14" s="1"/>
  <c r="Y373" i="14" s="1"/>
  <c r="L374" i="14"/>
  <c r="M374" i="14" s="1"/>
  <c r="Y374" i="14" s="1"/>
  <c r="L375" i="14"/>
  <c r="M375" i="14" s="1"/>
  <c r="Y375" i="14" s="1"/>
  <c r="L376" i="14"/>
  <c r="M376" i="14" s="1"/>
  <c r="Y376" i="14" s="1"/>
  <c r="L377" i="14"/>
  <c r="M377" i="14" s="1"/>
  <c r="Y377" i="14" s="1"/>
  <c r="L378" i="14"/>
  <c r="M378" i="14" s="1"/>
  <c r="Y378" i="14" s="1"/>
  <c r="L379" i="14"/>
  <c r="M379" i="14" s="1"/>
  <c r="Y379" i="14" s="1"/>
  <c r="L380" i="14"/>
  <c r="M380" i="14" s="1"/>
  <c r="Y380" i="14" s="1"/>
  <c r="L381" i="14"/>
  <c r="M381" i="14" s="1"/>
  <c r="Y381" i="14" s="1"/>
  <c r="L382" i="14"/>
  <c r="M382" i="14" s="1"/>
  <c r="Y382" i="14" s="1"/>
  <c r="L383" i="14"/>
  <c r="M383" i="14" s="1"/>
  <c r="Y383" i="14" s="1"/>
  <c r="L384" i="14"/>
  <c r="M384" i="14" s="1"/>
  <c r="Y384" i="14" s="1"/>
  <c r="L385" i="14"/>
  <c r="M385" i="14" s="1"/>
  <c r="Y385" i="14" s="1"/>
  <c r="L386" i="14"/>
  <c r="M386" i="14" s="1"/>
  <c r="Y386" i="14" s="1"/>
  <c r="L387" i="14"/>
  <c r="M387" i="14" s="1"/>
  <c r="Y387" i="14" s="1"/>
  <c r="L388" i="14"/>
  <c r="M388" i="14" s="1"/>
  <c r="Y388" i="14" s="1"/>
  <c r="L389" i="14"/>
  <c r="M389" i="14" s="1"/>
  <c r="Y389" i="14" s="1"/>
  <c r="L390" i="14"/>
  <c r="M390" i="14" s="1"/>
  <c r="Y390" i="14" s="1"/>
  <c r="L391" i="14"/>
  <c r="M391" i="14" s="1"/>
  <c r="Y391" i="14" s="1"/>
  <c r="L392" i="14"/>
  <c r="M392" i="14" s="1"/>
  <c r="Y392" i="14" s="1"/>
  <c r="L393" i="14"/>
  <c r="M393" i="14" s="1"/>
  <c r="Y393" i="14" s="1"/>
  <c r="L394" i="14"/>
  <c r="M394" i="14" s="1"/>
  <c r="Y394" i="14" s="1"/>
  <c r="L395" i="14"/>
  <c r="M395" i="14" s="1"/>
  <c r="Y395" i="14" s="1"/>
  <c r="L371" i="14"/>
  <c r="M371" i="14" s="1"/>
  <c r="X371" i="14" s="1"/>
  <c r="AD4" i="14"/>
  <c r="E347" i="14"/>
  <c r="X429" i="14" l="1"/>
  <c r="Y429" i="14" s="1"/>
  <c r="S12" i="9"/>
  <c r="X409" i="14"/>
  <c r="Y409" i="14" s="1"/>
  <c r="X432" i="14"/>
  <c r="Y432" i="14" s="1"/>
  <c r="X431" i="14"/>
  <c r="Y431" i="14" s="1"/>
  <c r="X430" i="14"/>
  <c r="Y430" i="14" s="1"/>
  <c r="AF371" i="14"/>
  <c r="X535" i="14"/>
  <c r="AU535" i="14" s="1"/>
  <c r="AK535" i="14"/>
  <c r="X480" i="14"/>
  <c r="X419" i="14"/>
  <c r="Y419" i="14" s="1"/>
  <c r="L87" i="6"/>
  <c r="X422" i="14"/>
  <c r="Y422" i="14" s="1"/>
  <c r="X423" i="14"/>
  <c r="Y423" i="14" s="1"/>
  <c r="X421" i="14"/>
  <c r="Y421" i="14" s="1"/>
  <c r="AK399" i="14"/>
  <c r="X399" i="14"/>
  <c r="AK506" i="14"/>
  <c r="AI6" i="14"/>
  <c r="AK3" i="14"/>
  <c r="AK4" i="14"/>
  <c r="AK5" i="14"/>
  <c r="Y371" i="14"/>
  <c r="AT475" i="14"/>
  <c r="L330" i="14"/>
  <c r="M330" i="14" s="1"/>
  <c r="Y330" i="14" s="1"/>
  <c r="L331" i="14"/>
  <c r="M331" i="14" s="1"/>
  <c r="Y331" i="14" s="1"/>
  <c r="L332" i="14"/>
  <c r="M332" i="14" s="1"/>
  <c r="Y332" i="14" s="1"/>
  <c r="L333" i="14"/>
  <c r="M333" i="14" s="1"/>
  <c r="Y333" i="14" s="1"/>
  <c r="L334" i="14"/>
  <c r="M334" i="14" s="1"/>
  <c r="Y334" i="14" s="1"/>
  <c r="L335" i="14"/>
  <c r="M335" i="14" s="1"/>
  <c r="Y335" i="14" s="1"/>
  <c r="L336" i="14"/>
  <c r="M336" i="14" s="1"/>
  <c r="Y336" i="14" s="1"/>
  <c r="L337" i="14"/>
  <c r="M337" i="14" s="1"/>
  <c r="Y337" i="14" s="1"/>
  <c r="L338" i="14"/>
  <c r="M338" i="14" s="1"/>
  <c r="Y338" i="14" s="1"/>
  <c r="L339" i="14"/>
  <c r="M339" i="14" s="1"/>
  <c r="Y339" i="14" s="1"/>
  <c r="L340" i="14"/>
  <c r="M340" i="14" s="1"/>
  <c r="Y340" i="14" s="1"/>
  <c r="L341" i="14"/>
  <c r="M341" i="14" s="1"/>
  <c r="Y341" i="14" s="1"/>
  <c r="L342" i="14"/>
  <c r="M342" i="14" s="1"/>
  <c r="Y342" i="14" s="1"/>
  <c r="L343" i="14"/>
  <c r="M343" i="14" s="1"/>
  <c r="Y343" i="14" s="1"/>
  <c r="L344" i="14"/>
  <c r="M344" i="14" s="1"/>
  <c r="Y344" i="14" s="1"/>
  <c r="L345" i="14"/>
  <c r="M345" i="14" s="1"/>
  <c r="Y345" i="14" s="1"/>
  <c r="L346" i="14"/>
  <c r="M346" i="14" s="1"/>
  <c r="Y346" i="14" s="1"/>
  <c r="L347" i="14"/>
  <c r="M347" i="14" s="1"/>
  <c r="Y347" i="14" s="1"/>
  <c r="L348" i="14"/>
  <c r="M348" i="14" s="1"/>
  <c r="Y348" i="14" s="1"/>
  <c r="L349" i="14"/>
  <c r="M349" i="14" s="1"/>
  <c r="Y349" i="14" s="1"/>
  <c r="L350" i="14"/>
  <c r="M350" i="14" s="1"/>
  <c r="Y350" i="14" s="1"/>
  <c r="L351" i="14"/>
  <c r="M351" i="14" s="1"/>
  <c r="Y351" i="14" s="1"/>
  <c r="L352" i="14"/>
  <c r="M352" i="14" s="1"/>
  <c r="Y352" i="14" s="1"/>
  <c r="L353" i="14"/>
  <c r="M353" i="14" s="1"/>
  <c r="Y353" i="14" s="1"/>
  <c r="L354" i="14"/>
  <c r="M354" i="14" s="1"/>
  <c r="Y354" i="14" s="1"/>
  <c r="L355" i="14"/>
  <c r="M355" i="14" s="1"/>
  <c r="L356" i="14"/>
  <c r="M356" i="14" s="1"/>
  <c r="L357" i="14"/>
  <c r="M357" i="14" s="1"/>
  <c r="L358" i="14"/>
  <c r="M358" i="14" s="1"/>
  <c r="L329" i="14"/>
  <c r="M329" i="14" s="1"/>
  <c r="L259" i="14"/>
  <c r="M259" i="14" s="1"/>
  <c r="L260" i="14"/>
  <c r="M260" i="14" s="1"/>
  <c r="Y260" i="14" s="1"/>
  <c r="L261" i="14"/>
  <c r="M261" i="14" s="1"/>
  <c r="Y261" i="14" s="1"/>
  <c r="L262" i="14"/>
  <c r="M262" i="14" s="1"/>
  <c r="Y262" i="14" s="1"/>
  <c r="L263" i="14"/>
  <c r="M263" i="14" s="1"/>
  <c r="Y263" i="14" s="1"/>
  <c r="L264" i="14"/>
  <c r="M264" i="14" s="1"/>
  <c r="Y264" i="14" s="1"/>
  <c r="L265" i="14"/>
  <c r="M265" i="14" s="1"/>
  <c r="Y265" i="14" s="1"/>
  <c r="L266" i="14"/>
  <c r="M266" i="14" s="1"/>
  <c r="Y266" i="14" s="1"/>
  <c r="L267" i="14"/>
  <c r="M267" i="14" s="1"/>
  <c r="Y267" i="14" s="1"/>
  <c r="L268" i="14"/>
  <c r="M268" i="14" s="1"/>
  <c r="Y268" i="14" s="1"/>
  <c r="L269" i="14"/>
  <c r="M269" i="14" s="1"/>
  <c r="Y269" i="14" s="1"/>
  <c r="L270" i="14"/>
  <c r="M270" i="14" s="1"/>
  <c r="Y270" i="14" s="1"/>
  <c r="L271" i="14"/>
  <c r="M271" i="14" s="1"/>
  <c r="Y271" i="14" s="1"/>
  <c r="L272" i="14"/>
  <c r="M272" i="14" s="1"/>
  <c r="Y272" i="14" s="1"/>
  <c r="L273" i="14"/>
  <c r="M273" i="14" s="1"/>
  <c r="Y273" i="14" s="1"/>
  <c r="L274" i="14"/>
  <c r="M274" i="14" s="1"/>
  <c r="Y274" i="14" s="1"/>
  <c r="L275" i="14"/>
  <c r="M275" i="14" s="1"/>
  <c r="Y275" i="14" s="1"/>
  <c r="L276" i="14"/>
  <c r="M276" i="14" s="1"/>
  <c r="Y276" i="14" s="1"/>
  <c r="L277" i="14"/>
  <c r="M277" i="14" s="1"/>
  <c r="Y277" i="14" s="1"/>
  <c r="L278" i="14"/>
  <c r="M278" i="14" s="1"/>
  <c r="Y278" i="14" s="1"/>
  <c r="L279" i="14"/>
  <c r="M279" i="14" s="1"/>
  <c r="Y279" i="14" s="1"/>
  <c r="L280" i="14"/>
  <c r="M280" i="14" s="1"/>
  <c r="Y280" i="14" s="1"/>
  <c r="L281" i="14"/>
  <c r="M281" i="14" s="1"/>
  <c r="Y281" i="14" s="1"/>
  <c r="L282" i="14"/>
  <c r="M282" i="14" s="1"/>
  <c r="Y282" i="14" s="1"/>
  <c r="L283" i="14"/>
  <c r="M283" i="14" s="1"/>
  <c r="Y283" i="14" s="1"/>
  <c r="L284" i="14"/>
  <c r="M284" i="14" s="1"/>
  <c r="Y284" i="14" s="1"/>
  <c r="L285" i="14"/>
  <c r="M285" i="14" s="1"/>
  <c r="Y285" i="14" s="1"/>
  <c r="L286" i="14"/>
  <c r="M286" i="14" s="1"/>
  <c r="Y286" i="14" s="1"/>
  <c r="L287" i="14"/>
  <c r="M287" i="14" s="1"/>
  <c r="Y287" i="14" s="1"/>
  <c r="L288" i="14"/>
  <c r="M288" i="14" s="1"/>
  <c r="Y288" i="14" s="1"/>
  <c r="L289" i="14"/>
  <c r="M289" i="14" s="1"/>
  <c r="Y289" i="14" s="1"/>
  <c r="L290" i="14"/>
  <c r="M290" i="14" s="1"/>
  <c r="Y290" i="14" s="1"/>
  <c r="L291" i="14"/>
  <c r="M291" i="14" s="1"/>
  <c r="Y291" i="14" s="1"/>
  <c r="L292" i="14"/>
  <c r="M292" i="14" s="1"/>
  <c r="Y292" i="14" s="1"/>
  <c r="L293" i="14"/>
  <c r="M293" i="14" s="1"/>
  <c r="Y293" i="14" s="1"/>
  <c r="L294" i="14"/>
  <c r="M294" i="14" s="1"/>
  <c r="Y294" i="14" s="1"/>
  <c r="L295" i="14"/>
  <c r="M295" i="14" s="1"/>
  <c r="Y295" i="14" s="1"/>
  <c r="L296" i="14"/>
  <c r="M296" i="14" s="1"/>
  <c r="Y296" i="14" s="1"/>
  <c r="L297" i="14"/>
  <c r="M297" i="14" s="1"/>
  <c r="Y297" i="14" s="1"/>
  <c r="L298" i="14"/>
  <c r="M298" i="14" s="1"/>
  <c r="Y298" i="14" s="1"/>
  <c r="L299" i="14"/>
  <c r="M299" i="14" s="1"/>
  <c r="Y299" i="14" s="1"/>
  <c r="L300" i="14"/>
  <c r="M300" i="14" s="1"/>
  <c r="Y300" i="14" s="1"/>
  <c r="L301" i="14"/>
  <c r="M301" i="14" s="1"/>
  <c r="Y301" i="14" s="1"/>
  <c r="L302" i="14"/>
  <c r="M302" i="14" s="1"/>
  <c r="Y302" i="14" s="1"/>
  <c r="L303" i="14"/>
  <c r="M303" i="14" s="1"/>
  <c r="Y303" i="14" s="1"/>
  <c r="L304" i="14"/>
  <c r="M304" i="14" s="1"/>
  <c r="Y304" i="14" s="1"/>
  <c r="L305" i="14"/>
  <c r="M305" i="14" s="1"/>
  <c r="Y305" i="14" s="1"/>
  <c r="L306" i="14"/>
  <c r="M306" i="14" s="1"/>
  <c r="Y306" i="14" s="1"/>
  <c r="L307" i="14"/>
  <c r="M307" i="14" s="1"/>
  <c r="Y307" i="14" s="1"/>
  <c r="L308" i="14"/>
  <c r="M308" i="14" s="1"/>
  <c r="Y308" i="14" s="1"/>
  <c r="L309" i="14"/>
  <c r="M309" i="14" s="1"/>
  <c r="Y309" i="14" s="1"/>
  <c r="L310" i="14"/>
  <c r="M310" i="14" s="1"/>
  <c r="Y310" i="14" s="1"/>
  <c r="L311" i="14"/>
  <c r="M311" i="14" s="1"/>
  <c r="Y311" i="14" s="1"/>
  <c r="L312" i="14"/>
  <c r="M312" i="14" s="1"/>
  <c r="Y312" i="14" s="1"/>
  <c r="L313" i="14"/>
  <c r="M313" i="14" s="1"/>
  <c r="Y313" i="14" s="1"/>
  <c r="L314" i="14"/>
  <c r="M314" i="14" s="1"/>
  <c r="Y314" i="14" s="1"/>
  <c r="L315" i="14"/>
  <c r="M315" i="14" s="1"/>
  <c r="Y315" i="14" s="1"/>
  <c r="L316" i="14"/>
  <c r="M316" i="14" s="1"/>
  <c r="Y316" i="14" s="1"/>
  <c r="L317" i="14"/>
  <c r="M317" i="14" s="1"/>
  <c r="Y317" i="14" s="1"/>
  <c r="L318" i="14"/>
  <c r="M318" i="14" s="1"/>
  <c r="Y318" i="14" s="1"/>
  <c r="L319" i="14"/>
  <c r="M319" i="14" s="1"/>
  <c r="Y319" i="14" s="1"/>
  <c r="L320" i="14"/>
  <c r="M320" i="14" s="1"/>
  <c r="Y320" i="14" s="1"/>
  <c r="L321" i="14"/>
  <c r="M321" i="14" s="1"/>
  <c r="Y321" i="14" s="1"/>
  <c r="L322" i="14"/>
  <c r="M322" i="14" s="1"/>
  <c r="Y322" i="14" s="1"/>
  <c r="L323" i="14"/>
  <c r="M323" i="14" s="1"/>
  <c r="Y323" i="14" s="1"/>
  <c r="L324" i="14"/>
  <c r="M324" i="14" s="1"/>
  <c r="Y324" i="14" s="1"/>
  <c r="L325" i="14"/>
  <c r="M325" i="14" s="1"/>
  <c r="Y325" i="14" s="1"/>
  <c r="L326" i="14"/>
  <c r="M326" i="14" s="1"/>
  <c r="Y326" i="14" s="1"/>
  <c r="L327" i="14"/>
  <c r="M327" i="14" s="1"/>
  <c r="Y327" i="14" s="1"/>
  <c r="L258" i="14"/>
  <c r="M258" i="14" s="1"/>
  <c r="X258" i="14" s="1"/>
  <c r="L226" i="14"/>
  <c r="M226" i="14" s="1"/>
  <c r="Y226" i="14" s="1"/>
  <c r="L227" i="14"/>
  <c r="M227" i="14" s="1"/>
  <c r="Y227" i="14" s="1"/>
  <c r="L228" i="14"/>
  <c r="M228" i="14" s="1"/>
  <c r="Y228" i="14" s="1"/>
  <c r="L229" i="14"/>
  <c r="M229" i="14" s="1"/>
  <c r="Y229" i="14" s="1"/>
  <c r="L230" i="14"/>
  <c r="M230" i="14" s="1"/>
  <c r="Y230" i="14" s="1"/>
  <c r="L231" i="14"/>
  <c r="M231" i="14" s="1"/>
  <c r="Y231" i="14" s="1"/>
  <c r="L232" i="14"/>
  <c r="M232" i="14" s="1"/>
  <c r="Y232" i="14" s="1"/>
  <c r="L233" i="14"/>
  <c r="M233" i="14" s="1"/>
  <c r="Y233" i="14" s="1"/>
  <c r="L234" i="14"/>
  <c r="M234" i="14" s="1"/>
  <c r="Y234" i="14" s="1"/>
  <c r="L235" i="14"/>
  <c r="M235" i="14" s="1"/>
  <c r="Y235" i="14" s="1"/>
  <c r="L236" i="14"/>
  <c r="M236" i="14" s="1"/>
  <c r="Y236" i="14" s="1"/>
  <c r="L237" i="14"/>
  <c r="M237" i="14" s="1"/>
  <c r="Y237" i="14" s="1"/>
  <c r="L238" i="14"/>
  <c r="M238" i="14" s="1"/>
  <c r="Y238" i="14" s="1"/>
  <c r="L239" i="14"/>
  <c r="M239" i="14" s="1"/>
  <c r="Y239" i="14" s="1"/>
  <c r="L240" i="14"/>
  <c r="M240" i="14" s="1"/>
  <c r="Y240" i="14" s="1"/>
  <c r="L241" i="14"/>
  <c r="M241" i="14" s="1"/>
  <c r="Y241" i="14" s="1"/>
  <c r="L242" i="14"/>
  <c r="M242" i="14" s="1"/>
  <c r="Y242" i="14" s="1"/>
  <c r="L243" i="14"/>
  <c r="M243" i="14" s="1"/>
  <c r="Y243" i="14" s="1"/>
  <c r="L244" i="14"/>
  <c r="M244" i="14" s="1"/>
  <c r="Y244" i="14" s="1"/>
  <c r="L245" i="14"/>
  <c r="M245" i="14" s="1"/>
  <c r="Y245" i="14" s="1"/>
  <c r="L246" i="14"/>
  <c r="M246" i="14" s="1"/>
  <c r="Y246" i="14" s="1"/>
  <c r="L247" i="14"/>
  <c r="M247" i="14" s="1"/>
  <c r="Y247" i="14" s="1"/>
  <c r="L248" i="14"/>
  <c r="M248" i="14" s="1"/>
  <c r="Y248" i="14" s="1"/>
  <c r="L249" i="14"/>
  <c r="M249" i="14" s="1"/>
  <c r="Y249" i="14" s="1"/>
  <c r="L250" i="14"/>
  <c r="M250" i="14" s="1"/>
  <c r="Y250" i="14" s="1"/>
  <c r="L251" i="14"/>
  <c r="M251" i="14" s="1"/>
  <c r="Y251" i="14" s="1"/>
  <c r="L252" i="14"/>
  <c r="M252" i="14" s="1"/>
  <c r="Y252" i="14" s="1"/>
  <c r="L253" i="14"/>
  <c r="M253" i="14" s="1"/>
  <c r="Y253" i="14" s="1"/>
  <c r="L254" i="14"/>
  <c r="M254" i="14" s="1"/>
  <c r="L225" i="14"/>
  <c r="M225" i="14" s="1"/>
  <c r="X225" i="14" s="1"/>
  <c r="L155" i="14"/>
  <c r="M155" i="14" s="1"/>
  <c r="X155" i="14" s="1"/>
  <c r="L156" i="14"/>
  <c r="M156" i="14" s="1"/>
  <c r="Y156" i="14" s="1"/>
  <c r="L157" i="14"/>
  <c r="M157" i="14" s="1"/>
  <c r="Y157" i="14" s="1"/>
  <c r="L158" i="14"/>
  <c r="M158" i="14" s="1"/>
  <c r="Y158" i="14" s="1"/>
  <c r="L159" i="14"/>
  <c r="M159" i="14" s="1"/>
  <c r="Y159" i="14" s="1"/>
  <c r="L160" i="14"/>
  <c r="M160" i="14" s="1"/>
  <c r="Y160" i="14" s="1"/>
  <c r="L161" i="14"/>
  <c r="M161" i="14" s="1"/>
  <c r="Y161" i="14" s="1"/>
  <c r="L162" i="14"/>
  <c r="M162" i="14" s="1"/>
  <c r="Y162" i="14" s="1"/>
  <c r="L163" i="14"/>
  <c r="M163" i="14" s="1"/>
  <c r="Y163" i="14" s="1"/>
  <c r="L164" i="14"/>
  <c r="M164" i="14" s="1"/>
  <c r="Y164" i="14" s="1"/>
  <c r="L165" i="14"/>
  <c r="M165" i="14" s="1"/>
  <c r="Y165" i="14" s="1"/>
  <c r="L166" i="14"/>
  <c r="M166" i="14" s="1"/>
  <c r="Y166" i="14" s="1"/>
  <c r="L167" i="14"/>
  <c r="M167" i="14" s="1"/>
  <c r="Y167" i="14" s="1"/>
  <c r="L168" i="14"/>
  <c r="M168" i="14" s="1"/>
  <c r="Y168" i="14" s="1"/>
  <c r="L169" i="14"/>
  <c r="M169" i="14" s="1"/>
  <c r="Y169" i="14" s="1"/>
  <c r="L170" i="14"/>
  <c r="M170" i="14" s="1"/>
  <c r="Y170" i="14" s="1"/>
  <c r="L171" i="14"/>
  <c r="M171" i="14" s="1"/>
  <c r="Y171" i="14" s="1"/>
  <c r="L172" i="14"/>
  <c r="M172" i="14" s="1"/>
  <c r="Y172" i="14" s="1"/>
  <c r="L173" i="14"/>
  <c r="M173" i="14" s="1"/>
  <c r="Y173" i="14" s="1"/>
  <c r="L174" i="14"/>
  <c r="M174" i="14" s="1"/>
  <c r="Y174" i="14" s="1"/>
  <c r="L175" i="14"/>
  <c r="M175" i="14" s="1"/>
  <c r="Y175" i="14" s="1"/>
  <c r="L176" i="14"/>
  <c r="M176" i="14" s="1"/>
  <c r="Y176" i="14" s="1"/>
  <c r="L177" i="14"/>
  <c r="M177" i="14" s="1"/>
  <c r="Y177" i="14" s="1"/>
  <c r="L178" i="14"/>
  <c r="M178" i="14" s="1"/>
  <c r="Y178" i="14" s="1"/>
  <c r="L179" i="14"/>
  <c r="M179" i="14" s="1"/>
  <c r="Y179" i="14" s="1"/>
  <c r="L180" i="14"/>
  <c r="M180" i="14" s="1"/>
  <c r="Y180" i="14" s="1"/>
  <c r="L181" i="14"/>
  <c r="M181" i="14" s="1"/>
  <c r="Y181" i="14" s="1"/>
  <c r="L182" i="14"/>
  <c r="M182" i="14" s="1"/>
  <c r="Y182" i="14" s="1"/>
  <c r="L183" i="14"/>
  <c r="M183" i="14" s="1"/>
  <c r="Y183" i="14" s="1"/>
  <c r="L184" i="14"/>
  <c r="M184" i="14" s="1"/>
  <c r="Y184" i="14" s="1"/>
  <c r="L185" i="14"/>
  <c r="M185" i="14" s="1"/>
  <c r="Y185" i="14" s="1"/>
  <c r="L186" i="14"/>
  <c r="M186" i="14" s="1"/>
  <c r="Y186" i="14" s="1"/>
  <c r="L187" i="14"/>
  <c r="M187" i="14" s="1"/>
  <c r="Y187" i="14" s="1"/>
  <c r="L188" i="14"/>
  <c r="M188" i="14" s="1"/>
  <c r="Y188" i="14" s="1"/>
  <c r="L189" i="14"/>
  <c r="M189" i="14" s="1"/>
  <c r="Y189" i="14" s="1"/>
  <c r="L190" i="14"/>
  <c r="M190" i="14" s="1"/>
  <c r="Y190" i="14" s="1"/>
  <c r="L191" i="14"/>
  <c r="M191" i="14" s="1"/>
  <c r="Y191" i="14" s="1"/>
  <c r="L192" i="14"/>
  <c r="M192" i="14" s="1"/>
  <c r="Y192" i="14" s="1"/>
  <c r="L193" i="14"/>
  <c r="M193" i="14" s="1"/>
  <c r="Y193" i="14" s="1"/>
  <c r="L194" i="14"/>
  <c r="M194" i="14" s="1"/>
  <c r="Y194" i="14" s="1"/>
  <c r="L195" i="14"/>
  <c r="M195" i="14" s="1"/>
  <c r="Y195" i="14" s="1"/>
  <c r="L196" i="14"/>
  <c r="M196" i="14" s="1"/>
  <c r="Y196" i="14" s="1"/>
  <c r="L197" i="14"/>
  <c r="M197" i="14" s="1"/>
  <c r="Y197" i="14" s="1"/>
  <c r="L198" i="14"/>
  <c r="M198" i="14" s="1"/>
  <c r="Y198" i="14" s="1"/>
  <c r="L199" i="14"/>
  <c r="M199" i="14" s="1"/>
  <c r="Y199" i="14" s="1"/>
  <c r="L200" i="14"/>
  <c r="M200" i="14" s="1"/>
  <c r="Y200" i="14" s="1"/>
  <c r="L201" i="14"/>
  <c r="M201" i="14" s="1"/>
  <c r="Y201" i="14" s="1"/>
  <c r="L202" i="14"/>
  <c r="M202" i="14" s="1"/>
  <c r="Y202" i="14" s="1"/>
  <c r="L203" i="14"/>
  <c r="M203" i="14" s="1"/>
  <c r="Y203" i="14" s="1"/>
  <c r="L204" i="14"/>
  <c r="M204" i="14" s="1"/>
  <c r="Y204" i="14" s="1"/>
  <c r="L205" i="14"/>
  <c r="M205" i="14" s="1"/>
  <c r="Y205" i="14" s="1"/>
  <c r="L206" i="14"/>
  <c r="M206" i="14" s="1"/>
  <c r="Y206" i="14" s="1"/>
  <c r="L207" i="14"/>
  <c r="M207" i="14" s="1"/>
  <c r="Y207" i="14" s="1"/>
  <c r="L208" i="14"/>
  <c r="M208" i="14" s="1"/>
  <c r="Y208" i="14" s="1"/>
  <c r="L209" i="14"/>
  <c r="M209" i="14" s="1"/>
  <c r="Y209" i="14" s="1"/>
  <c r="L210" i="14"/>
  <c r="M210" i="14" s="1"/>
  <c r="Y210" i="14" s="1"/>
  <c r="L211" i="14"/>
  <c r="M211" i="14" s="1"/>
  <c r="Y211" i="14" s="1"/>
  <c r="L212" i="14"/>
  <c r="M212" i="14" s="1"/>
  <c r="Y212" i="14" s="1"/>
  <c r="L213" i="14"/>
  <c r="M213" i="14" s="1"/>
  <c r="Y213" i="14" s="1"/>
  <c r="L214" i="14"/>
  <c r="M214" i="14" s="1"/>
  <c r="Y214" i="14" s="1"/>
  <c r="L215" i="14"/>
  <c r="M215" i="14" s="1"/>
  <c r="Y215" i="14" s="1"/>
  <c r="L216" i="14"/>
  <c r="M216" i="14" s="1"/>
  <c r="Y216" i="14" s="1"/>
  <c r="L217" i="14"/>
  <c r="M217" i="14" s="1"/>
  <c r="Y217" i="14" s="1"/>
  <c r="L218" i="14"/>
  <c r="M218" i="14" s="1"/>
  <c r="Y218" i="14" s="1"/>
  <c r="L219" i="14"/>
  <c r="M219" i="14" s="1"/>
  <c r="Y219" i="14" s="1"/>
  <c r="L220" i="14"/>
  <c r="M220" i="14" s="1"/>
  <c r="Y220" i="14" s="1"/>
  <c r="L221" i="14"/>
  <c r="M221" i="14" s="1"/>
  <c r="Y221" i="14" s="1"/>
  <c r="L222" i="14"/>
  <c r="M222" i="14" s="1"/>
  <c r="Y222" i="14" s="1"/>
  <c r="L223" i="14"/>
  <c r="M223" i="14" s="1"/>
  <c r="Y223" i="14" s="1"/>
  <c r="L154" i="14"/>
  <c r="M154" i="14" s="1"/>
  <c r="AR15" i="14"/>
  <c r="L53" i="14"/>
  <c r="M53" i="14" s="1"/>
  <c r="AA53" i="14" s="1"/>
  <c r="L54" i="14"/>
  <c r="M54" i="14" s="1"/>
  <c r="L55" i="14"/>
  <c r="M55" i="14" s="1"/>
  <c r="Y55" i="14" s="1"/>
  <c r="L56" i="14"/>
  <c r="M56" i="14" s="1"/>
  <c r="Y56" i="14" s="1"/>
  <c r="L57" i="14"/>
  <c r="M57" i="14" s="1"/>
  <c r="Y57" i="14" s="1"/>
  <c r="L58" i="14"/>
  <c r="M58" i="14" s="1"/>
  <c r="Y58" i="14" s="1"/>
  <c r="L59" i="14"/>
  <c r="M59" i="14" s="1"/>
  <c r="Y59" i="14" s="1"/>
  <c r="L60" i="14"/>
  <c r="M60" i="14" s="1"/>
  <c r="Y60" i="14" s="1"/>
  <c r="L61" i="14"/>
  <c r="M61" i="14" s="1"/>
  <c r="Y61" i="14" s="1"/>
  <c r="L62" i="14"/>
  <c r="M62" i="14" s="1"/>
  <c r="Y62" i="14" s="1"/>
  <c r="L63" i="14"/>
  <c r="M63" i="14" s="1"/>
  <c r="Y63" i="14" s="1"/>
  <c r="L64" i="14"/>
  <c r="M64" i="14" s="1"/>
  <c r="Y64" i="14" s="1"/>
  <c r="L65" i="14"/>
  <c r="M65" i="14" s="1"/>
  <c r="Y65" i="14" s="1"/>
  <c r="L66" i="14"/>
  <c r="M66" i="14" s="1"/>
  <c r="Y66" i="14" s="1"/>
  <c r="L67" i="14"/>
  <c r="M67" i="14" s="1"/>
  <c r="Y67" i="14" s="1"/>
  <c r="L68" i="14"/>
  <c r="M68" i="14" s="1"/>
  <c r="Y68" i="14" s="1"/>
  <c r="L69" i="14"/>
  <c r="M69" i="14" s="1"/>
  <c r="Y69" i="14" s="1"/>
  <c r="L70" i="14"/>
  <c r="M70" i="14" s="1"/>
  <c r="Y70" i="14" s="1"/>
  <c r="L71" i="14"/>
  <c r="M71" i="14" s="1"/>
  <c r="Y71" i="14" s="1"/>
  <c r="L72" i="14"/>
  <c r="M72" i="14" s="1"/>
  <c r="Y72" i="14" s="1"/>
  <c r="L73" i="14"/>
  <c r="M73" i="14" s="1"/>
  <c r="Y73" i="14" s="1"/>
  <c r="L74" i="14"/>
  <c r="M74" i="14" s="1"/>
  <c r="Y74" i="14" s="1"/>
  <c r="L75" i="14"/>
  <c r="M75" i="14" s="1"/>
  <c r="Y75" i="14" s="1"/>
  <c r="L76" i="14"/>
  <c r="M76" i="14" s="1"/>
  <c r="Y76" i="14" s="1"/>
  <c r="L77" i="14"/>
  <c r="M77" i="14" s="1"/>
  <c r="Y77" i="14" s="1"/>
  <c r="L78" i="14"/>
  <c r="M78" i="14" s="1"/>
  <c r="Y78" i="14" s="1"/>
  <c r="L79" i="14"/>
  <c r="M79" i="14" s="1"/>
  <c r="Y79" i="14" s="1"/>
  <c r="L80" i="14"/>
  <c r="M80" i="14" s="1"/>
  <c r="Y80" i="14" s="1"/>
  <c r="L81" i="14"/>
  <c r="M81" i="14" s="1"/>
  <c r="Y81" i="14" s="1"/>
  <c r="L82" i="14"/>
  <c r="M82" i="14" s="1"/>
  <c r="Y82" i="14" s="1"/>
  <c r="L83" i="14"/>
  <c r="M83" i="14" s="1"/>
  <c r="Y83" i="14" s="1"/>
  <c r="L84" i="14"/>
  <c r="M84" i="14" s="1"/>
  <c r="Y84" i="14" s="1"/>
  <c r="L85" i="14"/>
  <c r="M85" i="14" s="1"/>
  <c r="Y85" i="14" s="1"/>
  <c r="L86" i="14"/>
  <c r="M86" i="14" s="1"/>
  <c r="Y86" i="14" s="1"/>
  <c r="L87" i="14"/>
  <c r="M87" i="14" s="1"/>
  <c r="Y87" i="14" s="1"/>
  <c r="L88" i="14"/>
  <c r="M88" i="14" s="1"/>
  <c r="Y88" i="14" s="1"/>
  <c r="L89" i="14"/>
  <c r="M89" i="14" s="1"/>
  <c r="Y89" i="14" s="1"/>
  <c r="L90" i="14"/>
  <c r="M90" i="14" s="1"/>
  <c r="Y90" i="14" s="1"/>
  <c r="L91" i="14"/>
  <c r="M91" i="14" s="1"/>
  <c r="Y91" i="14" s="1"/>
  <c r="L92" i="14"/>
  <c r="M92" i="14" s="1"/>
  <c r="Y92" i="14" s="1"/>
  <c r="L93" i="14"/>
  <c r="M93" i="14" s="1"/>
  <c r="Y93" i="14" s="1"/>
  <c r="L94" i="14"/>
  <c r="M94" i="14" s="1"/>
  <c r="Y94" i="14" s="1"/>
  <c r="L95" i="14"/>
  <c r="M95" i="14" s="1"/>
  <c r="Y95" i="14" s="1"/>
  <c r="L96" i="14"/>
  <c r="M96" i="14" s="1"/>
  <c r="Y96" i="14" s="1"/>
  <c r="L97" i="14"/>
  <c r="M97" i="14" s="1"/>
  <c r="Y97" i="14" s="1"/>
  <c r="L98" i="14"/>
  <c r="M98" i="14" s="1"/>
  <c r="Y98" i="14" s="1"/>
  <c r="L99" i="14"/>
  <c r="M99" i="14" s="1"/>
  <c r="Y99" i="14" s="1"/>
  <c r="L100" i="14"/>
  <c r="M100" i="14" s="1"/>
  <c r="Y100" i="14" s="1"/>
  <c r="L101" i="14"/>
  <c r="M101" i="14" s="1"/>
  <c r="Y101" i="14" s="1"/>
  <c r="L102" i="14"/>
  <c r="M102" i="14" s="1"/>
  <c r="Y102" i="14" s="1"/>
  <c r="L103" i="14"/>
  <c r="M103" i="14" s="1"/>
  <c r="Y103" i="14" s="1"/>
  <c r="L104" i="14"/>
  <c r="M104" i="14" s="1"/>
  <c r="Y104" i="14" s="1"/>
  <c r="L105" i="14"/>
  <c r="M105" i="14" s="1"/>
  <c r="Y105" i="14" s="1"/>
  <c r="L106" i="14"/>
  <c r="M106" i="14" s="1"/>
  <c r="Y106" i="14" s="1"/>
  <c r="L107" i="14"/>
  <c r="M107" i="14" s="1"/>
  <c r="Y107" i="14" s="1"/>
  <c r="L108" i="14"/>
  <c r="M108" i="14" s="1"/>
  <c r="Y108" i="14" s="1"/>
  <c r="L109" i="14"/>
  <c r="M109" i="14" s="1"/>
  <c r="Y109" i="14" s="1"/>
  <c r="L110" i="14"/>
  <c r="M110" i="14" s="1"/>
  <c r="Y110" i="14" s="1"/>
  <c r="L111" i="14"/>
  <c r="M111" i="14" s="1"/>
  <c r="Y111" i="14" s="1"/>
  <c r="L112" i="14"/>
  <c r="M112" i="14" s="1"/>
  <c r="Y112" i="14" s="1"/>
  <c r="L113" i="14"/>
  <c r="M113" i="14" s="1"/>
  <c r="Y113" i="14" s="1"/>
  <c r="L114" i="14"/>
  <c r="M114" i="14" s="1"/>
  <c r="Y114" i="14" s="1"/>
  <c r="L115" i="14"/>
  <c r="M115" i="14" s="1"/>
  <c r="Y115" i="14" s="1"/>
  <c r="L116" i="14"/>
  <c r="M116" i="14" s="1"/>
  <c r="Y116" i="14" s="1"/>
  <c r="L117" i="14"/>
  <c r="M117" i="14" s="1"/>
  <c r="Y117" i="14" s="1"/>
  <c r="L118" i="14"/>
  <c r="M118" i="14" s="1"/>
  <c r="Y118" i="14" s="1"/>
  <c r="L119" i="14"/>
  <c r="M119" i="14" s="1"/>
  <c r="Y119" i="14" s="1"/>
  <c r="L120" i="14"/>
  <c r="M120" i="14" s="1"/>
  <c r="Y120" i="14" s="1"/>
  <c r="L121" i="14"/>
  <c r="M121" i="14" s="1"/>
  <c r="Y121" i="14" s="1"/>
  <c r="L122" i="14"/>
  <c r="M122" i="14" s="1"/>
  <c r="Y122" i="14" s="1"/>
  <c r="L123" i="14"/>
  <c r="M123" i="14" s="1"/>
  <c r="Y123" i="14" s="1"/>
  <c r="L124" i="14"/>
  <c r="M124" i="14" s="1"/>
  <c r="Y124" i="14" s="1"/>
  <c r="L125" i="14"/>
  <c r="M125" i="14" s="1"/>
  <c r="Y125" i="14" s="1"/>
  <c r="L126" i="14"/>
  <c r="M126" i="14" s="1"/>
  <c r="Y126" i="14" s="1"/>
  <c r="L127" i="14"/>
  <c r="M127" i="14" s="1"/>
  <c r="Y127" i="14" s="1"/>
  <c r="L128" i="14"/>
  <c r="M128" i="14" s="1"/>
  <c r="Y128" i="14" s="1"/>
  <c r="L129" i="14"/>
  <c r="M129" i="14" s="1"/>
  <c r="Y129" i="14" s="1"/>
  <c r="L130" i="14"/>
  <c r="M130" i="14" s="1"/>
  <c r="Y130" i="14" s="1"/>
  <c r="L131" i="14"/>
  <c r="M131" i="14" s="1"/>
  <c r="Y131" i="14" s="1"/>
  <c r="L132" i="14"/>
  <c r="M132" i="14" s="1"/>
  <c r="Y132" i="14" s="1"/>
  <c r="L133" i="14"/>
  <c r="M133" i="14" s="1"/>
  <c r="Y133" i="14" s="1"/>
  <c r="L134" i="14"/>
  <c r="M134" i="14" s="1"/>
  <c r="Y134" i="14" s="1"/>
  <c r="L135" i="14"/>
  <c r="M135" i="14" s="1"/>
  <c r="Y135" i="14" s="1"/>
  <c r="L136" i="14"/>
  <c r="M136" i="14" s="1"/>
  <c r="Y136" i="14" s="1"/>
  <c r="L137" i="14"/>
  <c r="M137" i="14" s="1"/>
  <c r="Y137" i="14" s="1"/>
  <c r="L139" i="14"/>
  <c r="M139" i="14" s="1"/>
  <c r="Y139" i="14" s="1"/>
  <c r="L140" i="14"/>
  <c r="M140" i="14" s="1"/>
  <c r="Y140" i="14" s="1"/>
  <c r="L141" i="14"/>
  <c r="M141" i="14" s="1"/>
  <c r="Y141" i="14" s="1"/>
  <c r="L142" i="14"/>
  <c r="M142" i="14" s="1"/>
  <c r="Y142" i="14" s="1"/>
  <c r="L143" i="14"/>
  <c r="M143" i="14" s="1"/>
  <c r="Y143" i="14" s="1"/>
  <c r="L144" i="14"/>
  <c r="M144" i="14" s="1"/>
  <c r="Y144" i="14" s="1"/>
  <c r="L145" i="14"/>
  <c r="M145" i="14" s="1"/>
  <c r="Y145" i="14" s="1"/>
  <c r="L52" i="14"/>
  <c r="M52" i="14" s="1"/>
  <c r="L51" i="14"/>
  <c r="M51" i="14" s="1"/>
  <c r="H46" i="14"/>
  <c r="H47" i="14" s="1"/>
  <c r="D46" i="14"/>
  <c r="B46" i="14"/>
  <c r="BW2" i="21" s="1"/>
  <c r="L45" i="14"/>
  <c r="M45" i="14" s="1"/>
  <c r="Y45" i="14" s="1"/>
  <c r="E45" i="14"/>
  <c r="L44" i="14"/>
  <c r="M44" i="14" s="1"/>
  <c r="Y44" i="14" s="1"/>
  <c r="E44" i="14"/>
  <c r="L43" i="14"/>
  <c r="M43" i="14" s="1"/>
  <c r="X43" i="14" s="1"/>
  <c r="E43" i="14"/>
  <c r="H40" i="14"/>
  <c r="H41" i="14" s="1"/>
  <c r="D40" i="14"/>
  <c r="B40" i="14"/>
  <c r="BU2" i="21" s="1"/>
  <c r="L38" i="14"/>
  <c r="M38" i="14" s="1"/>
  <c r="E38" i="14"/>
  <c r="L39" i="14"/>
  <c r="M39" i="14" s="1"/>
  <c r="Y39" i="14" s="1"/>
  <c r="E39" i="14"/>
  <c r="AT37" i="14"/>
  <c r="AR37" i="14"/>
  <c r="AQ37" i="14"/>
  <c r="AP37" i="14"/>
  <c r="AO37" i="14"/>
  <c r="AL37" i="14"/>
  <c r="AG37" i="14"/>
  <c r="L37" i="14"/>
  <c r="M37" i="14" s="1"/>
  <c r="X37" i="14" s="1"/>
  <c r="AU37" i="14" s="1"/>
  <c r="E37" i="14"/>
  <c r="AF154" i="14" l="1"/>
  <c r="X154" i="14"/>
  <c r="Y535" i="14"/>
  <c r="Y480" i="14"/>
  <c r="AT480" i="14"/>
  <c r="X355" i="14"/>
  <c r="Y355" i="14" s="1"/>
  <c r="X356" i="14"/>
  <c r="Y356" i="14" s="1"/>
  <c r="X358" i="14"/>
  <c r="Y358" i="14" s="1"/>
  <c r="X54" i="14"/>
  <c r="Y54" i="14" s="1"/>
  <c r="X357" i="14"/>
  <c r="Y357" i="14" s="1"/>
  <c r="AK37" i="14"/>
  <c r="X254" i="14"/>
  <c r="Y254" i="14" s="1"/>
  <c r="AA51" i="14"/>
  <c r="X51" i="14"/>
  <c r="Y506" i="14"/>
  <c r="AU506" i="14"/>
  <c r="M151" i="14"/>
  <c r="Q8" i="9"/>
  <c r="Q9" i="9"/>
  <c r="Y438" i="14"/>
  <c r="AT438" i="14"/>
  <c r="Y439" i="14"/>
  <c r="AU439" i="14"/>
  <c r="H13" i="3"/>
  <c r="FF2" i="21" s="1"/>
  <c r="Y475" i="14"/>
  <c r="AT371" i="14"/>
  <c r="AF225" i="14"/>
  <c r="AK329" i="14"/>
  <c r="Y399" i="14"/>
  <c r="AU399" i="14"/>
  <c r="AF155" i="14"/>
  <c r="AK258" i="14"/>
  <c r="U40" i="14"/>
  <c r="H12" i="3"/>
  <c r="FE2" i="21" s="1"/>
  <c r="AA37" i="14"/>
  <c r="Y259" i="14"/>
  <c r="AS37" i="14"/>
  <c r="M46" i="14"/>
  <c r="C46" i="14"/>
  <c r="E46" i="14"/>
  <c r="BX2" i="21" s="1"/>
  <c r="W46" i="14"/>
  <c r="V46" i="14"/>
  <c r="U46" i="14"/>
  <c r="T46" i="14"/>
  <c r="S46" i="14"/>
  <c r="R46" i="14"/>
  <c r="Q46" i="14"/>
  <c r="P46" i="14"/>
  <c r="O46" i="14"/>
  <c r="N46" i="14"/>
  <c r="Y38" i="14"/>
  <c r="M40" i="14"/>
  <c r="W40" i="14"/>
  <c r="V40" i="14"/>
  <c r="T40" i="14"/>
  <c r="S40" i="14"/>
  <c r="R40" i="14"/>
  <c r="Q40" i="14"/>
  <c r="P40" i="14"/>
  <c r="O40" i="14"/>
  <c r="N40" i="14"/>
  <c r="C40" i="14"/>
  <c r="E40" i="14"/>
  <c r="BV2" i="21" s="1"/>
  <c r="L29" i="14"/>
  <c r="M29" i="14" s="1"/>
  <c r="L30" i="14"/>
  <c r="M30" i="14" s="1"/>
  <c r="L31" i="14"/>
  <c r="M31" i="14" s="1"/>
  <c r="Y31" i="14" s="1"/>
  <c r="L32" i="14"/>
  <c r="M32" i="14" s="1"/>
  <c r="Y32" i="14" s="1"/>
  <c r="L33" i="14"/>
  <c r="M33" i="14" s="1"/>
  <c r="Y33" i="14" s="1"/>
  <c r="L28" i="14"/>
  <c r="M28" i="14" s="1"/>
  <c r="X28" i="14" s="1"/>
  <c r="H34" i="14"/>
  <c r="H35" i="14" s="1"/>
  <c r="D34" i="14"/>
  <c r="B34" i="14"/>
  <c r="BS2" i="21" s="1"/>
  <c r="E33" i="14"/>
  <c r="E32" i="14"/>
  <c r="E31" i="14"/>
  <c r="E30" i="14"/>
  <c r="E29" i="14"/>
  <c r="E28" i="14"/>
  <c r="X151" i="14" l="1"/>
  <c r="Q7" i="9"/>
  <c r="S7" i="9" s="1"/>
  <c r="L80" i="6"/>
  <c r="S9" i="9"/>
  <c r="L78" i="6"/>
  <c r="S8" i="9"/>
  <c r="O34" i="14"/>
  <c r="X30" i="14"/>
  <c r="Y30" i="14" s="1"/>
  <c r="X29" i="14"/>
  <c r="Y29" i="14" s="1"/>
  <c r="Y51" i="14"/>
  <c r="AS51" i="14"/>
  <c r="I18" i="6"/>
  <c r="KF2" i="21" s="1"/>
  <c r="I19" i="6"/>
  <c r="KG2" i="21" s="1"/>
  <c r="Y37" i="14"/>
  <c r="X40" i="14"/>
  <c r="Y40" i="14" s="1"/>
  <c r="I12" i="3" s="1"/>
  <c r="AS53" i="14"/>
  <c r="Y53" i="14"/>
  <c r="H11" i="3"/>
  <c r="FD2" i="21" s="1"/>
  <c r="Y225" i="14"/>
  <c r="AT225" i="14"/>
  <c r="Y329" i="14"/>
  <c r="AU329" i="14"/>
  <c r="Y52" i="14"/>
  <c r="AS52" i="14"/>
  <c r="Y154" i="14"/>
  <c r="AT154" i="14"/>
  <c r="Y258" i="14"/>
  <c r="AU258" i="14"/>
  <c r="Y155" i="14"/>
  <c r="AT155" i="14"/>
  <c r="X46" i="14"/>
  <c r="Y46" i="14" s="1"/>
  <c r="I13" i="3" s="1"/>
  <c r="Y43" i="14"/>
  <c r="C34" i="14"/>
  <c r="M34" i="14"/>
  <c r="E34" i="14"/>
  <c r="W34" i="14"/>
  <c r="V34" i="14"/>
  <c r="U34" i="14"/>
  <c r="T34" i="14"/>
  <c r="S34" i="14"/>
  <c r="R34" i="14"/>
  <c r="Q34" i="14"/>
  <c r="P34" i="14"/>
  <c r="N34" i="14"/>
  <c r="BT2" i="21" l="1"/>
  <c r="N6" i="9"/>
  <c r="H15" i="3"/>
  <c r="FG2" i="21" s="1"/>
  <c r="K19" i="6"/>
  <c r="KS2" i="21" s="1"/>
  <c r="L19" i="6"/>
  <c r="LE2" i="21" s="1"/>
  <c r="K18" i="6"/>
  <c r="KR2" i="21" s="1"/>
  <c r="L18" i="6"/>
  <c r="LD2" i="21" s="1"/>
  <c r="X34" i="14"/>
  <c r="Y34" i="14" s="1"/>
  <c r="I11" i="3" s="1"/>
  <c r="L76" i="6"/>
  <c r="I17" i="6"/>
  <c r="KE2" i="21" s="1"/>
  <c r="Y28" i="14"/>
  <c r="E475" i="14"/>
  <c r="E476" i="14"/>
  <c r="E477" i="14"/>
  <c r="E478" i="14"/>
  <c r="E479" i="14"/>
  <c r="E480" i="14"/>
  <c r="E481" i="14"/>
  <c r="E482" i="14"/>
  <c r="E483" i="14"/>
  <c r="E484" i="14"/>
  <c r="E485" i="14"/>
  <c r="E486" i="14"/>
  <c r="E487" i="14"/>
  <c r="E488" i="14"/>
  <c r="E489" i="14"/>
  <c r="E490" i="14"/>
  <c r="E491" i="14"/>
  <c r="E492" i="14"/>
  <c r="E493" i="14"/>
  <c r="E494" i="14"/>
  <c r="E495" i="14"/>
  <c r="E496" i="14"/>
  <c r="E497" i="14"/>
  <c r="E498" i="14"/>
  <c r="E499" i="14"/>
  <c r="E441" i="14"/>
  <c r="E442" i="14"/>
  <c r="E443" i="14"/>
  <c r="E444" i="14"/>
  <c r="E445" i="14"/>
  <c r="E446" i="14"/>
  <c r="E447" i="14"/>
  <c r="E448" i="14"/>
  <c r="E449" i="14"/>
  <c r="E450" i="14"/>
  <c r="E451" i="14"/>
  <c r="E452" i="14"/>
  <c r="E453" i="14"/>
  <c r="E454" i="14"/>
  <c r="E455" i="14"/>
  <c r="E456" i="14"/>
  <c r="E457" i="14"/>
  <c r="E458" i="14"/>
  <c r="E459" i="14"/>
  <c r="E460" i="14"/>
  <c r="E461" i="14"/>
  <c r="E462" i="14"/>
  <c r="E463" i="14"/>
  <c r="E464" i="14"/>
  <c r="E465" i="14"/>
  <c r="E500" i="14"/>
  <c r="E501" i="14"/>
  <c r="E502" i="14"/>
  <c r="E503" i="14"/>
  <c r="E504" i="14"/>
  <c r="E506" i="14"/>
  <c r="E507" i="14"/>
  <c r="E508" i="14"/>
  <c r="D435" i="14"/>
  <c r="D424" i="14"/>
  <c r="B424" i="14"/>
  <c r="CO2" i="21" s="1"/>
  <c r="E423" i="14"/>
  <c r="E422" i="14"/>
  <c r="E421" i="14"/>
  <c r="E420" i="14"/>
  <c r="E419" i="14"/>
  <c r="E418" i="14"/>
  <c r="E417" i="14"/>
  <c r="E416" i="14"/>
  <c r="E415" i="14"/>
  <c r="E414" i="14"/>
  <c r="E413" i="14"/>
  <c r="E412" i="14"/>
  <c r="E411" i="14"/>
  <c r="E410" i="14"/>
  <c r="E409" i="14"/>
  <c r="E408" i="14"/>
  <c r="E407" i="14"/>
  <c r="E406" i="14"/>
  <c r="E405" i="14"/>
  <c r="E404" i="14"/>
  <c r="E403" i="14"/>
  <c r="E402" i="14"/>
  <c r="E401" i="14"/>
  <c r="E400" i="14"/>
  <c r="E399" i="14"/>
  <c r="H396" i="14"/>
  <c r="D396" i="14"/>
  <c r="B396" i="14"/>
  <c r="CM2" i="21" s="1"/>
  <c r="E395" i="14"/>
  <c r="E394" i="14"/>
  <c r="E393" i="14"/>
  <c r="E392" i="14"/>
  <c r="E391" i="14"/>
  <c r="E390" i="14"/>
  <c r="E389" i="14"/>
  <c r="E388" i="14"/>
  <c r="E387" i="14"/>
  <c r="E386" i="14"/>
  <c r="E385" i="14"/>
  <c r="E384" i="14"/>
  <c r="E383" i="14"/>
  <c r="E382" i="14"/>
  <c r="E381" i="14"/>
  <c r="E380" i="14"/>
  <c r="E379" i="14"/>
  <c r="E378" i="14"/>
  <c r="E377" i="14"/>
  <c r="E376" i="14"/>
  <c r="E375" i="14"/>
  <c r="E374" i="14"/>
  <c r="E373" i="14"/>
  <c r="E372" i="14"/>
  <c r="E371" i="14"/>
  <c r="E260" i="14"/>
  <c r="E261" i="14"/>
  <c r="E262" i="14"/>
  <c r="E263" i="14"/>
  <c r="E264" i="14"/>
  <c r="E265" i="14"/>
  <c r="E266" i="14"/>
  <c r="E267" i="14"/>
  <c r="E268" i="14"/>
  <c r="E269" i="14"/>
  <c r="E270" i="14"/>
  <c r="E271" i="14"/>
  <c r="E272" i="14"/>
  <c r="E273" i="14"/>
  <c r="E274" i="14"/>
  <c r="E275" i="14"/>
  <c r="E276" i="14"/>
  <c r="E277" i="14"/>
  <c r="E278" i="14"/>
  <c r="E279" i="14"/>
  <c r="E280" i="14"/>
  <c r="E281" i="14"/>
  <c r="E282" i="14"/>
  <c r="E283" i="14"/>
  <c r="E284" i="14"/>
  <c r="E285" i="14"/>
  <c r="E286" i="14"/>
  <c r="E287" i="14"/>
  <c r="E288" i="14"/>
  <c r="E289" i="14"/>
  <c r="E290" i="14"/>
  <c r="E291" i="14"/>
  <c r="E292" i="14"/>
  <c r="E293" i="14"/>
  <c r="E294" i="14"/>
  <c r="E295" i="14"/>
  <c r="E296" i="14"/>
  <c r="E297" i="14"/>
  <c r="E298" i="14"/>
  <c r="E299" i="14"/>
  <c r="E300" i="14"/>
  <c r="E301" i="14"/>
  <c r="E302" i="14"/>
  <c r="E303" i="14"/>
  <c r="E304" i="14"/>
  <c r="E305" i="14"/>
  <c r="E306" i="14"/>
  <c r="E307" i="14"/>
  <c r="E308" i="14"/>
  <c r="E309" i="14"/>
  <c r="E310" i="14"/>
  <c r="E311" i="14"/>
  <c r="E312" i="14"/>
  <c r="E313" i="14"/>
  <c r="E314" i="14"/>
  <c r="E315" i="14"/>
  <c r="E316" i="14"/>
  <c r="E317" i="14"/>
  <c r="E318" i="14"/>
  <c r="E319" i="14"/>
  <c r="E320" i="14"/>
  <c r="E321" i="14"/>
  <c r="E322" i="14"/>
  <c r="E323" i="14"/>
  <c r="E324" i="14"/>
  <c r="E325" i="14"/>
  <c r="E326" i="14"/>
  <c r="E327" i="14"/>
  <c r="E329" i="14"/>
  <c r="E330" i="14"/>
  <c r="E331" i="14"/>
  <c r="E332" i="14"/>
  <c r="E333" i="14"/>
  <c r="E334" i="14"/>
  <c r="E335" i="14"/>
  <c r="E336" i="14"/>
  <c r="E337" i="14"/>
  <c r="E338" i="14"/>
  <c r="E339" i="14"/>
  <c r="E340" i="14"/>
  <c r="E341" i="14"/>
  <c r="E342" i="14"/>
  <c r="E343" i="14"/>
  <c r="E344" i="14"/>
  <c r="E345" i="14"/>
  <c r="E228" i="14"/>
  <c r="E187" i="14"/>
  <c r="E188" i="14"/>
  <c r="E189" i="14"/>
  <c r="E190" i="14"/>
  <c r="E191" i="14"/>
  <c r="E192" i="14"/>
  <c r="E193" i="14"/>
  <c r="E194" i="14"/>
  <c r="E195" i="14"/>
  <c r="E196" i="14"/>
  <c r="E197" i="14"/>
  <c r="E198" i="14"/>
  <c r="E199" i="14"/>
  <c r="E200" i="14"/>
  <c r="E201" i="14"/>
  <c r="E202" i="14"/>
  <c r="E203" i="14"/>
  <c r="E204" i="14"/>
  <c r="E205" i="14"/>
  <c r="E170" i="14"/>
  <c r="H43" i="3" l="1"/>
  <c r="FR2" i="21" s="1"/>
  <c r="W396" i="14"/>
  <c r="O396" i="14"/>
  <c r="N396" i="14"/>
  <c r="T396" i="14"/>
  <c r="V396" i="14"/>
  <c r="U396" i="14"/>
  <c r="S396" i="14"/>
  <c r="Q396" i="14"/>
  <c r="P396" i="14"/>
  <c r="R396" i="14"/>
  <c r="M396" i="14"/>
  <c r="C396" i="14"/>
  <c r="I15" i="3"/>
  <c r="K17" i="6"/>
  <c r="KQ2" i="21" s="1"/>
  <c r="L17" i="6"/>
  <c r="LC2" i="21" s="1"/>
  <c r="B426" i="14"/>
  <c r="CQ2" i="21" s="1"/>
  <c r="D426" i="14"/>
  <c r="H44" i="3"/>
  <c r="FS2" i="21" s="1"/>
  <c r="H426" i="14"/>
  <c r="H427" i="14" s="1"/>
  <c r="C424" i="14"/>
  <c r="M424" i="14"/>
  <c r="E424" i="14"/>
  <c r="CP2" i="21" s="1"/>
  <c r="E396" i="14"/>
  <c r="CN2" i="21" s="1"/>
  <c r="C426" i="14" l="1"/>
  <c r="Q10" i="9"/>
  <c r="W426" i="14"/>
  <c r="V426" i="14"/>
  <c r="U426" i="14"/>
  <c r="T426" i="14"/>
  <c r="S426" i="14"/>
  <c r="R426" i="14"/>
  <c r="Q426" i="14"/>
  <c r="P426" i="14"/>
  <c r="O426" i="14"/>
  <c r="N426" i="14"/>
  <c r="M426" i="14"/>
  <c r="X424" i="14"/>
  <c r="X396" i="14"/>
  <c r="Y396" i="14" s="1"/>
  <c r="I43" i="3" s="1"/>
  <c r="L83" i="6" l="1"/>
  <c r="S10" i="9"/>
  <c r="X426" i="14"/>
  <c r="Y424" i="14"/>
  <c r="I44" i="3" s="1"/>
  <c r="B536" i="14" l="1"/>
  <c r="AC13" i="14"/>
  <c r="AD13" i="14"/>
  <c r="AE13" i="14"/>
  <c r="AF13" i="14"/>
  <c r="AB13" i="14"/>
  <c r="C536" i="14" l="1"/>
  <c r="CU2" i="21"/>
  <c r="AG13" i="14"/>
  <c r="AB19" i="14"/>
  <c r="AB17" i="14"/>
  <c r="AB15" i="14"/>
  <c r="AF19" i="14"/>
  <c r="AF17" i="14"/>
  <c r="AF15" i="14"/>
  <c r="AE19" i="14"/>
  <c r="AE17" i="14"/>
  <c r="AE15" i="14"/>
  <c r="AD19" i="14"/>
  <c r="AD17" i="14"/>
  <c r="AD15" i="14"/>
  <c r="AC19" i="14"/>
  <c r="AC17" i="14"/>
  <c r="AC15" i="14"/>
  <c r="A23" i="9"/>
  <c r="A24" i="9"/>
  <c r="A25" i="9"/>
  <c r="A26" i="9"/>
  <c r="A22" i="9"/>
  <c r="AG15" i="14" l="1"/>
  <c r="AG17" i="14"/>
  <c r="AG19" i="14"/>
  <c r="N366" i="14" s="1"/>
  <c r="G26" i="9"/>
  <c r="E26" i="9"/>
  <c r="C26" i="9"/>
  <c r="G25" i="9"/>
  <c r="E25" i="9"/>
  <c r="C25" i="9"/>
  <c r="G24" i="9"/>
  <c r="E24" i="9"/>
  <c r="C24" i="9"/>
  <c r="G23" i="9"/>
  <c r="E23" i="9"/>
  <c r="C23" i="9"/>
  <c r="C22" i="9"/>
  <c r="G22" i="9"/>
  <c r="E22" i="9"/>
  <c r="A27" i="9"/>
  <c r="B588" i="14"/>
  <c r="DH2" i="21" s="1"/>
  <c r="D587" i="14"/>
  <c r="DG2" i="21" s="1"/>
  <c r="D586" i="14"/>
  <c r="B359" i="14"/>
  <c r="CE2" i="21" s="1"/>
  <c r="D359" i="14"/>
  <c r="B435" i="14"/>
  <c r="CS2" i="21" s="1"/>
  <c r="D536" i="14"/>
  <c r="D569" i="14"/>
  <c r="B569" i="14"/>
  <c r="D582" i="14"/>
  <c r="B582" i="14"/>
  <c r="E579" i="14"/>
  <c r="E580" i="14"/>
  <c r="E581" i="14"/>
  <c r="E578" i="14"/>
  <c r="E577" i="14"/>
  <c r="E576" i="14"/>
  <c r="E575" i="14"/>
  <c r="E574" i="14"/>
  <c r="E573" i="14"/>
  <c r="E572" i="14"/>
  <c r="E568" i="14"/>
  <c r="E567" i="14"/>
  <c r="E566" i="14"/>
  <c r="E565" i="14"/>
  <c r="E564" i="14"/>
  <c r="E563" i="14"/>
  <c r="E562" i="14"/>
  <c r="E561" i="14"/>
  <c r="E560" i="14"/>
  <c r="E559" i="14"/>
  <c r="E558" i="14"/>
  <c r="E557" i="14"/>
  <c r="E556" i="14"/>
  <c r="E555" i="14"/>
  <c r="E554" i="14"/>
  <c r="E553" i="14"/>
  <c r="E552" i="14"/>
  <c r="E551" i="14"/>
  <c r="E550" i="14"/>
  <c r="E549" i="14"/>
  <c r="E548" i="14"/>
  <c r="E547" i="14"/>
  <c r="E546" i="14"/>
  <c r="E545" i="14"/>
  <c r="E544" i="14"/>
  <c r="E543" i="14"/>
  <c r="E542" i="14"/>
  <c r="E541" i="14"/>
  <c r="E540" i="14"/>
  <c r="E539" i="14"/>
  <c r="E526" i="14"/>
  <c r="E527" i="14"/>
  <c r="E528" i="14"/>
  <c r="E529" i="14"/>
  <c r="E530" i="14"/>
  <c r="E531" i="14"/>
  <c r="E532" i="14"/>
  <c r="E533" i="14"/>
  <c r="E534" i="14"/>
  <c r="E535" i="14"/>
  <c r="E525" i="14"/>
  <c r="E524" i="14"/>
  <c r="E523" i="14"/>
  <c r="E522" i="14"/>
  <c r="E521" i="14"/>
  <c r="E520" i="14"/>
  <c r="E519" i="14"/>
  <c r="E518" i="14"/>
  <c r="E517" i="14"/>
  <c r="E516" i="14"/>
  <c r="E515" i="14"/>
  <c r="E514" i="14"/>
  <c r="E513" i="14"/>
  <c r="E512" i="14"/>
  <c r="E511" i="14"/>
  <c r="E510" i="14"/>
  <c r="E509" i="14"/>
  <c r="E440" i="14"/>
  <c r="E439" i="14"/>
  <c r="E438" i="14"/>
  <c r="E434" i="14"/>
  <c r="E433" i="14"/>
  <c r="E432" i="14"/>
  <c r="E431" i="14"/>
  <c r="E430" i="14"/>
  <c r="E429" i="14"/>
  <c r="E348" i="14"/>
  <c r="E349" i="14"/>
  <c r="E350" i="14"/>
  <c r="E351" i="14"/>
  <c r="E352" i="14"/>
  <c r="E353" i="14"/>
  <c r="E354" i="14"/>
  <c r="E355" i="14"/>
  <c r="E356" i="14"/>
  <c r="E357" i="14"/>
  <c r="E358" i="14"/>
  <c r="E346" i="14"/>
  <c r="E259" i="14"/>
  <c r="E258" i="14"/>
  <c r="D255" i="14"/>
  <c r="B255" i="14"/>
  <c r="CB2" i="21" s="1"/>
  <c r="E155" i="14"/>
  <c r="E156" i="14"/>
  <c r="E157" i="14"/>
  <c r="E158" i="14"/>
  <c r="E159" i="14"/>
  <c r="E160" i="14"/>
  <c r="E161" i="14"/>
  <c r="E162" i="14"/>
  <c r="E163" i="14"/>
  <c r="E164" i="14"/>
  <c r="E165" i="14"/>
  <c r="E166" i="14"/>
  <c r="E167" i="14"/>
  <c r="E168" i="14"/>
  <c r="E169" i="14"/>
  <c r="E171" i="14"/>
  <c r="E172" i="14"/>
  <c r="E173" i="14"/>
  <c r="E174" i="14"/>
  <c r="E175" i="14"/>
  <c r="E176" i="14"/>
  <c r="E177" i="14"/>
  <c r="E178" i="14"/>
  <c r="E179" i="14"/>
  <c r="E180" i="14"/>
  <c r="E181" i="14"/>
  <c r="E182" i="14"/>
  <c r="E183" i="14"/>
  <c r="E184" i="14"/>
  <c r="E185" i="14"/>
  <c r="E186" i="14"/>
  <c r="E206" i="14"/>
  <c r="E207" i="14"/>
  <c r="E208" i="14"/>
  <c r="E209" i="14"/>
  <c r="E210" i="14"/>
  <c r="E211" i="14"/>
  <c r="E212" i="14"/>
  <c r="E213" i="14"/>
  <c r="E214" i="14"/>
  <c r="E215" i="14"/>
  <c r="E216" i="14"/>
  <c r="E217" i="14"/>
  <c r="E218" i="14"/>
  <c r="E219" i="14"/>
  <c r="E220" i="14"/>
  <c r="E221" i="14"/>
  <c r="E222" i="14"/>
  <c r="E223" i="14"/>
  <c r="E225" i="14"/>
  <c r="E226" i="14"/>
  <c r="E227" i="14"/>
  <c r="E229" i="14"/>
  <c r="E230" i="14"/>
  <c r="E231" i="14"/>
  <c r="E232" i="14"/>
  <c r="E233" i="14"/>
  <c r="E234" i="14"/>
  <c r="E235" i="14"/>
  <c r="E236" i="14"/>
  <c r="E237" i="14"/>
  <c r="E238" i="14"/>
  <c r="E239" i="14"/>
  <c r="E240" i="14"/>
  <c r="E241" i="14"/>
  <c r="E242" i="14"/>
  <c r="E243" i="14"/>
  <c r="E244" i="14"/>
  <c r="E245" i="14"/>
  <c r="E246" i="14"/>
  <c r="E247" i="14"/>
  <c r="E248" i="14"/>
  <c r="E249" i="14"/>
  <c r="E250" i="14"/>
  <c r="E251" i="14"/>
  <c r="E252" i="14"/>
  <c r="E253" i="14"/>
  <c r="E254" i="14"/>
  <c r="E154" i="14"/>
  <c r="E52" i="14"/>
  <c r="E53" i="14"/>
  <c r="E54" i="14"/>
  <c r="E55" i="14"/>
  <c r="E56" i="14"/>
  <c r="E57" i="14"/>
  <c r="E58" i="14"/>
  <c r="E59" i="14"/>
  <c r="E60" i="14"/>
  <c r="E61" i="14"/>
  <c r="E62" i="14"/>
  <c r="E63" i="14"/>
  <c r="E64" i="14"/>
  <c r="E65" i="14"/>
  <c r="E66" i="14"/>
  <c r="E67" i="14"/>
  <c r="E68" i="14"/>
  <c r="E69" i="14"/>
  <c r="E70" i="14"/>
  <c r="E71" i="14"/>
  <c r="E72" i="14"/>
  <c r="E73" i="14"/>
  <c r="E74" i="14"/>
  <c r="E75" i="14"/>
  <c r="E76" i="14"/>
  <c r="E77" i="14"/>
  <c r="E78" i="14"/>
  <c r="E79" i="14"/>
  <c r="E80" i="14"/>
  <c r="E81" i="14"/>
  <c r="E82" i="14"/>
  <c r="E83" i="14"/>
  <c r="E84" i="14"/>
  <c r="E85" i="14"/>
  <c r="E86" i="14"/>
  <c r="E87" i="14"/>
  <c r="E88" i="14"/>
  <c r="E89" i="14"/>
  <c r="E90" i="14"/>
  <c r="E91" i="14"/>
  <c r="E92" i="14"/>
  <c r="E93" i="14"/>
  <c r="E94" i="14"/>
  <c r="E95" i="14"/>
  <c r="E96" i="14"/>
  <c r="E97" i="14"/>
  <c r="E98" i="14"/>
  <c r="E99" i="14"/>
  <c r="E100" i="14"/>
  <c r="E101" i="14"/>
  <c r="E102" i="14"/>
  <c r="E103" i="14"/>
  <c r="E104" i="14"/>
  <c r="E105" i="14"/>
  <c r="E106" i="14"/>
  <c r="E107" i="14"/>
  <c r="E108" i="14"/>
  <c r="E109" i="14"/>
  <c r="E110" i="14"/>
  <c r="E111" i="14"/>
  <c r="E112" i="14"/>
  <c r="E113" i="14"/>
  <c r="E114" i="14"/>
  <c r="E115" i="14"/>
  <c r="E116" i="14"/>
  <c r="E117" i="14"/>
  <c r="E118" i="14"/>
  <c r="E119" i="14"/>
  <c r="E120" i="14"/>
  <c r="E121" i="14"/>
  <c r="E122" i="14"/>
  <c r="E123" i="14"/>
  <c r="E124" i="14"/>
  <c r="E125" i="14"/>
  <c r="E126" i="14"/>
  <c r="E127" i="14"/>
  <c r="E128" i="14"/>
  <c r="E129" i="14"/>
  <c r="E130" i="14"/>
  <c r="E131" i="14"/>
  <c r="E132" i="14"/>
  <c r="E133" i="14"/>
  <c r="E134" i="14"/>
  <c r="E135" i="14"/>
  <c r="E136" i="14"/>
  <c r="E137" i="14"/>
  <c r="E139" i="14"/>
  <c r="E140" i="14"/>
  <c r="E141" i="14"/>
  <c r="E142" i="14"/>
  <c r="E143" i="14"/>
  <c r="E144" i="14"/>
  <c r="E145" i="14"/>
  <c r="E146" i="14"/>
  <c r="E147" i="14"/>
  <c r="E148" i="14"/>
  <c r="E149" i="14"/>
  <c r="E150" i="14"/>
  <c r="E51" i="14"/>
  <c r="B6" i="14"/>
  <c r="A5" i="14"/>
  <c r="A4" i="14"/>
  <c r="C582" i="14" l="1"/>
  <c r="DB2" i="21"/>
  <c r="C569" i="14"/>
  <c r="CZ2" i="21"/>
  <c r="E588" i="14"/>
  <c r="DI2" i="21" s="1"/>
  <c r="DE2" i="21"/>
  <c r="AI18" i="14"/>
  <c r="AI20" i="14" s="1"/>
  <c r="I364" i="14"/>
  <c r="H30" i="3" s="1"/>
  <c r="FO2" i="21" s="1"/>
  <c r="N364" i="14"/>
  <c r="N365" i="14"/>
  <c r="AR17" i="14"/>
  <c r="AG20" i="14"/>
  <c r="AR19" i="14"/>
  <c r="H18" i="3"/>
  <c r="AH15" i="14"/>
  <c r="E359" i="14"/>
  <c r="CF2" i="21" s="1"/>
  <c r="D362" i="14"/>
  <c r="C359" i="14"/>
  <c r="B362" i="14"/>
  <c r="CH2" i="21" s="1"/>
  <c r="E426" i="14"/>
  <c r="CR2" i="21" s="1"/>
  <c r="C435" i="14"/>
  <c r="E435" i="14"/>
  <c r="CT2" i="21" s="1"/>
  <c r="E151" i="14"/>
  <c r="BZ2" i="21" s="1"/>
  <c r="G27" i="9"/>
  <c r="G36" i="3" s="1"/>
  <c r="EO2" i="21" s="1"/>
  <c r="C27" i="9"/>
  <c r="G30" i="3" s="1"/>
  <c r="EM2" i="21" s="1"/>
  <c r="E27" i="9"/>
  <c r="G33" i="3" s="1"/>
  <c r="EN2" i="21" s="1"/>
  <c r="C255" i="14"/>
  <c r="E255" i="14"/>
  <c r="CC2" i="21" s="1"/>
  <c r="E582" i="14"/>
  <c r="DC2" i="21" s="1"/>
  <c r="E569" i="14"/>
  <c r="DA2" i="21" s="1"/>
  <c r="E536" i="14"/>
  <c r="CV2" i="21" s="1"/>
  <c r="FH2" i="21" l="1"/>
  <c r="P6" i="9"/>
  <c r="AR20" i="14"/>
  <c r="C362" i="14"/>
  <c r="O364" i="14"/>
  <c r="D31" i="3" s="1"/>
  <c r="H29" i="3"/>
  <c r="I22" i="6"/>
  <c r="KH2" i="21" s="1"/>
  <c r="H27" i="9"/>
  <c r="M22" i="6"/>
  <c r="LO2" i="21" s="1"/>
  <c r="E362" i="14"/>
  <c r="CI2" i="21" s="1"/>
  <c r="L46" i="9" l="1"/>
  <c r="K46" i="9" s="1"/>
  <c r="K22" i="6"/>
  <c r="KT2" i="21" s="1"/>
  <c r="L22" i="6"/>
  <c r="LF2" i="21" s="1"/>
  <c r="O6" i="9"/>
  <c r="Q6" i="9" l="1"/>
  <c r="S6" i="9" s="1"/>
  <c r="L74" i="6" l="1"/>
  <c r="V588" i="14"/>
  <c r="I39" i="6" l="1"/>
  <c r="Y588" i="14"/>
  <c r="HI2" i="21"/>
  <c r="LW2" i="21" l="1"/>
  <c r="L39" i="6"/>
  <c r="LN2" i="21" s="1"/>
  <c r="K39" i="6"/>
  <c r="LB2" i="21" s="1"/>
  <c r="KP2" i="21"/>
  <c r="G6" i="14"/>
  <c r="G4" i="14"/>
  <c r="I597" i="14" l="1"/>
  <c r="K597" i="14"/>
  <c r="J596" i="14"/>
  <c r="H596" i="14"/>
  <c r="G596" i="14"/>
  <c r="K605" i="14" l="1"/>
  <c r="F7" i="1" l="1"/>
  <c r="B37" i="9"/>
  <c r="B36" i="9"/>
  <c r="B35" i="9"/>
  <c r="B34" i="9"/>
  <c r="B33" i="9"/>
  <c r="N151" i="14"/>
  <c r="H255" i="14"/>
  <c r="H359" i="14"/>
  <c r="H46" i="3"/>
  <c r="FT2" i="21" s="1"/>
  <c r="H435" i="14"/>
  <c r="H536" i="14"/>
  <c r="H569" i="14"/>
  <c r="H582" i="14"/>
  <c r="H60" i="3" s="1"/>
  <c r="GE2" i="21" s="1"/>
  <c r="C48" i="7"/>
  <c r="H53" i="1"/>
  <c r="M4" i="8"/>
  <c r="L4" i="8"/>
  <c r="R4" i="7"/>
  <c r="P4" i="7"/>
  <c r="L4" i="6"/>
  <c r="N4" i="6"/>
  <c r="L4" i="4"/>
  <c r="J4" i="4"/>
  <c r="J4" i="3"/>
  <c r="I4" i="3"/>
  <c r="A4" i="3"/>
  <c r="Y1" i="14"/>
  <c r="X1" i="14"/>
  <c r="E4" i="2"/>
  <c r="F4" i="2"/>
  <c r="B4" i="1"/>
  <c r="D7" i="1"/>
  <c r="L10" i="7"/>
  <c r="N10" i="7"/>
  <c r="P10" i="7"/>
  <c r="R10" i="7"/>
  <c r="N6" i="7"/>
  <c r="L6" i="7"/>
  <c r="R6" i="7" s="1"/>
  <c r="E23" i="2"/>
  <c r="L49" i="4"/>
  <c r="JE2" i="21" s="1"/>
  <c r="L43" i="4"/>
  <c r="IV2" i="21" s="1"/>
  <c r="L22" i="4"/>
  <c r="IL2" i="21" s="1"/>
  <c r="L21" i="4"/>
  <c r="IK2" i="21" s="1"/>
  <c r="L23" i="4"/>
  <c r="IM2" i="21" s="1"/>
  <c r="IN2" i="21"/>
  <c r="IO2" i="21"/>
  <c r="L24" i="4"/>
  <c r="IP2" i="21" s="1"/>
  <c r="L25" i="4"/>
  <c r="IQ2" i="21" s="1"/>
  <c r="L26" i="4"/>
  <c r="IR2" i="21" s="1"/>
  <c r="L27" i="4"/>
  <c r="IS2" i="21" s="1"/>
  <c r="L28" i="4"/>
  <c r="IT2" i="21" s="1"/>
  <c r="L44" i="4"/>
  <c r="IW2" i="21" s="1"/>
  <c r="L45" i="4"/>
  <c r="IX2" i="21" s="1"/>
  <c r="L46" i="4"/>
  <c r="IY2" i="21" s="1"/>
  <c r="L47" i="4"/>
  <c r="JA2" i="21" s="1"/>
  <c r="L48" i="4"/>
  <c r="JC2" i="21" s="1"/>
  <c r="J10" i="7"/>
  <c r="I77" i="3"/>
  <c r="U62" i="7"/>
  <c r="S62" i="7"/>
  <c r="J29" i="4"/>
  <c r="D6" i="7"/>
  <c r="D6" i="2"/>
  <c r="A1" i="3"/>
  <c r="B46" i="7"/>
  <c r="B45" i="7"/>
  <c r="B44" i="7"/>
  <c r="B43" i="7"/>
  <c r="C46" i="7"/>
  <c r="C45" i="7"/>
  <c r="C44" i="7"/>
  <c r="C43" i="7"/>
  <c r="C40" i="7"/>
  <c r="C39" i="7"/>
  <c r="C38" i="7"/>
  <c r="C37" i="7"/>
  <c r="C36" i="7"/>
  <c r="C35" i="7"/>
  <c r="C34" i="7"/>
  <c r="C33" i="7"/>
  <c r="A1" i="2"/>
  <c r="A1" i="7"/>
  <c r="A1" i="6"/>
  <c r="A1" i="4"/>
  <c r="G8" i="3"/>
  <c r="C39" i="2"/>
  <c r="AW2" i="21" s="1"/>
  <c r="E16" i="2"/>
  <c r="E29" i="2" s="1"/>
  <c r="EU2" i="21"/>
  <c r="D39" i="2"/>
  <c r="BC2" i="21" s="1"/>
  <c r="A3" i="2"/>
  <c r="C47" i="7"/>
  <c r="H436" i="14" l="1"/>
  <c r="J71" i="4"/>
  <c r="MR2" i="21" s="1"/>
  <c r="D54" i="7"/>
  <c r="Q11" i="9"/>
  <c r="FU2" i="21"/>
  <c r="I365" i="14"/>
  <c r="O365" i="14" s="1"/>
  <c r="AH19" i="14"/>
  <c r="CG2" i="21"/>
  <c r="CD2" i="21"/>
  <c r="CY2" i="21"/>
  <c r="CA2" i="21"/>
  <c r="CX2" i="21"/>
  <c r="CW2" i="21"/>
  <c r="Q5" i="9"/>
  <c r="Q4" i="9"/>
  <c r="I46" i="3"/>
  <c r="H47" i="3"/>
  <c r="A505" i="14"/>
  <c r="A474" i="14"/>
  <c r="F505" i="14"/>
  <c r="F474" i="14"/>
  <c r="AS468" i="14"/>
  <c r="AS469" i="14"/>
  <c r="AS470" i="14"/>
  <c r="AS471" i="14"/>
  <c r="AS472" i="14"/>
  <c r="AS473" i="14"/>
  <c r="AP468" i="14"/>
  <c r="AP469" i="14"/>
  <c r="AP470" i="14"/>
  <c r="AP471" i="14"/>
  <c r="AP472" i="14"/>
  <c r="AP473" i="14"/>
  <c r="AP467" i="14"/>
  <c r="AE468" i="14"/>
  <c r="AE469" i="14"/>
  <c r="AE470" i="14"/>
  <c r="AE471" i="14"/>
  <c r="AE472" i="14"/>
  <c r="AE473" i="14"/>
  <c r="AE467" i="14"/>
  <c r="AD468" i="14"/>
  <c r="AD469" i="14"/>
  <c r="AD470" i="14"/>
  <c r="AD471" i="14"/>
  <c r="AD472" i="14"/>
  <c r="AD473" i="14"/>
  <c r="AD467" i="14"/>
  <c r="AC468" i="14"/>
  <c r="AC469" i="14"/>
  <c r="AC470" i="14"/>
  <c r="AC471" i="14"/>
  <c r="AC472" i="14"/>
  <c r="AC473" i="14"/>
  <c r="AC467" i="14"/>
  <c r="AB468" i="14"/>
  <c r="AB469" i="14"/>
  <c r="AB470" i="14"/>
  <c r="AB471" i="14"/>
  <c r="AB472" i="14"/>
  <c r="AB473" i="14"/>
  <c r="AB467" i="14"/>
  <c r="AA468" i="14"/>
  <c r="AA469" i="14"/>
  <c r="AA470" i="14"/>
  <c r="AA471" i="14"/>
  <c r="AA472" i="14"/>
  <c r="AA473" i="14"/>
  <c r="AS467" i="14"/>
  <c r="AA467" i="14"/>
  <c r="L29" i="4"/>
  <c r="J63" i="4" s="1"/>
  <c r="L50" i="4"/>
  <c r="H35" i="9"/>
  <c r="D35" i="9"/>
  <c r="F35" i="9"/>
  <c r="H36" i="9"/>
  <c r="D36" i="9"/>
  <c r="F36" i="9"/>
  <c r="H37" i="9"/>
  <c r="D37" i="9"/>
  <c r="F37" i="9"/>
  <c r="H34" i="9"/>
  <c r="D34" i="9"/>
  <c r="F34" i="9"/>
  <c r="H33" i="9"/>
  <c r="D33" i="9"/>
  <c r="F33" i="9"/>
  <c r="I36" i="6"/>
  <c r="I28" i="6"/>
  <c r="KK2" i="21" s="1"/>
  <c r="JV2" i="21"/>
  <c r="N435" i="14"/>
  <c r="H48" i="3"/>
  <c r="AQ572" i="14"/>
  <c r="H599" i="14" s="1"/>
  <c r="DU2" i="21" s="1"/>
  <c r="H20" i="3"/>
  <c r="AH17" i="14"/>
  <c r="H22" i="3"/>
  <c r="FL2" i="21" s="1"/>
  <c r="N569" i="14"/>
  <c r="H58" i="3"/>
  <c r="GD2" i="21" s="1"/>
  <c r="N536" i="14"/>
  <c r="H51" i="3"/>
  <c r="H56" i="3" s="1"/>
  <c r="M582" i="14"/>
  <c r="I366" i="14"/>
  <c r="O366" i="14" s="1"/>
  <c r="H362" i="14"/>
  <c r="N359" i="14"/>
  <c r="A3" i="8"/>
  <c r="D47" i="7"/>
  <c r="D46" i="7"/>
  <c r="D45" i="7"/>
  <c r="D44" i="7"/>
  <c r="D40" i="7"/>
  <c r="D39" i="7"/>
  <c r="D38" i="7"/>
  <c r="D37" i="7"/>
  <c r="D36" i="7"/>
  <c r="D43" i="7"/>
  <c r="D49" i="7"/>
  <c r="B4" i="2"/>
  <c r="C49" i="7"/>
  <c r="M536" i="14"/>
  <c r="D35" i="7"/>
  <c r="D34" i="7"/>
  <c r="D33" i="7"/>
  <c r="U33" i="7" s="1"/>
  <c r="U32" i="7" s="1"/>
  <c r="C53" i="7"/>
  <c r="P6" i="7"/>
  <c r="M48" i="4"/>
  <c r="JY2" i="21" s="1"/>
  <c r="P359" i="14"/>
  <c r="W582" i="14"/>
  <c r="N582" i="14"/>
  <c r="A3" i="4"/>
  <c r="A3" i="3"/>
  <c r="O255" i="14"/>
  <c r="N255" i="14"/>
  <c r="D48" i="7"/>
  <c r="P11" i="7"/>
  <c r="L53" i="4"/>
  <c r="KD2" i="21" s="1"/>
  <c r="O359" i="14"/>
  <c r="E10" i="7"/>
  <c r="L11" i="7"/>
  <c r="K54" i="7" s="1"/>
  <c r="J11" i="7"/>
  <c r="F29" i="2"/>
  <c r="JJ2" i="21"/>
  <c r="M21" i="4"/>
  <c r="JG2" i="21" s="1"/>
  <c r="M43" i="4"/>
  <c r="JR2" i="21" s="1"/>
  <c r="F11" i="2"/>
  <c r="N8" i="7"/>
  <c r="P8" i="7" s="1"/>
  <c r="JK2" i="21"/>
  <c r="M49" i="4"/>
  <c r="KA2" i="21" s="1"/>
  <c r="M22" i="4"/>
  <c r="JH2" i="21" s="1"/>
  <c r="M46" i="4"/>
  <c r="JU2" i="21" s="1"/>
  <c r="M47" i="4"/>
  <c r="JW2" i="21" s="1"/>
  <c r="M24" i="4"/>
  <c r="JL2" i="21" s="1"/>
  <c r="M27" i="4"/>
  <c r="JO2" i="21" s="1"/>
  <c r="M45" i="4"/>
  <c r="JT2" i="21" s="1"/>
  <c r="M44" i="4"/>
  <c r="JS2" i="21" s="1"/>
  <c r="M23" i="4"/>
  <c r="JI2" i="21" s="1"/>
  <c r="M26" i="4"/>
  <c r="JN2" i="21" s="1"/>
  <c r="M28" i="4"/>
  <c r="JP2" i="21" s="1"/>
  <c r="M25" i="4"/>
  <c r="JM2" i="21" s="1"/>
  <c r="R11" i="7"/>
  <c r="N11" i="7"/>
  <c r="O151" i="14"/>
  <c r="B4" i="7"/>
  <c r="D4" i="6"/>
  <c r="C4" i="3"/>
  <c r="B4" i="4"/>
  <c r="B4" i="8"/>
  <c r="A3" i="6"/>
  <c r="A3" i="7"/>
  <c r="O435" i="14"/>
  <c r="P435" i="14"/>
  <c r="Q435" i="14"/>
  <c r="R435" i="14"/>
  <c r="S435" i="14"/>
  <c r="T435" i="14"/>
  <c r="U435" i="14"/>
  <c r="V435" i="14"/>
  <c r="W435" i="14"/>
  <c r="M435" i="14"/>
  <c r="Q359" i="14"/>
  <c r="R359" i="14"/>
  <c r="S359" i="14"/>
  <c r="T359" i="14"/>
  <c r="U359" i="14"/>
  <c r="V359" i="14"/>
  <c r="W359" i="14"/>
  <c r="T536" i="14"/>
  <c r="V536" i="14"/>
  <c r="W536" i="14"/>
  <c r="S536" i="14"/>
  <c r="O536" i="14"/>
  <c r="U536" i="14"/>
  <c r="R536" i="14"/>
  <c r="P536" i="14"/>
  <c r="Q536" i="14"/>
  <c r="M359" i="14"/>
  <c r="M255" i="14"/>
  <c r="M569" i="14"/>
  <c r="O569" i="14"/>
  <c r="P569" i="14"/>
  <c r="Q569" i="14"/>
  <c r="R569" i="14"/>
  <c r="S569" i="14"/>
  <c r="T569" i="14"/>
  <c r="U569" i="14"/>
  <c r="V569" i="14"/>
  <c r="W569" i="14"/>
  <c r="T151" i="14"/>
  <c r="Q151" i="14"/>
  <c r="R151" i="14"/>
  <c r="S151" i="14"/>
  <c r="B38" i="9"/>
  <c r="X582" i="14"/>
  <c r="O582" i="14"/>
  <c r="P582" i="14"/>
  <c r="Q582" i="14"/>
  <c r="R582" i="14"/>
  <c r="S582" i="14"/>
  <c r="T582" i="14"/>
  <c r="U582" i="14"/>
  <c r="V582" i="14"/>
  <c r="P255" i="14"/>
  <c r="Q255" i="14"/>
  <c r="R255" i="14"/>
  <c r="S255" i="14"/>
  <c r="T255" i="14"/>
  <c r="U255" i="14"/>
  <c r="V255" i="14"/>
  <c r="W255" i="14"/>
  <c r="U151" i="14"/>
  <c r="V151" i="14"/>
  <c r="P151" i="14"/>
  <c r="W151" i="14"/>
  <c r="AD572" i="14" l="1"/>
  <c r="K44" i="7"/>
  <c r="L44" i="7" s="1"/>
  <c r="AC572" i="14"/>
  <c r="AA572" i="14"/>
  <c r="AB572" i="14"/>
  <c r="K45" i="7"/>
  <c r="L45" i="7" s="1"/>
  <c r="AE572" i="14"/>
  <c r="I44" i="7"/>
  <c r="J44" i="7" s="1"/>
  <c r="S11" i="9"/>
  <c r="L85" i="6"/>
  <c r="S4" i="9"/>
  <c r="D42" i="7"/>
  <c r="JF2" i="21"/>
  <c r="J64" i="4"/>
  <c r="IU2" i="21"/>
  <c r="S5" i="9"/>
  <c r="FJ2" i="21"/>
  <c r="H25" i="3"/>
  <c r="FN2" i="21" s="1"/>
  <c r="L72" i="6"/>
  <c r="H32" i="3"/>
  <c r="AI16" i="14"/>
  <c r="O367" i="14" s="1"/>
  <c r="KO2" i="21"/>
  <c r="L36" i="6"/>
  <c r="LM2" i="21" s="1"/>
  <c r="K36" i="6"/>
  <c r="LA2" i="21" s="1"/>
  <c r="O36" i="6"/>
  <c r="LV2" i="21" s="1"/>
  <c r="HJ2" i="21"/>
  <c r="FV2" i="21"/>
  <c r="FW2" i="21"/>
  <c r="GB2" i="21"/>
  <c r="FX2" i="21"/>
  <c r="M50" i="4"/>
  <c r="KB2" i="21" s="1"/>
  <c r="M29" i="4"/>
  <c r="JQ2" i="21" s="1"/>
  <c r="AL9" i="14"/>
  <c r="L28" i="6"/>
  <c r="LI2" i="21" s="1"/>
  <c r="O28" i="6"/>
  <c r="LR2" i="21" s="1"/>
  <c r="O35" i="7"/>
  <c r="P35" i="7" s="1"/>
  <c r="H44" i="7"/>
  <c r="G44" i="7"/>
  <c r="G36" i="7"/>
  <c r="H36" i="7"/>
  <c r="H45" i="7"/>
  <c r="G45" i="7"/>
  <c r="G43" i="7"/>
  <c r="H43" i="7"/>
  <c r="G38" i="7"/>
  <c r="H38" i="7"/>
  <c r="G37" i="7"/>
  <c r="H37" i="7"/>
  <c r="H46" i="7"/>
  <c r="G46" i="7"/>
  <c r="G48" i="7"/>
  <c r="H48" i="7"/>
  <c r="H33" i="7"/>
  <c r="G33" i="7"/>
  <c r="G47" i="7"/>
  <c r="H47" i="7"/>
  <c r="H39" i="7"/>
  <c r="G39" i="7"/>
  <c r="H34" i="7"/>
  <c r="G34" i="7"/>
  <c r="I43" i="7"/>
  <c r="J43" i="7" s="1"/>
  <c r="G49" i="7"/>
  <c r="H49" i="7"/>
  <c r="G40" i="7"/>
  <c r="H40" i="7"/>
  <c r="H35" i="7"/>
  <c r="G35" i="7"/>
  <c r="D30" i="7"/>
  <c r="O30" i="7" s="1"/>
  <c r="P30" i="7" s="1"/>
  <c r="AP572" i="14"/>
  <c r="G599" i="14" s="1"/>
  <c r="DT2" i="21" s="1"/>
  <c r="AS572" i="14"/>
  <c r="K28" i="6"/>
  <c r="KW2" i="21" s="1"/>
  <c r="S48" i="7"/>
  <c r="T48" i="7" s="1"/>
  <c r="D32" i="7"/>
  <c r="S35" i="7"/>
  <c r="S49" i="7"/>
  <c r="T49" i="7" s="1"/>
  <c r="S37" i="7"/>
  <c r="T37" i="7" s="1"/>
  <c r="S38" i="7"/>
  <c r="T38" i="7" s="1"/>
  <c r="S39" i="7"/>
  <c r="T39" i="7" s="1"/>
  <c r="S40" i="7"/>
  <c r="T40" i="7" s="1"/>
  <c r="S44" i="7"/>
  <c r="T44" i="7" s="1"/>
  <c r="S45" i="7"/>
  <c r="T45" i="7" s="1"/>
  <c r="S46" i="7"/>
  <c r="T46" i="7" s="1"/>
  <c r="S47" i="7"/>
  <c r="T47" i="7" s="1"/>
  <c r="I37" i="9"/>
  <c r="I36" i="9"/>
  <c r="I35" i="9"/>
  <c r="AL19" i="14"/>
  <c r="AL17" i="14"/>
  <c r="AL15" i="14"/>
  <c r="AQ13" i="14"/>
  <c r="AM19" i="14"/>
  <c r="AM17" i="14"/>
  <c r="AM15" i="14"/>
  <c r="AN19" i="14"/>
  <c r="AN17" i="14"/>
  <c r="AN15" i="14"/>
  <c r="AO19" i="14"/>
  <c r="AO17" i="14"/>
  <c r="AO15" i="14"/>
  <c r="AP19" i="14"/>
  <c r="AP17" i="14"/>
  <c r="AP15" i="14"/>
  <c r="L70" i="6"/>
  <c r="K46" i="7"/>
  <c r="L46" i="7" s="1"/>
  <c r="I34" i="9"/>
  <c r="I33" i="9"/>
  <c r="I34" i="6"/>
  <c r="I24" i="6"/>
  <c r="KJ2" i="21" s="1"/>
  <c r="I23" i="6"/>
  <c r="KI2" i="21" s="1"/>
  <c r="I30" i="6"/>
  <c r="H57" i="3"/>
  <c r="S43" i="7"/>
  <c r="AK572" i="14"/>
  <c r="AR572" i="14"/>
  <c r="J599" i="14" s="1"/>
  <c r="DV2" i="21" s="1"/>
  <c r="AG572" i="14"/>
  <c r="AG573" i="14" s="1"/>
  <c r="AL572" i="14"/>
  <c r="AN572" i="14"/>
  <c r="AF572" i="14"/>
  <c r="AF573" i="14" s="1"/>
  <c r="AO572" i="14"/>
  <c r="AI572" i="14"/>
  <c r="AI573" i="14" s="1"/>
  <c r="AT572" i="14"/>
  <c r="AM572" i="14"/>
  <c r="AJ572" i="14"/>
  <c r="AJ573" i="14" s="1"/>
  <c r="AH572" i="14"/>
  <c r="AH573" i="14" s="1"/>
  <c r="AU572" i="14"/>
  <c r="H33" i="3"/>
  <c r="FP2" i="21" s="1"/>
  <c r="I368" i="14"/>
  <c r="Q15" i="9" s="1"/>
  <c r="H36" i="3"/>
  <c r="FQ2" i="21" s="1"/>
  <c r="AH20" i="14"/>
  <c r="H35" i="3"/>
  <c r="D37" i="3"/>
  <c r="N362" i="14"/>
  <c r="O362" i="14"/>
  <c r="P362" i="14"/>
  <c r="Q362" i="14"/>
  <c r="R362" i="14"/>
  <c r="S362" i="14"/>
  <c r="T362" i="14"/>
  <c r="U362" i="14"/>
  <c r="V362" i="14"/>
  <c r="W362" i="14"/>
  <c r="M362" i="14"/>
  <c r="Q48" i="7"/>
  <c r="R48" i="7" s="1"/>
  <c r="O54" i="7"/>
  <c r="P54" i="7" s="1"/>
  <c r="O45" i="7"/>
  <c r="P45" i="7" s="1"/>
  <c r="O44" i="7"/>
  <c r="P44" i="7" s="1"/>
  <c r="O40" i="7"/>
  <c r="P40" i="7" s="1"/>
  <c r="O39" i="7"/>
  <c r="P39" i="7" s="1"/>
  <c r="O43" i="7"/>
  <c r="P43" i="7" s="1"/>
  <c r="O48" i="7"/>
  <c r="P48" i="7" s="1"/>
  <c r="O36" i="7"/>
  <c r="P36" i="7" s="1"/>
  <c r="O47" i="7"/>
  <c r="P47" i="7" s="1"/>
  <c r="O34" i="7"/>
  <c r="P34" i="7" s="1"/>
  <c r="O37" i="7"/>
  <c r="P37" i="7" s="1"/>
  <c r="O38" i="7"/>
  <c r="P38" i="7" s="1"/>
  <c r="K36" i="7"/>
  <c r="L36" i="7" s="1"/>
  <c r="X255" i="14"/>
  <c r="Y255" i="14" s="1"/>
  <c r="I20" i="3" s="1"/>
  <c r="O46" i="7"/>
  <c r="P46" i="7" s="1"/>
  <c r="O49" i="7"/>
  <c r="P49" i="7" s="1"/>
  <c r="K49" i="7"/>
  <c r="L49" i="7" s="1"/>
  <c r="K37" i="7"/>
  <c r="L37" i="7" s="1"/>
  <c r="I45" i="7"/>
  <c r="J45" i="7" s="1"/>
  <c r="I48" i="7"/>
  <c r="J48" i="7" s="1"/>
  <c r="K39" i="7"/>
  <c r="L39" i="7" s="1"/>
  <c r="I34" i="7"/>
  <c r="J34" i="7" s="1"/>
  <c r="I49" i="7"/>
  <c r="J49" i="7" s="1"/>
  <c r="K34" i="7"/>
  <c r="L34" i="7" s="1"/>
  <c r="I39" i="7"/>
  <c r="J39" i="7" s="1"/>
  <c r="K43" i="7"/>
  <c r="L43" i="7" s="1"/>
  <c r="K47" i="7"/>
  <c r="L47" i="7" s="1"/>
  <c r="I46" i="7"/>
  <c r="J46" i="7" s="1"/>
  <c r="K40" i="7"/>
  <c r="L40" i="7" s="1"/>
  <c r="K38" i="7"/>
  <c r="L38" i="7" s="1"/>
  <c r="K35" i="7"/>
  <c r="L35" i="7" s="1"/>
  <c r="I38" i="7"/>
  <c r="J38" i="7" s="1"/>
  <c r="I36" i="7"/>
  <c r="J36" i="7" s="1"/>
  <c r="I35" i="7"/>
  <c r="K48" i="7"/>
  <c r="L48" i="7" s="1"/>
  <c r="I47" i="7"/>
  <c r="J47" i="7" s="1"/>
  <c r="I37" i="7"/>
  <c r="J37" i="7" s="1"/>
  <c r="V33" i="7"/>
  <c r="V32" i="7" s="1"/>
  <c r="V58" i="7" s="1"/>
  <c r="V62" i="7" s="1"/>
  <c r="I40" i="7"/>
  <c r="J40" i="7" s="1"/>
  <c r="Q39" i="7"/>
  <c r="R39" i="7" s="1"/>
  <c r="Q38" i="7"/>
  <c r="R38" i="7" s="1"/>
  <c r="Q37" i="7"/>
  <c r="R37" i="7" s="1"/>
  <c r="Q44" i="7"/>
  <c r="R44" i="7" s="1"/>
  <c r="Q49" i="7"/>
  <c r="R49" i="7" s="1"/>
  <c r="Q40" i="7"/>
  <c r="R40" i="7" s="1"/>
  <c r="Q46" i="7"/>
  <c r="R46" i="7" s="1"/>
  <c r="Q35" i="7"/>
  <c r="R35" i="7" s="1"/>
  <c r="Q45" i="7"/>
  <c r="R45" i="7" s="1"/>
  <c r="Q34" i="7"/>
  <c r="Q36" i="7"/>
  <c r="R36" i="7" s="1"/>
  <c r="Q54" i="7"/>
  <c r="R54" i="7" s="1"/>
  <c r="Q47" i="7"/>
  <c r="R47" i="7" s="1"/>
  <c r="Q43" i="7"/>
  <c r="R43" i="7" s="1"/>
  <c r="M40" i="7"/>
  <c r="N40" i="7" s="1"/>
  <c r="M37" i="7"/>
  <c r="M47" i="7"/>
  <c r="N47" i="7" s="1"/>
  <c r="M49" i="7"/>
  <c r="M46" i="7"/>
  <c r="M39" i="7"/>
  <c r="N39" i="7" s="1"/>
  <c r="M36" i="7"/>
  <c r="M34" i="7"/>
  <c r="M43" i="7"/>
  <c r="M45" i="7"/>
  <c r="N45" i="7" s="1"/>
  <c r="F11" i="7"/>
  <c r="M35" i="7"/>
  <c r="N35" i="7" s="1"/>
  <c r="M48" i="7"/>
  <c r="N48" i="7" s="1"/>
  <c r="M54" i="7"/>
  <c r="N54" i="7" s="1"/>
  <c r="M38" i="7"/>
  <c r="M44" i="7"/>
  <c r="N44" i="7" s="1"/>
  <c r="E11" i="7"/>
  <c r="X536" i="14"/>
  <c r="Y536" i="14" s="1"/>
  <c r="I56" i="3" s="1"/>
  <c r="X435" i="14"/>
  <c r="Y435" i="14" s="1"/>
  <c r="I48" i="3" s="1"/>
  <c r="X569" i="14"/>
  <c r="Y569" i="14" s="1"/>
  <c r="I58" i="3" s="1"/>
  <c r="X359" i="14"/>
  <c r="Y582" i="14"/>
  <c r="I60" i="3" s="1"/>
  <c r="S15" i="9" l="1"/>
  <c r="Q16" i="9"/>
  <c r="J35" i="7"/>
  <c r="E35" i="7"/>
  <c r="I30" i="7"/>
  <c r="J30" i="7" s="1"/>
  <c r="K30" i="7"/>
  <c r="L30" i="7" s="1"/>
  <c r="KL2" i="21"/>
  <c r="L30" i="6"/>
  <c r="LJ2" i="21" s="1"/>
  <c r="K30" i="6"/>
  <c r="KX2" i="21" s="1"/>
  <c r="LS2" i="21"/>
  <c r="I32" i="6"/>
  <c r="O32" i="6" s="1"/>
  <c r="LT2" i="21" s="1"/>
  <c r="KN2" i="21"/>
  <c r="K34" i="6"/>
  <c r="KZ2" i="21" s="1"/>
  <c r="L34" i="6"/>
  <c r="LL2" i="21" s="1"/>
  <c r="O34" i="6"/>
  <c r="LU2" i="21" s="1"/>
  <c r="K24" i="6"/>
  <c r="KV2" i="21" s="1"/>
  <c r="L23" i="6"/>
  <c r="LG2" i="21" s="1"/>
  <c r="K23" i="6"/>
  <c r="KU2" i="21" s="1"/>
  <c r="AK9" i="14"/>
  <c r="M24" i="6"/>
  <c r="LQ2" i="21" s="1"/>
  <c r="M23" i="6"/>
  <c r="LP2" i="21" s="1"/>
  <c r="J32" i="7"/>
  <c r="L93" i="6"/>
  <c r="AB573" i="14"/>
  <c r="AN573" i="14"/>
  <c r="AL573" i="14"/>
  <c r="AO573" i="14"/>
  <c r="AM573" i="14"/>
  <c r="H32" i="7"/>
  <c r="G32" i="7"/>
  <c r="G42" i="7"/>
  <c r="H42" i="7"/>
  <c r="AE573" i="14"/>
  <c r="G30" i="7"/>
  <c r="H30" i="7"/>
  <c r="AA573" i="14"/>
  <c r="S30" i="7"/>
  <c r="T30" i="7" s="1"/>
  <c r="M30" i="7"/>
  <c r="N30" i="7" s="1"/>
  <c r="Q30" i="7"/>
  <c r="R30" i="7" s="1"/>
  <c r="AC573" i="14"/>
  <c r="AD573" i="14"/>
  <c r="J38" i="9"/>
  <c r="K38" i="9" s="1"/>
  <c r="I26" i="6"/>
  <c r="L24" i="6"/>
  <c r="LH2" i="21" s="1"/>
  <c r="S32" i="7"/>
  <c r="T35" i="7"/>
  <c r="T32" i="7" s="1"/>
  <c r="AM9" i="14"/>
  <c r="G600" i="14"/>
  <c r="DW2" i="21" s="1"/>
  <c r="AQ15" i="14"/>
  <c r="C364" i="14" s="1"/>
  <c r="CJ2" i="21" s="1"/>
  <c r="AQ17" i="14"/>
  <c r="C365" i="14" s="1"/>
  <c r="CK2" i="21" s="1"/>
  <c r="AQ19" i="14"/>
  <c r="C366" i="14" s="1"/>
  <c r="CL2" i="21" s="1"/>
  <c r="L54" i="7"/>
  <c r="E54" i="7"/>
  <c r="I38" i="9"/>
  <c r="T43" i="7"/>
  <c r="T42" i="7" s="1"/>
  <c r="S42" i="7"/>
  <c r="E34" i="7"/>
  <c r="I64" i="6"/>
  <c r="MF2" i="21" s="1"/>
  <c r="AF574" i="14"/>
  <c r="H595" i="14" s="1"/>
  <c r="H597" i="14" s="1"/>
  <c r="DR2" i="21" s="1"/>
  <c r="D34" i="3"/>
  <c r="Y359" i="14"/>
  <c r="X362" i="14"/>
  <c r="Y362" i="14" s="1"/>
  <c r="Y426" i="14"/>
  <c r="P32" i="7"/>
  <c r="O32" i="7"/>
  <c r="J42" i="7"/>
  <c r="P42" i="7"/>
  <c r="I42" i="7"/>
  <c r="O42" i="7"/>
  <c r="K42" i="7"/>
  <c r="L42" i="7"/>
  <c r="K32" i="7"/>
  <c r="I32" i="7"/>
  <c r="R42" i="7"/>
  <c r="L32" i="7"/>
  <c r="Q32" i="7"/>
  <c r="R34" i="7"/>
  <c r="R32" i="7" s="1"/>
  <c r="E45" i="7"/>
  <c r="E44" i="7"/>
  <c r="E43" i="7"/>
  <c r="E47" i="7"/>
  <c r="Q42" i="7"/>
  <c r="E40" i="7"/>
  <c r="N43" i="7"/>
  <c r="M42" i="7"/>
  <c r="N37" i="7"/>
  <c r="E37" i="7"/>
  <c r="N34" i="7"/>
  <c r="M32" i="7"/>
  <c r="N36" i="7"/>
  <c r="E36" i="7"/>
  <c r="E39" i="7"/>
  <c r="N38" i="7"/>
  <c r="E38" i="7"/>
  <c r="N46" i="7"/>
  <c r="E46" i="7"/>
  <c r="E48" i="7"/>
  <c r="N49" i="7"/>
  <c r="E49" i="7"/>
  <c r="AK573" i="14"/>
  <c r="H605" i="14"/>
  <c r="DZ2" i="21" s="1"/>
  <c r="I605" i="14"/>
  <c r="J605" i="14"/>
  <c r="EA2" i="21" s="1"/>
  <c r="G605" i="14"/>
  <c r="DY2" i="21" s="1"/>
  <c r="Y151" i="14"/>
  <c r="I18" i="3" s="1"/>
  <c r="AA574" i="14" l="1"/>
  <c r="G595" i="14" s="1"/>
  <c r="G597" i="14" s="1"/>
  <c r="DQ2" i="21" s="1"/>
  <c r="L32" i="6"/>
  <c r="LK2" i="21" s="1"/>
  <c r="K32" i="6"/>
  <c r="KY2" i="21" s="1"/>
  <c r="KM2" i="21"/>
  <c r="J33" i="9"/>
  <c r="K33" i="9" s="1"/>
  <c r="K26" i="6"/>
  <c r="AH9" i="14"/>
  <c r="AP9" i="14"/>
  <c r="AO9" i="14"/>
  <c r="L26" i="6"/>
  <c r="AN9" i="14"/>
  <c r="L48" i="9"/>
  <c r="K48" i="9" s="1"/>
  <c r="K52" i="9" s="1"/>
  <c r="K54" i="9" s="1"/>
  <c r="AK574" i="14"/>
  <c r="J595" i="14" s="1"/>
  <c r="J597" i="14" s="1"/>
  <c r="DS2" i="21" s="1"/>
  <c r="E30" i="7"/>
  <c r="J37" i="9"/>
  <c r="K37" i="9" s="1"/>
  <c r="J36" i="9"/>
  <c r="K36" i="9" s="1"/>
  <c r="J35" i="9"/>
  <c r="K35" i="9" s="1"/>
  <c r="J34" i="9"/>
  <c r="K34" i="9" s="1"/>
  <c r="O64" i="6"/>
  <c r="MJ2" i="21" s="1"/>
  <c r="G601" i="14"/>
  <c r="J601" i="14"/>
  <c r="H601" i="14"/>
  <c r="AQ20" i="14"/>
  <c r="E32" i="7"/>
  <c r="O73" i="6"/>
  <c r="I22" i="3"/>
  <c r="I25" i="3" s="1"/>
  <c r="I64" i="3" s="1"/>
  <c r="N42" i="7"/>
  <c r="N32" i="7"/>
  <c r="E42" i="7"/>
  <c r="I74" i="3" l="1"/>
  <c r="GN2" i="21" s="1"/>
  <c r="AG9" i="14"/>
  <c r="J39" i="9"/>
  <c r="G603" i="14"/>
  <c r="DX2" i="21" s="1"/>
  <c r="AI9" i="14"/>
  <c r="I72" i="3" l="1"/>
  <c r="AJ9" i="14"/>
  <c r="J76" i="3"/>
  <c r="GQ2" i="21" s="1"/>
  <c r="GL2" i="21" l="1"/>
  <c r="J18" i="3"/>
  <c r="GV2" i="21" s="1"/>
  <c r="J13" i="3"/>
  <c r="GT2" i="21" s="1"/>
  <c r="J43" i="3"/>
  <c r="GZ2" i="21" s="1"/>
  <c r="J15" i="3"/>
  <c r="GU2" i="21" s="1"/>
  <c r="J11" i="3"/>
  <c r="GR2" i="21" s="1"/>
  <c r="J20" i="3"/>
  <c r="GW2" i="21" s="1"/>
  <c r="J22" i="3"/>
  <c r="GX2" i="21" s="1"/>
  <c r="J12" i="3"/>
  <c r="GS2" i="21" s="1"/>
  <c r="J25" i="3"/>
  <c r="GY2" i="21" s="1"/>
  <c r="J44" i="3"/>
  <c r="HA2" i="21" s="1"/>
  <c r="HD2" i="21"/>
  <c r="HC2" i="21"/>
  <c r="D25" i="7"/>
  <c r="D28" i="7"/>
  <c r="D27" i="7"/>
  <c r="D29" i="7"/>
  <c r="D26" i="7"/>
  <c r="D24" i="7"/>
  <c r="D23" i="7"/>
  <c r="D22" i="7"/>
  <c r="D20" i="7"/>
  <c r="D19" i="7"/>
  <c r="I19" i="7" s="1"/>
  <c r="D18" i="7"/>
  <c r="I18" i="7" s="1"/>
  <c r="J18" i="7" s="1"/>
  <c r="J56" i="3"/>
  <c r="HF2" i="21" s="1"/>
  <c r="J46" i="3"/>
  <c r="J58" i="3"/>
  <c r="HG2" i="21" s="1"/>
  <c r="J60" i="3"/>
  <c r="HH2" i="21" s="1"/>
  <c r="J48" i="3"/>
  <c r="HE2" i="21" l="1"/>
  <c r="J60" i="4"/>
  <c r="HB2" i="21"/>
  <c r="J59" i="4"/>
  <c r="Q22" i="7"/>
  <c r="R22" i="7" s="1"/>
  <c r="O22" i="7"/>
  <c r="P22" i="7" s="1"/>
  <c r="M22" i="7"/>
  <c r="N22" i="7" s="1"/>
  <c r="K22" i="7"/>
  <c r="L22" i="7" s="1"/>
  <c r="I22" i="7"/>
  <c r="J22" i="7" s="1"/>
  <c r="I23" i="7"/>
  <c r="J23" i="7" s="1"/>
  <c r="M23" i="7"/>
  <c r="N23" i="7" s="1"/>
  <c r="K23" i="7"/>
  <c r="L23" i="7" s="1"/>
  <c r="Q23" i="7"/>
  <c r="R23" i="7" s="1"/>
  <c r="O23" i="7"/>
  <c r="P23" i="7" s="1"/>
  <c r="M24" i="7"/>
  <c r="N24" i="7" s="1"/>
  <c r="K24" i="7"/>
  <c r="L24" i="7" s="1"/>
  <c r="I24" i="7"/>
  <c r="J24" i="7" s="1"/>
  <c r="Q24" i="7"/>
  <c r="R24" i="7" s="1"/>
  <c r="O24" i="7"/>
  <c r="P24" i="7" s="1"/>
  <c r="J64" i="3"/>
  <c r="J58" i="4" s="1"/>
  <c r="MK2" i="21" s="1"/>
  <c r="D16" i="7"/>
  <c r="G23" i="7"/>
  <c r="H23" i="7"/>
  <c r="G18" i="7"/>
  <c r="H18" i="7"/>
  <c r="G24" i="7"/>
  <c r="H24" i="7"/>
  <c r="H20" i="7"/>
  <c r="G20" i="7"/>
  <c r="H22" i="7"/>
  <c r="G22" i="7"/>
  <c r="H27" i="7"/>
  <c r="G27" i="7"/>
  <c r="G19" i="7"/>
  <c r="H19" i="7"/>
  <c r="G26" i="7"/>
  <c r="H26" i="7"/>
  <c r="G29" i="7"/>
  <c r="H29" i="7"/>
  <c r="H28" i="7"/>
  <c r="G28" i="7"/>
  <c r="G25" i="7"/>
  <c r="H25" i="7"/>
  <c r="D17" i="7"/>
  <c r="D21" i="7"/>
  <c r="I26" i="7"/>
  <c r="K26" i="7"/>
  <c r="L26" i="7" s="1"/>
  <c r="W25" i="7"/>
  <c r="X25" i="7" s="1"/>
  <c r="X58" i="7" s="1"/>
  <c r="Q18" i="7"/>
  <c r="R18" i="7" s="1"/>
  <c r="O18" i="7"/>
  <c r="P18" i="7" s="1"/>
  <c r="M18" i="7"/>
  <c r="K18" i="7"/>
  <c r="L18" i="7" s="1"/>
  <c r="Q19" i="7"/>
  <c r="R19" i="7" s="1"/>
  <c r="O19" i="7"/>
  <c r="P19" i="7" s="1"/>
  <c r="M19" i="7"/>
  <c r="N19" i="7" s="1"/>
  <c r="K19" i="7"/>
  <c r="J19" i="7"/>
  <c r="Q20" i="7"/>
  <c r="R20" i="7" s="1"/>
  <c r="O20" i="7"/>
  <c r="P20" i="7" s="1"/>
  <c r="M20" i="7"/>
  <c r="N20" i="7" s="1"/>
  <c r="K20" i="7"/>
  <c r="L20" i="7" s="1"/>
  <c r="I20" i="7"/>
  <c r="S26" i="7"/>
  <c r="T26" i="7" s="1"/>
  <c r="S29" i="7"/>
  <c r="T29" i="7" s="1"/>
  <c r="I29" i="7"/>
  <c r="K29" i="7"/>
  <c r="L29" i="7" s="1"/>
  <c r="M29" i="7"/>
  <c r="N29" i="7" s="1"/>
  <c r="O29" i="7"/>
  <c r="P29" i="7" s="1"/>
  <c r="Q29" i="7"/>
  <c r="R29" i="7" s="1"/>
  <c r="S27" i="7"/>
  <c r="T27" i="7" s="1"/>
  <c r="I27" i="7"/>
  <c r="K27" i="7"/>
  <c r="L27" i="7" s="1"/>
  <c r="M27" i="7"/>
  <c r="N27" i="7" s="1"/>
  <c r="O27" i="7"/>
  <c r="P27" i="7" s="1"/>
  <c r="Q27" i="7"/>
  <c r="R27" i="7" s="1"/>
  <c r="S28" i="7"/>
  <c r="T28" i="7" s="1"/>
  <c r="I28" i="7"/>
  <c r="K28" i="7"/>
  <c r="L28" i="7" s="1"/>
  <c r="M28" i="7"/>
  <c r="N28" i="7" s="1"/>
  <c r="O28" i="7"/>
  <c r="P28" i="7" s="1"/>
  <c r="Q28" i="7"/>
  <c r="R28" i="7" s="1"/>
  <c r="M26" i="7"/>
  <c r="O26" i="7"/>
  <c r="Q26" i="7"/>
  <c r="J62" i="4" l="1"/>
  <c r="ML2" i="21" s="1"/>
  <c r="J26" i="7"/>
  <c r="E26" i="7"/>
  <c r="T16" i="7"/>
  <c r="X62" i="7"/>
  <c r="O58" i="6" s="1"/>
  <c r="MH2" i="21" s="1"/>
  <c r="E20" i="7"/>
  <c r="J20" i="7"/>
  <c r="E19" i="7"/>
  <c r="G16" i="7"/>
  <c r="H16" i="7"/>
  <c r="G17" i="7"/>
  <c r="H17" i="7"/>
  <c r="H21" i="7"/>
  <c r="G21" i="7"/>
  <c r="I58" i="6"/>
  <c r="MD2" i="21" s="1"/>
  <c r="E18" i="7"/>
  <c r="K16" i="7"/>
  <c r="S16" i="7"/>
  <c r="I16" i="7"/>
  <c r="J28" i="7"/>
  <c r="E28" i="7"/>
  <c r="J27" i="7"/>
  <c r="E27" i="7"/>
  <c r="J29" i="7"/>
  <c r="E29" i="7"/>
  <c r="L19" i="7"/>
  <c r="L16" i="7" s="1"/>
  <c r="R26" i="7"/>
  <c r="R16" i="7" s="1"/>
  <c r="Q16" i="7"/>
  <c r="P26" i="7"/>
  <c r="P16" i="7" s="1"/>
  <c r="O16" i="7"/>
  <c r="N26" i="7"/>
  <c r="M16" i="7"/>
  <c r="E23" i="7"/>
  <c r="E22" i="7"/>
  <c r="E24" i="7"/>
  <c r="N18" i="7"/>
  <c r="J66" i="4" l="1"/>
  <c r="MM2" i="21" s="1"/>
  <c r="L68" i="4"/>
  <c r="J16" i="7"/>
  <c r="E16" i="7"/>
  <c r="F16" i="7" s="1"/>
  <c r="N16" i="7"/>
  <c r="MO2" i="21" l="1"/>
  <c r="L74" i="4"/>
  <c r="MT2" i="21" l="1"/>
  <c r="D51" i="7"/>
  <c r="M55" i="7"/>
  <c r="E55" i="7" s="1"/>
  <c r="K51" i="7" l="1"/>
  <c r="L51" i="7" s="1"/>
  <c r="I51" i="7"/>
  <c r="H51" i="7"/>
  <c r="G51" i="7"/>
  <c r="S51" i="7"/>
  <c r="T51" i="7" s="1"/>
  <c r="T58" i="7" s="1"/>
  <c r="Q51" i="7"/>
  <c r="R51" i="7" s="1"/>
  <c r="R53" i="7" s="1"/>
  <c r="Q53" i="7" s="1"/>
  <c r="Q55" i="7" s="1"/>
  <c r="M51" i="7"/>
  <c r="N51" i="7" s="1"/>
  <c r="N53" i="7" s="1"/>
  <c r="M53" i="7" s="1"/>
  <c r="O51" i="7"/>
  <c r="P51" i="7" s="1"/>
  <c r="P53" i="7" s="1"/>
  <c r="O53" i="7" s="1"/>
  <c r="O55" i="7" s="1"/>
  <c r="N55" i="7"/>
  <c r="N58" i="7" s="1"/>
  <c r="I52" i="6" s="1"/>
  <c r="P55" i="7"/>
  <c r="P58" i="7" s="1"/>
  <c r="I54" i="6" s="1"/>
  <c r="L55" i="7"/>
  <c r="J60" i="7" s="1"/>
  <c r="I62" i="6" l="1"/>
  <c r="ME2" i="21" s="1"/>
  <c r="T62" i="7"/>
  <c r="O62" i="6" s="1"/>
  <c r="MI2" i="21" s="1"/>
  <c r="E51" i="7"/>
  <c r="J51" i="7"/>
  <c r="L53" i="7"/>
  <c r="K53" i="7" s="1"/>
  <c r="I43" i="6"/>
  <c r="LX2" i="21" s="1"/>
  <c r="L58" i="7"/>
  <c r="J53" i="7" s="1"/>
  <c r="J58" i="7" s="1"/>
  <c r="MB2" i="21"/>
  <c r="MA2" i="21"/>
  <c r="K55" i="7" l="1"/>
  <c r="D53" i="7"/>
  <c r="D55" i="7" s="1"/>
  <c r="R55" i="7" s="1"/>
  <c r="R58" i="7" s="1"/>
  <c r="I56" i="6" s="1"/>
  <c r="MC2" i="21" s="1"/>
  <c r="I50" i="6"/>
  <c r="LZ2" i="21" s="1"/>
  <c r="J62" i="7"/>
  <c r="O48" i="6" s="1"/>
  <c r="MG2" i="21" s="1"/>
  <c r="I53" i="7"/>
  <c r="E53" i="7" s="1"/>
  <c r="I48" i="6" l="1"/>
  <c r="LY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tc={52FAB2DC-2376-4696-83C8-70C7FDC6591E}</author>
    <author>tc={50AF0ADC-763C-4A86-87FD-60A90A72E33F}</author>
  </authors>
  <commentList>
    <comment ref="N6" authorId="0" shapeId="0" xr:uid="{00000000-0006-0000-08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wenn keine PK für PDL ... dann = 1, ansonsten 0</t>
      </text>
    </comment>
    <comment ref="Q6" authorId="1" shapeId="0" xr:uid="{00000000-0006-0000-08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wenn die Summe von N6:P6 = 0, dann wurden in diesen Bereichen die PK angegeben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tc={55EFD9E9-8079-4CF0-897F-D9106CDB53D1}</author>
  </authors>
  <commentList>
    <comment ref="F16" authorId="0" shapeId="0" xr:uid="{00000000-0006-0000-09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PK mit 43b</t>
      </text>
    </comment>
  </commentList>
</comments>
</file>

<file path=xl/sharedStrings.xml><?xml version="1.0" encoding="utf-8"?>
<sst xmlns="http://schemas.openxmlformats.org/spreadsheetml/2006/main" count="1705" uniqueCount="1309">
  <si>
    <t>Aufforderung zum Abschluss einer Pflegesatzvereinbarung gemäß §§ 84, 85 SGB XI</t>
  </si>
  <si>
    <t>Allgemeine Angaben</t>
  </si>
  <si>
    <t>Art der Einrichtung:</t>
  </si>
  <si>
    <t>Wohnpflegeheim</t>
  </si>
  <si>
    <t>Allgemeine Angaben zur Pflegeeinrichtung und zum Träger</t>
  </si>
  <si>
    <t>Name der Einrichtung</t>
  </si>
  <si>
    <t>Straße</t>
  </si>
  <si>
    <t>Telefon</t>
  </si>
  <si>
    <t>Fax</t>
  </si>
  <si>
    <t>E-Mail</t>
  </si>
  <si>
    <t>PDL</t>
  </si>
  <si>
    <t>In Trägerschaft von:</t>
  </si>
  <si>
    <t>Name des Trägers</t>
  </si>
  <si>
    <t>Zugehörigkeit zu einer Vereinigung von Trägern von stationären Pflegeeinrichtungen im Land</t>
  </si>
  <si>
    <t>Wenn ja, welche?</t>
  </si>
  <si>
    <t>Hiermit erteilen wir o.g. Vereinigung Verhandlungsmandat</t>
  </si>
  <si>
    <t>Platzzahl der Pflegeeinrichtung entsprechend des Versorgungsvertrages:</t>
  </si>
  <si>
    <t>Pflegeeinrichtungskonzeption Stand:</t>
  </si>
  <si>
    <t>Vereinbarungszeitraum :</t>
  </si>
  <si>
    <t>von</t>
  </si>
  <si>
    <t>bis</t>
  </si>
  <si>
    <t>AOK PLUS</t>
  </si>
  <si>
    <t>vdek</t>
  </si>
  <si>
    <t>BKK</t>
  </si>
  <si>
    <t>IKK</t>
  </si>
  <si>
    <t>Knappschaft</t>
  </si>
  <si>
    <t>PKV</t>
  </si>
  <si>
    <t>Sonstige Sozialversicherungsträger</t>
  </si>
  <si>
    <t>Belegungsdaten</t>
  </si>
  <si>
    <t>jährliche Öffnungstage:</t>
  </si>
  <si>
    <t>Prognose ab:</t>
  </si>
  <si>
    <t>Pflegegrad</t>
  </si>
  <si>
    <t>Pflegebedürftige</t>
  </si>
  <si>
    <t>Summe</t>
  </si>
  <si>
    <t>Plätze:</t>
  </si>
  <si>
    <t>(Prognose)</t>
  </si>
  <si>
    <t>Wachkoma</t>
  </si>
  <si>
    <t>Personalstruktur der Einrichtung</t>
  </si>
  <si>
    <t>Vollkräfte</t>
  </si>
  <si>
    <t>Gesamt</t>
  </si>
  <si>
    <t xml:space="preserve"> € / Jahr / je VK</t>
  </si>
  <si>
    <t>(Stichtag)</t>
  </si>
  <si>
    <t>1.</t>
  </si>
  <si>
    <t>2.</t>
  </si>
  <si>
    <t>Küche</t>
  </si>
  <si>
    <t>Haustechnik</t>
  </si>
  <si>
    <t>Zusätzliche Betreuung und Aktivierung</t>
  </si>
  <si>
    <t xml:space="preserve">nach § 43b SGB XI </t>
  </si>
  <si>
    <t xml:space="preserve">Um die Lesbarkeit zu vereinfachen wird auf die zusätzliche Formulierung der weiblichen Form verzichtet. Es wird darauf hingewiesen, </t>
  </si>
  <si>
    <t>dass die ausschließliche Verwendung der männlichen Form explizit als geschlechtsunabhängig verstanden werden soll.</t>
  </si>
  <si>
    <t>Wäscherei</t>
  </si>
  <si>
    <t>Reinigung</t>
  </si>
  <si>
    <t>€ / Tag</t>
  </si>
  <si>
    <t>Erläuterung s. Anlage</t>
  </si>
  <si>
    <t>Prognose</t>
  </si>
  <si>
    <t>€</t>
  </si>
  <si>
    <t>2.1</t>
  </si>
  <si>
    <t>Lebensmittel</t>
  </si>
  <si>
    <t>2.2</t>
  </si>
  <si>
    <t>Pflegerischer Bedarf</t>
  </si>
  <si>
    <t>2.3</t>
  </si>
  <si>
    <t>Wasser, Energie, Brennstoffe</t>
  </si>
  <si>
    <t>2.4</t>
  </si>
  <si>
    <t>2.5</t>
  </si>
  <si>
    <t>2.6</t>
  </si>
  <si>
    <t>Betreuungsaufwand</t>
  </si>
  <si>
    <t>2.7</t>
  </si>
  <si>
    <t>Wirtschaftsbedarf</t>
  </si>
  <si>
    <t>2.8</t>
  </si>
  <si>
    <t>Steuern/Abgaben/Versicherungen</t>
  </si>
  <si>
    <t>Wartung (keine Instandhaltung)</t>
  </si>
  <si>
    <t>sonstige Aufwendungen</t>
  </si>
  <si>
    <t xml:space="preserve">Gesamtsumme </t>
  </si>
  <si>
    <t>Erläuterung     s. Anlage</t>
  </si>
  <si>
    <t xml:space="preserve">Prognose </t>
  </si>
  <si>
    <t>3.1</t>
  </si>
  <si>
    <r>
      <rPr>
        <sz val="10"/>
        <color theme="1"/>
        <rFont val="Arial"/>
        <family val="2"/>
      </rPr>
      <t>Küche</t>
    </r>
    <r>
      <rPr>
        <sz val="11"/>
        <color theme="1"/>
        <rFont val="Arial"/>
        <family val="2"/>
      </rPr>
      <t xml:space="preserve"> </t>
    </r>
    <r>
      <rPr>
        <sz val="7"/>
        <rFont val="Arial"/>
        <family val="2"/>
      </rPr>
      <t>(ohne Pkt. 2.1)</t>
    </r>
  </si>
  <si>
    <t>3.2</t>
  </si>
  <si>
    <t>3.3</t>
  </si>
  <si>
    <t>3.4</t>
  </si>
  <si>
    <t>3.5</t>
  </si>
  <si>
    <t>3.6</t>
  </si>
  <si>
    <t>Divisor:</t>
  </si>
  <si>
    <t xml:space="preserve"> </t>
  </si>
  <si>
    <t>Forderungen des Trägers der Pflegeeinrichtung</t>
  </si>
  <si>
    <t>Pflegegrad 1</t>
  </si>
  <si>
    <t>Pflegegrad 2</t>
  </si>
  <si>
    <t>Pflegegrad 3</t>
  </si>
  <si>
    <t>Pflegegrad 4</t>
  </si>
  <si>
    <t>Pflegegrad 5</t>
  </si>
  <si>
    <t>Hauswirtschaft</t>
  </si>
  <si>
    <t>Anzahl:</t>
  </si>
  <si>
    <t xml:space="preserve">einrichtungseinheitlicher Eigenanteil </t>
  </si>
  <si>
    <t>(ohne Ausbildungsvergütung nach § 82a SGB XI)</t>
  </si>
  <si>
    <t>Pflegesätze</t>
  </si>
  <si>
    <t>Pflegegrad 1:</t>
  </si>
  <si>
    <t>Pflegegrad 2:</t>
  </si>
  <si>
    <t>Pflegegrad 3:</t>
  </si>
  <si>
    <t>Pflegegrad 4:</t>
  </si>
  <si>
    <t>Pflegegrad 5:</t>
  </si>
  <si>
    <t>Entgelte</t>
  </si>
  <si>
    <t>Die Richtigkeit der in der Aufforderung enthaltenen Angaben wird bestätigt:</t>
  </si>
  <si>
    <t>Ort, Datum</t>
  </si>
  <si>
    <t>Gesamtkalkulation</t>
  </si>
  <si>
    <t>GELBER TEIL</t>
  </si>
  <si>
    <t>Gesamtplätze:</t>
  </si>
  <si>
    <t>WIRD AUS-</t>
  </si>
  <si>
    <t>Tage/Monat</t>
  </si>
  <si>
    <t>GEBLENDET</t>
  </si>
  <si>
    <t>Leistungsbetrag § 43 SGB XI (nur vollstationär):</t>
  </si>
  <si>
    <t>Aufwendungen für Leistungen im Pflegegrad 1</t>
  </si>
  <si>
    <t>Aufwendungen für Leistungen im Pflegegrad 2</t>
  </si>
  <si>
    <t>Aufwendungen für Leistungen im Pflegegrad 3</t>
  </si>
  <si>
    <t>Aufwendungen für Leistungen im Pflegegrad 4</t>
  </si>
  <si>
    <t>Aufwendungen für Leistungen im Pflegegrad 5</t>
  </si>
  <si>
    <t>Aufwendungen für die Unterkunft</t>
  </si>
  <si>
    <t>Aufwendungen für die Verpflegung</t>
  </si>
  <si>
    <t>Gesamtaufwendungen</t>
  </si>
  <si>
    <t>Plausi Ges.</t>
  </si>
  <si>
    <t>Gesamt in €</t>
  </si>
  <si>
    <t xml:space="preserve">1. </t>
  </si>
  <si>
    <t>1.1.</t>
  </si>
  <si>
    <t>1.2.</t>
  </si>
  <si>
    <t>1.3.</t>
  </si>
  <si>
    <t>1.4.</t>
  </si>
  <si>
    <t>1.5.</t>
  </si>
  <si>
    <t>1.6.</t>
  </si>
  <si>
    <t>1.7.</t>
  </si>
  <si>
    <t>Sachaufwendungen</t>
  </si>
  <si>
    <t xml:space="preserve">3. </t>
  </si>
  <si>
    <t>Fremdleistungen / Trägerleistungen</t>
  </si>
  <si>
    <t>Umsatz Leistungsbeträge § 43 SGB XI:</t>
  </si>
  <si>
    <t xml:space="preserve"> Budget Eigenanteil nach Pflegegraden:</t>
  </si>
  <si>
    <t>errechnete Pflegesätze (Tag je Platz):</t>
  </si>
  <si>
    <t>Unterkunft:</t>
  </si>
  <si>
    <t>Verpflegung:</t>
  </si>
  <si>
    <t xml:space="preserve">   (ohne Ausbildungsvergütung nach § 82a SGB XI)</t>
  </si>
  <si>
    <t>1.8.</t>
  </si>
  <si>
    <t>gehe weiter zu Bewohnervertretung</t>
  </si>
  <si>
    <t>Stellungnahme der Bewohnervertretung gem. § 85 (3) SGB XI</t>
  </si>
  <si>
    <t>Bewohnervertretung</t>
  </si>
  <si>
    <t>a)</t>
  </si>
  <si>
    <t xml:space="preserve">Schriftliche Stellungnahme liegt vor </t>
  </si>
  <si>
    <t>Ja</t>
  </si>
  <si>
    <t>weitere Angaben unter c) oder als Anlage erforderlich</t>
  </si>
  <si>
    <t>Nein</t>
  </si>
  <si>
    <t>weitere Angaben unter b) erforderlich</t>
  </si>
  <si>
    <t>b)</t>
  </si>
  <si>
    <t>Begründung für Nichtvorlage der schriftlichen Stellungnahme</t>
  </si>
  <si>
    <t xml:space="preserve">Gelegenheit zur Stellungnahme wurde eingeräumt, </t>
  </si>
  <si>
    <t>c)</t>
  </si>
  <si>
    <t>Unterschrift des Vorsitzenden der Bewohnervertretung</t>
  </si>
  <si>
    <t>Einrichtungsart</t>
  </si>
  <si>
    <t>Kreuz</t>
  </si>
  <si>
    <t>Öffnungstage</t>
  </si>
  <si>
    <t>Auslastung</t>
  </si>
  <si>
    <t>Ja/Nein</t>
  </si>
  <si>
    <t xml:space="preserve">vollstationäre Pflege </t>
  </si>
  <si>
    <t>x</t>
  </si>
  <si>
    <t>ja</t>
  </si>
  <si>
    <t>4. Generation</t>
  </si>
  <si>
    <t>nein</t>
  </si>
  <si>
    <t>Pflegeeinrichtung:</t>
  </si>
  <si>
    <t>Einrichtungsleitung</t>
  </si>
  <si>
    <t>Web-Adresse</t>
  </si>
  <si>
    <t>von:</t>
  </si>
  <si>
    <t>bis:</t>
  </si>
  <si>
    <t>Belegungstage/Jahr</t>
  </si>
  <si>
    <t>Personalnebenkosten</t>
  </si>
  <si>
    <t>Fremdleistungen / Leistungen des Trägers</t>
  </si>
  <si>
    <t>ANT am PS</t>
  </si>
  <si>
    <t>Divisor allg</t>
  </si>
  <si>
    <t>§ 43b:</t>
  </si>
  <si>
    <t>Aufwendungen für § 43b</t>
  </si>
  <si>
    <t>Der vorliegende Antrag auf Abschluss einer neuen Pflegesatzvereinbarung, die zu einer Erhöhung der</t>
  </si>
  <si>
    <t>Entgelte für Pflege, Unterkunft, Verpflegung und des einrichtungseinheitlichen Eigenanteils in vollstationären</t>
  </si>
  <si>
    <t xml:space="preserve">Einrichtungen nach § 43 führen kann, wurde uns vom Einrichtungsträger vorgelegt und erläutert. Die dem   </t>
  </si>
  <si>
    <t xml:space="preserve">Antrag zugrunde liegenden Einzelpositionen, der Umlagemaßstab sowie die Antragsbegründung wurden </t>
  </si>
  <si>
    <t>ausführlich dargestellt und auf die Möglichkeit an der Pflegesatzverhandlung teilzunehmen hingewiesen.</t>
  </si>
  <si>
    <t>§ 43b SGB XI:</t>
  </si>
  <si>
    <r>
      <t xml:space="preserve">Aufwendungen für Leistungen im </t>
    </r>
    <r>
      <rPr>
        <b/>
        <sz val="10"/>
        <color theme="1"/>
        <rFont val="Arial"/>
        <family val="2"/>
      </rPr>
      <t>Pflegegrad 1</t>
    </r>
  </si>
  <si>
    <r>
      <t>Aufwendungen für Leistungen im</t>
    </r>
    <r>
      <rPr>
        <b/>
        <sz val="10"/>
        <color theme="1"/>
        <rFont val="Arial"/>
        <family val="2"/>
      </rPr>
      <t xml:space="preserve"> Pflegegrad 2</t>
    </r>
  </si>
  <si>
    <r>
      <t xml:space="preserve">Aufwendungen für Leistungen im </t>
    </r>
    <r>
      <rPr>
        <b/>
        <sz val="10"/>
        <color theme="1"/>
        <rFont val="Arial"/>
        <family val="2"/>
      </rPr>
      <t>Pflegegrad 3</t>
    </r>
  </si>
  <si>
    <r>
      <t xml:space="preserve">Aufwendungen für Leistungen im </t>
    </r>
    <r>
      <rPr>
        <b/>
        <sz val="10"/>
        <color theme="1"/>
        <rFont val="Arial"/>
        <family val="2"/>
      </rPr>
      <t>Pflegegrad 4</t>
    </r>
  </si>
  <si>
    <r>
      <t>Aufwendungen für Leistungen im</t>
    </r>
    <r>
      <rPr>
        <b/>
        <sz val="10"/>
        <color theme="1"/>
        <rFont val="Arial"/>
        <family val="2"/>
      </rPr>
      <t xml:space="preserve"> Pflegegrad 5</t>
    </r>
  </si>
  <si>
    <r>
      <t xml:space="preserve">Aufwendungen für die 
</t>
    </r>
    <r>
      <rPr>
        <b/>
        <sz val="10"/>
        <color theme="1"/>
        <rFont val="Arial"/>
        <family val="2"/>
      </rPr>
      <t>Unterkunft</t>
    </r>
  </si>
  <si>
    <r>
      <t xml:space="preserve">Aufwendungen für die 
</t>
    </r>
    <r>
      <rPr>
        <b/>
        <sz val="10"/>
        <color theme="1"/>
        <rFont val="Arial"/>
        <family val="2"/>
      </rPr>
      <t>Verpflegung</t>
    </r>
  </si>
  <si>
    <r>
      <t xml:space="preserve">Aufwendungen für 
</t>
    </r>
    <r>
      <rPr>
        <b/>
        <sz val="10"/>
        <color theme="1"/>
        <rFont val="Arial"/>
        <family val="2"/>
      </rPr>
      <t>§ 43b</t>
    </r>
  </si>
  <si>
    <t xml:space="preserve">davon Träger der Sozialhilfe in %   </t>
  </si>
  <si>
    <t xml:space="preserve">Parteien der Pflegesatzvereinbarung (gem. § 85 Abs. 2 SGB XI) </t>
  </si>
  <si>
    <t>Anteil in %</t>
  </si>
  <si>
    <t>kalkulatorischer Auslastungsgrad:</t>
  </si>
  <si>
    <t>gehe weiter zu Personalaufwendungen</t>
  </si>
  <si>
    <t>Wäscherei / Reinigung / Sonstiges</t>
  </si>
  <si>
    <t>Gesamt Hauswirtschaft</t>
  </si>
  <si>
    <t>Berufsgenossenschaft</t>
  </si>
  <si>
    <t>Ausgleichsabgabe</t>
  </si>
  <si>
    <t>Fortbildung</t>
  </si>
  <si>
    <t>Arbeits- und Gesundheitsschutz</t>
  </si>
  <si>
    <t>Gesamt Personalnebenkosten</t>
  </si>
  <si>
    <t xml:space="preserve">ZWISCHENSUMME GESAMTPERSONALKOSTEN </t>
  </si>
  <si>
    <t>jährlich Gesamt in EUR</t>
  </si>
  <si>
    <t>—</t>
  </si>
  <si>
    <t>gehe weiter zu Sachaufwendungen</t>
  </si>
  <si>
    <t>gehe weiter zu Forderung</t>
  </si>
  <si>
    <t>prognostisch ab</t>
  </si>
  <si>
    <t>(schriftliche Mitteilung des Trägers der Einrichtung an die zuständige Behörde beifügen)</t>
  </si>
  <si>
    <t>Definition:</t>
  </si>
  <si>
    <t>Erhebliche Steigerungen zu den Aufwendungen des letzten abgeschlossenen Kalenderjahres sollen in den Erläuterungen zum Antrag als Anlage dargestellt und begründet werden.</t>
  </si>
  <si>
    <t>Sachkostenposition</t>
  </si>
  <si>
    <t>Inhalt (Aufzählungen sind nicht abschließend)</t>
  </si>
  <si>
    <t>Bemerkungen</t>
  </si>
  <si>
    <t>pflegerischer Bedarf</t>
  </si>
  <si>
    <t>Wasser / Energie / Brennstoffe</t>
  </si>
  <si>
    <t>Steuern / Abgaben / Versicherungen</t>
  </si>
  <si>
    <t>Wartung</t>
  </si>
  <si>
    <t>Sonstige Aufwendungen</t>
  </si>
  <si>
    <t>Fremdleistung Küche</t>
  </si>
  <si>
    <t>Gesamtkosten des externen Anbieters (keine Lebensmittel)</t>
  </si>
  <si>
    <t xml:space="preserve">Fremdleistung Wäsche </t>
  </si>
  <si>
    <t xml:space="preserve">Gesamtkosten des externen Anbieters </t>
  </si>
  <si>
    <t>Fremdleistung Reinigung</t>
  </si>
  <si>
    <t>Fremdleistung Haustechnik</t>
  </si>
  <si>
    <t xml:space="preserve">Gesamtkosten des externen Anbieters, auch Winterdienst und Gartenpflege </t>
  </si>
  <si>
    <t>Fremdleistung Sonstiges</t>
  </si>
  <si>
    <t xml:space="preserve">Adressverzeichnis der Parteien der Pflegesatzvereinbarung
gem. § 85 Abs. 2 SGB XI sowie von Vergütungen nach § 75 SGB XII
</t>
  </si>
  <si>
    <t>AOK PLUS - Die Gesundheitskasse für Sachsen und Thüringen</t>
  </si>
  <si>
    <t>Müllerstraße 41</t>
  </si>
  <si>
    <t>09113 Chemnitz</t>
  </si>
  <si>
    <t>IKK classic</t>
  </si>
  <si>
    <t>Postfach 10 02 51</t>
  </si>
  <si>
    <t>01072 Dresden</t>
  </si>
  <si>
    <t xml:space="preserve">Knappschaft </t>
  </si>
  <si>
    <t>Regionaldirektion Chemnitz</t>
  </si>
  <si>
    <t>Jagdschänkenstraße 50</t>
  </si>
  <si>
    <t>09117 Chemnitz</t>
  </si>
  <si>
    <t>Kommunaler Sozialverband Sachsen</t>
  </si>
  <si>
    <t>Arbeitsgemeinschaft Betriebskrankenkassen</t>
  </si>
  <si>
    <t>BKK-Landesverband Mitte</t>
  </si>
  <si>
    <t>Landesrepräsentanz Sachsen</t>
  </si>
  <si>
    <t>Dr.-Külz-Ring 12</t>
  </si>
  <si>
    <t>01219 Dresden</t>
  </si>
  <si>
    <t>Arbeitsgemeinschaft Ersatzkassen</t>
  </si>
  <si>
    <t>vdek - Landesvertretung Sachsen</t>
  </si>
  <si>
    <t>Glacisstr. 4</t>
  </si>
  <si>
    <t>01099 Dresden</t>
  </si>
  <si>
    <t>DAK-Gesundheit</t>
  </si>
  <si>
    <t>Kaufmännische Krankenkasse - KKH</t>
  </si>
  <si>
    <t>Verband der Privaten Kranken-</t>
  </si>
  <si>
    <t>versicherung e.V.</t>
  </si>
  <si>
    <t>Barmer</t>
  </si>
  <si>
    <t>Handelskrankenkasse (hkk)</t>
  </si>
  <si>
    <t>HEK - Hanseatische Krankenkasse</t>
  </si>
  <si>
    <t>EEA-Divisor</t>
  </si>
  <si>
    <t xml:space="preserve">Freiwillige Dienste </t>
  </si>
  <si>
    <t>Anzahl</t>
  </si>
  <si>
    <t xml:space="preserve">FSJ Einsatzstellen </t>
  </si>
  <si>
    <t>Prozentsatz auf Bruttopersonalkosten</t>
  </si>
  <si>
    <t>Prozentsatz auf Sachkosten:</t>
  </si>
  <si>
    <t>Name der Einrichtung:</t>
  </si>
  <si>
    <t>Fassung vom:</t>
  </si>
  <si>
    <t>Arbeitgeberanteile zur Sozialversicherung:</t>
  </si>
  <si>
    <t>%</t>
  </si>
  <si>
    <t>Folgenden Personalkostensteigerungen wurden in die Prognose eingearbeitet:</t>
  </si>
  <si>
    <t>Beiträge zur Altersvorsorge:</t>
  </si>
  <si>
    <t>Steigerung ab:</t>
  </si>
  <si>
    <t>Prozent:</t>
  </si>
  <si>
    <t>Stufe</t>
  </si>
  <si>
    <t xml:space="preserve">Grundlohn/-gehalt </t>
  </si>
  <si>
    <t>Urlaubsgeld</t>
  </si>
  <si>
    <t xml:space="preserve">Jahressonder-
zahlung/ 
Weihnachts-
geld </t>
  </si>
  <si>
    <t>Bruttoperso-nalkosten in € je Stelle/ Jahr</t>
  </si>
  <si>
    <t>Gesamt in €/Jahr</t>
  </si>
  <si>
    <t>Ø  in € je Stelle/Jahr</t>
  </si>
  <si>
    <t>Ansprechpartner/ Funktion</t>
  </si>
  <si>
    <t>Kosten je Stelle</t>
  </si>
  <si>
    <t>gehe weiter zu Personalkostenaufstellung</t>
  </si>
  <si>
    <t>Humboldtstraße 18</t>
  </si>
  <si>
    <t>04105 Leipzig</t>
  </si>
  <si>
    <t>vereinbarungen-pflege@ksv-sachsen.de</t>
  </si>
  <si>
    <t>Ort der Einrichtung:</t>
  </si>
  <si>
    <t>Plätze von</t>
  </si>
  <si>
    <t>Plätze bis</t>
  </si>
  <si>
    <t>Wäschekennzeichnung</t>
  </si>
  <si>
    <t>Nachrichtliche Angaben zum Zeitpunkt der Antragstellung und nicht Gegenstand dieses Antrages</t>
  </si>
  <si>
    <t>Leiharbeitnehmer</t>
  </si>
  <si>
    <t>"GfB"</t>
  </si>
  <si>
    <t>AN-Typ</t>
  </si>
  <si>
    <t>Datum der 
Änderung</t>
  </si>
  <si>
    <t>Tabellenblatt</t>
  </si>
  <si>
    <t>Zeile/Spalte</t>
  </si>
  <si>
    <t>Erläuterung der Änderung</t>
  </si>
  <si>
    <t>Hinweise für die Anwender</t>
  </si>
  <si>
    <r>
      <t xml:space="preserve">Angebot gesundheitliche Versorgungsplanung in der letzten Lebensphase </t>
    </r>
    <r>
      <rPr>
        <sz val="9"/>
        <color theme="1"/>
        <rFont val="Arial"/>
        <family val="2"/>
      </rPr>
      <t>(§132g SGB V)</t>
    </r>
  </si>
  <si>
    <t>Antrag vom:</t>
  </si>
  <si>
    <t xml:space="preserve">             </t>
  </si>
  <si>
    <t>Zuschlag nach § 32 Abs. 4 Rahmenvertrag</t>
  </si>
  <si>
    <t>(inkl. Zuschlag nach     § 32 Abs. 4 Rahmenvertrag)</t>
  </si>
  <si>
    <t>(ohne Personalnebenkosten, Zuschlag nach § 32 Abs. 4 Rahmenvertrag)</t>
  </si>
  <si>
    <t>Personalkostenaufstellung nach Tätigkeit und Vergütungsgruppe</t>
  </si>
  <si>
    <t>Freiwillige Dienste</t>
  </si>
  <si>
    <t>FSJ</t>
  </si>
  <si>
    <t>Ausbildungsbetrieb und/oder Praktikumsbetrieb nach dem Pflegeberufegesetz</t>
  </si>
  <si>
    <t xml:space="preserve">Aufwand für die bewohnerbezogene Wäschekennzeichnung </t>
  </si>
  <si>
    <t>unabhängig ob interne oder externe Leistung</t>
  </si>
  <si>
    <t>Summe:</t>
  </si>
  <si>
    <t>steuerfreie Sachbezüge im Sinne § 8 Abs. 2 EStG</t>
  </si>
  <si>
    <t>VWL</t>
  </si>
  <si>
    <t>sv-pflichtig</t>
  </si>
  <si>
    <t>sv-frei</t>
  </si>
  <si>
    <r>
      <rPr>
        <b/>
        <u/>
        <sz val="10"/>
        <rFont val="Arial"/>
        <family val="2"/>
      </rPr>
      <t>monatliche</t>
    </r>
    <r>
      <rPr>
        <b/>
        <sz val="10"/>
        <rFont val="Arial"/>
        <family val="2"/>
      </rPr>
      <t xml:space="preserve"> Zahlungen (AN-Brutto) in € je Stellenanteil</t>
    </r>
  </si>
  <si>
    <t>PFK/BFK</t>
  </si>
  <si>
    <t>VK je Beschäftigungsgruppe</t>
  </si>
  <si>
    <t>PK/BK o.</t>
  </si>
  <si>
    <t>PK/BK</t>
  </si>
  <si>
    <t>Beschätigungsgruppe</t>
  </si>
  <si>
    <t>VK alle Beschäftigungsgruppen</t>
  </si>
  <si>
    <t>durchschnittliche Gesamtbruttopersonalkosten je Stellenumfang</t>
  </si>
  <si>
    <t>wö. AZ je VK</t>
  </si>
  <si>
    <t>Gesamtbruttopersonalkosten je Jahr</t>
  </si>
  <si>
    <t>mtl. Grundgehalt</t>
  </si>
  <si>
    <t>mtl. VWL</t>
  </si>
  <si>
    <t>mtl. pflegetypische fixe Zulagen</t>
  </si>
  <si>
    <t>mtl. Einmalzahlungen</t>
  </si>
  <si>
    <t xml:space="preserve"> mind. 3 Jahre Berufsausbildung</t>
  </si>
  <si>
    <t>mind. 1 Jahr Berufsausbildung</t>
  </si>
  <si>
    <t>ohne mind. 1 Jahr Berufsausbildung</t>
  </si>
  <si>
    <t>mtl. Arbeitszeit (40 h/Woche)</t>
  </si>
  <si>
    <t xml:space="preserve">Anteil je Beschäftigungsgruppe </t>
  </si>
  <si>
    <r>
      <rPr>
        <b/>
        <u/>
        <sz val="10"/>
        <rFont val="Arial"/>
        <family val="2"/>
      </rPr>
      <t>monatliche</t>
    </r>
    <r>
      <rPr>
        <b/>
        <sz val="10"/>
        <rFont val="Arial"/>
        <family val="2"/>
      </rPr>
      <t xml:space="preserve"> Zahlungen (AN-Brutto) in €</t>
    </r>
    <r>
      <rPr>
        <b/>
        <u/>
        <sz val="10"/>
        <rFont val="Arial"/>
        <family val="2"/>
      </rPr>
      <t xml:space="preserve"> je Stellenanteil </t>
    </r>
  </si>
  <si>
    <t xml:space="preserve">Entlohnung der Pflege-/Betreuungsmitarbeiter entsprechend der Vorgaben </t>
  </si>
  <si>
    <t>VK</t>
  </si>
  <si>
    <t>Welche/r Tarif/AVR</t>
  </si>
  <si>
    <r>
      <t>durchschnittliche  Arbeitgeber-bruttopersonalkosten (inkl. SV-AG)  in €</t>
    </r>
    <r>
      <rPr>
        <b/>
        <u/>
        <sz val="10"/>
        <rFont val="Arial"/>
        <family val="2"/>
      </rPr>
      <t xml:space="preserve"> je Stellenanteil</t>
    </r>
  </si>
  <si>
    <t>Sozialversicherungsbeitrag "geringfügig Beschäftigte"</t>
  </si>
  <si>
    <t>unmittelbare Bindung Tarif/ AVR:</t>
  </si>
  <si>
    <t>Institutionskennzeichen (IK):</t>
  </si>
  <si>
    <t>einrichtungsindividuelles Entgeltniveau</t>
  </si>
  <si>
    <t>regional übliches Entgelt</t>
  </si>
  <si>
    <t>Entlohnung nach:</t>
  </si>
  <si>
    <t>Tarif/AVR maßgebend</t>
  </si>
  <si>
    <t xml:space="preserve">arbeitszeitnormierter Stundenlohn </t>
  </si>
  <si>
    <t>Besitzstand</t>
  </si>
  <si>
    <t>mtl. Grundgehalt inkl. Besitzstand</t>
  </si>
  <si>
    <t>weitere zusätzliche Zuschläge/Zulagen / betriebliche Altersversorgung</t>
  </si>
  <si>
    <t>pflegesatzverhandlungen_sachsen@plus.aok.de</t>
  </si>
  <si>
    <t>Heidestraße 40</t>
  </si>
  <si>
    <t>10557 Berlin</t>
  </si>
  <si>
    <t>€/Tag</t>
  </si>
  <si>
    <t>Personalkostenaufstellung</t>
  </si>
  <si>
    <t>letzter Vereinbarungszeitraum:</t>
  </si>
  <si>
    <t>für die Verpflegung:</t>
  </si>
  <si>
    <t>für die Unterkunft:</t>
  </si>
  <si>
    <t>Vergütungszuschlag § 43 b SGB XI:</t>
  </si>
  <si>
    <t>PFK/BFK                § 113 c Abs. 1 SGB XI je 1 Heimbewo.</t>
  </si>
  <si>
    <t>PK/BK            § 113 c Abs. 1 SGB XI je Heimbewo.</t>
  </si>
  <si>
    <t>PK/BK o.            § 113 c Abs. 1 SGB XI je Heimbewo.</t>
  </si>
  <si>
    <t>PFK/BFK lt. Belegung</t>
  </si>
  <si>
    <t>PK/BK lt. Belegung</t>
  </si>
  <si>
    <t>PK/BK o. lt. Belegung</t>
  </si>
  <si>
    <t>Max. § 113c Abs. 1 SGB XI</t>
  </si>
  <si>
    <t>Arbeitnehmer-bruttopersonal-kosten in € je Stellenanteil/Jahr</t>
  </si>
  <si>
    <t>Arbeitgeber-bruttopersonal-kosten (inkl. SV-AG) in € je Stellenanteil/Jahr</t>
  </si>
  <si>
    <t>Arbeitgeber-bruttopersonal-kosten (inkl. SV-AG) in € je VK/Jahr</t>
  </si>
  <si>
    <t>Personalaufwendungen</t>
  </si>
  <si>
    <t>Belegung - Stichtag</t>
  </si>
  <si>
    <t>Belegung - Prognose</t>
  </si>
  <si>
    <r>
      <t xml:space="preserve">Berechnung der Personalanhaltswerte nach </t>
    </r>
    <r>
      <rPr>
        <b/>
        <sz val="10"/>
        <color rgb="FFFF0000"/>
        <rFont val="Arial"/>
        <family val="2"/>
      </rPr>
      <t>§ 113 c Abs. 1 SGB XI</t>
    </r>
    <r>
      <rPr>
        <b/>
        <sz val="10"/>
        <color theme="1"/>
        <rFont val="Arial"/>
        <family val="2"/>
      </rPr>
      <t xml:space="preserve"> in VK - </t>
    </r>
    <r>
      <rPr>
        <b/>
        <sz val="10"/>
        <color rgb="FFFF00FF"/>
        <rFont val="Arial"/>
        <family val="2"/>
      </rPr>
      <t>Belegung - Stichtag</t>
    </r>
  </si>
  <si>
    <t>&lt; 151</t>
  </si>
  <si>
    <t>BARMER</t>
  </si>
  <si>
    <t>Landesvertretung Sachsen</t>
  </si>
  <si>
    <t>Postfach 12 03 65</t>
  </si>
  <si>
    <t>01004 Dresden</t>
  </si>
  <si>
    <t>Mitglieder:</t>
  </si>
  <si>
    <t>Techniker Krankenkasse</t>
  </si>
  <si>
    <t>Hinweisfelder hervorheben</t>
  </si>
  <si>
    <t>(Felder mit Hinweisen und Fehlermeldungen werden blau (="ja") bzw. weiß (="nein") hinterlegt</t>
  </si>
  <si>
    <t>verguetung-pflege.sac@vdek.com</t>
  </si>
  <si>
    <t xml:space="preserve">sv-frei </t>
  </si>
  <si>
    <t>Stichtag</t>
  </si>
  <si>
    <t xml:space="preserve">sv-pflichtig </t>
  </si>
  <si>
    <r>
      <rPr>
        <b/>
        <u/>
        <sz val="10"/>
        <color theme="1"/>
        <rFont val="Arial"/>
        <family val="2"/>
      </rPr>
      <t xml:space="preserve">regelmäßige und fixe pflegetypische </t>
    </r>
    <r>
      <rPr>
        <b/>
        <sz val="10"/>
        <color theme="1"/>
        <rFont val="Arial"/>
        <family val="2"/>
      </rPr>
      <t>Zulagen</t>
    </r>
    <r>
      <rPr>
        <b/>
        <sz val="9"/>
        <color theme="1"/>
        <rFont val="Arial"/>
        <family val="2"/>
      </rPr>
      <t xml:space="preserve">                                                          </t>
    </r>
  </si>
  <si>
    <t>regelmäßige Jahressonderzahlungen je Stellenanteil und Jahr</t>
  </si>
  <si>
    <t>Prüfung Stellenumfänge - Sonderfunktionen laut Rahmenvertrag</t>
  </si>
  <si>
    <t>PDL/stellv. PDL</t>
  </si>
  <si>
    <t>VK für PE</t>
  </si>
  <si>
    <t>bis zu</t>
  </si>
  <si>
    <t xml:space="preserve">Differenzierung nach Beschäftigungs-gruppen / Funktion </t>
  </si>
  <si>
    <t>Präsenzkräfte mit mind. einjähriger Berufsausbildung</t>
  </si>
  <si>
    <t>Präsenzkräfte ohne mind. einjährige Berufsausbildung</t>
  </si>
  <si>
    <r>
      <t>Berechnung der Personalanhaltswerte nach</t>
    </r>
    <r>
      <rPr>
        <b/>
        <sz val="11"/>
        <color rgb="FFFF0000"/>
        <rFont val="Arial"/>
        <family val="2"/>
      </rPr>
      <t xml:space="preserve"> § 113 c Abs. 1 SGB XI</t>
    </r>
    <r>
      <rPr>
        <b/>
        <sz val="11"/>
        <color theme="1"/>
        <rFont val="Arial"/>
        <family val="2"/>
      </rPr>
      <t xml:space="preserve"> in VK -</t>
    </r>
    <r>
      <rPr>
        <b/>
        <sz val="11"/>
        <color theme="3"/>
        <rFont val="Arial"/>
        <family val="2"/>
      </rPr>
      <t xml:space="preserve"> Belegungsprognose</t>
    </r>
  </si>
  <si>
    <t xml:space="preserve">PFK/BFK-  § 113 c Abs. 1 SGB XI </t>
  </si>
  <si>
    <t>PFK/BFK - lt. Belegung</t>
  </si>
  <si>
    <t xml:space="preserve">PK/BK -§ 113 c Abs. 1 SGB XI </t>
  </si>
  <si>
    <t xml:space="preserve">PK/BK o. - § 113 c Abs. 1 SGB XI </t>
  </si>
  <si>
    <t>PK/BK o. - lt. Belegung</t>
  </si>
  <si>
    <t>VK lt. PKL (o.Sonderfunktion)</t>
  </si>
  <si>
    <t>Präsenzkräfte mit mind. einjähriger Berufsausbildung:</t>
  </si>
  <si>
    <t>Präsenzkräfte ohne mind. einjährige Berufsausbildung:</t>
  </si>
  <si>
    <t>fixe, regelm. Entlohnung je VK/M</t>
  </si>
  <si>
    <t>mtl. Rufbereitschaft/ Bereitschaftsdienst</t>
  </si>
  <si>
    <t>mtl. Rufbereitschaft/ Bereitschaftsschaftsdienst</t>
  </si>
  <si>
    <t xml:space="preserve">               HILFSSPALTEN_AUSBLENDEN_SPERREN</t>
  </si>
  <si>
    <t>Sonderfunktionen (gemäß Rahmenvertrag)</t>
  </si>
  <si>
    <t>Gesamt Sonderfunktionen</t>
  </si>
  <si>
    <t>Pflege / Betreuung</t>
  </si>
  <si>
    <t>PDL / stellvertretende PDL</t>
  </si>
  <si>
    <t>Präsenzkräfte</t>
  </si>
  <si>
    <t>PK / BK</t>
  </si>
  <si>
    <t>PK / BK o.</t>
  </si>
  <si>
    <t>Pflege / Betreuung in VK</t>
  </si>
  <si>
    <t>HW in VK</t>
  </si>
  <si>
    <t>Gesamt in VK</t>
  </si>
  <si>
    <t>PFK/BFK - Ges.PK €/VK/J</t>
  </si>
  <si>
    <t>PK/BK - Ges.PK €/VK/J</t>
  </si>
  <si>
    <t>PK/BK o. - Ges.PK €/VK/J</t>
  </si>
  <si>
    <r>
      <t xml:space="preserve">VK lt. PKL </t>
    </r>
    <r>
      <rPr>
        <b/>
        <sz val="10"/>
        <color rgb="FF0070C0"/>
        <rFont val="Arial"/>
        <family val="2"/>
      </rPr>
      <t>Ist</t>
    </r>
    <r>
      <rPr>
        <b/>
        <sz val="10"/>
        <color theme="1"/>
        <rFont val="Arial"/>
        <family val="2"/>
      </rPr>
      <t xml:space="preserve"> (o.Sonderfunktion)</t>
    </r>
  </si>
  <si>
    <r>
      <t>Berechnung der Personalanhaltswerte nach</t>
    </r>
    <r>
      <rPr>
        <b/>
        <sz val="11"/>
        <color rgb="FFFF0000"/>
        <rFont val="Arial"/>
        <family val="2"/>
      </rPr>
      <t xml:space="preserve"> § 113 c Abs. 1 SGB XI</t>
    </r>
    <r>
      <rPr>
        <b/>
        <sz val="11"/>
        <color theme="1"/>
        <rFont val="Arial"/>
        <family val="2"/>
      </rPr>
      <t xml:space="preserve"> in VK -</t>
    </r>
    <r>
      <rPr>
        <b/>
        <sz val="11"/>
        <color rgb="FF0070C0"/>
        <rFont val="Arial"/>
        <family val="2"/>
      </rPr>
      <t xml:space="preserve"> Ist - letzten 12 Kalendermonate</t>
    </r>
  </si>
  <si>
    <t>in Bezug zu § 113 c Abs. 1 Nr. 3 SGB XI</t>
  </si>
  <si>
    <t>in Bezug zu § 113 c Abs. 1 Nr. 2 SGB XI</t>
  </si>
  <si>
    <t>in Bezug zu § 113 c Abs. 1 Nr. 1 SGB XI</t>
  </si>
  <si>
    <r>
      <t xml:space="preserve">Pflege- / Betreuungsfachkräfte mit mind. dreijähriger Berufsausbildung </t>
    </r>
    <r>
      <rPr>
        <sz val="8"/>
        <color theme="3"/>
        <rFont val="Arial"/>
        <family val="2"/>
      </rPr>
      <t>(§ 113 c Abs. 1 Nr. 3 SGB XI)</t>
    </r>
    <r>
      <rPr>
        <sz val="10"/>
        <color theme="3"/>
        <rFont val="Arial"/>
        <family val="2"/>
      </rPr>
      <t xml:space="preserve"> </t>
    </r>
  </si>
  <si>
    <r>
      <t xml:space="preserve">Pflege- / Betreuungskräfte mit mind. einjähriger Berufsausbildung  </t>
    </r>
    <r>
      <rPr>
        <sz val="8"/>
        <color theme="3"/>
        <rFont val="Arial"/>
        <family val="2"/>
      </rPr>
      <t>(§ 113 c Abs. 1 Nr. 2 SGB XI)</t>
    </r>
  </si>
  <si>
    <r>
      <t xml:space="preserve">Pflege- / Betreuungskräfte ohne mind. einjährige Berufsausbildung </t>
    </r>
    <r>
      <rPr>
        <sz val="8"/>
        <color theme="3"/>
        <rFont val="Arial"/>
        <family val="2"/>
      </rPr>
      <t>(§ 113 c Abs. 1 Nr. 1 SGB XI)</t>
    </r>
  </si>
  <si>
    <t xml:space="preserve">Gesamt zusätzliche Betreuung und Aktivierung </t>
  </si>
  <si>
    <r>
      <rPr>
        <b/>
        <u/>
        <sz val="8"/>
        <color theme="1"/>
        <rFont val="Arial"/>
        <family val="2"/>
      </rPr>
      <t>davon</t>
    </r>
    <r>
      <rPr>
        <sz val="8"/>
        <color theme="1"/>
        <rFont val="Arial"/>
        <family val="2"/>
      </rPr>
      <t xml:space="preserve"> Präsenzkräfte mit mind. einjähriger Berufsausbildung</t>
    </r>
  </si>
  <si>
    <r>
      <rPr>
        <b/>
        <u/>
        <sz val="8"/>
        <color theme="1"/>
        <rFont val="Arial"/>
        <family val="2"/>
      </rPr>
      <t>davon</t>
    </r>
    <r>
      <rPr>
        <sz val="8"/>
        <color theme="1"/>
        <rFont val="Arial"/>
        <family val="2"/>
      </rPr>
      <t xml:space="preserve"> Präsenzkräfte ohne mind. einjähriger Berufsausbildung</t>
    </r>
  </si>
  <si>
    <t>Pflege- und Betreuungsmitarbeiter gemäß § 113 c SGB XI</t>
  </si>
  <si>
    <t>Wöchentliche Arbeitszeit je Vollkraft laut Tarif / AVR / betrieblicher Regelung:</t>
  </si>
  <si>
    <t>bei der Berechnung des GVWG bleibt die PDL, stellv. PDL unberücksichtigt!</t>
  </si>
  <si>
    <t>Wöchentliche Arbeitszeit</t>
  </si>
  <si>
    <t xml:space="preserve">Angaben beziehen sich auf den o.g. Zeitraum </t>
  </si>
  <si>
    <r>
      <t xml:space="preserve">Angaben für den Prognosezeitraum  - </t>
    </r>
    <r>
      <rPr>
        <b/>
        <sz val="11"/>
        <color rgb="FFFF0000"/>
        <rFont val="Arial"/>
        <family val="2"/>
      </rPr>
      <t>auf Basis 40 h / Woche je VK (Formulierung siehe RV)</t>
    </r>
  </si>
  <si>
    <r>
      <rPr>
        <b/>
        <u/>
        <sz val="10"/>
        <rFont val="Arial"/>
        <family val="2"/>
      </rPr>
      <t>variable</t>
    </r>
    <r>
      <rPr>
        <b/>
        <sz val="10"/>
        <rFont val="Arial"/>
        <family val="2"/>
      </rPr>
      <t xml:space="preserve"> pflegetypische Zuschläge (Sonntags-,Feiertags-und Nachtzuschläge)</t>
    </r>
  </si>
  <si>
    <t xml:space="preserve"> 12 Kalendermonate </t>
  </si>
  <si>
    <t xml:space="preserve">Zeitraum der 12 Kalendermonate: </t>
  </si>
  <si>
    <t>Qualitätsmanagement</t>
  </si>
  <si>
    <t>Hygienemanagement</t>
  </si>
  <si>
    <t xml:space="preserve">Pflege- / Betreuungskräfte mit mind. einjähriger Berufsausbildung </t>
  </si>
  <si>
    <t xml:space="preserve">Pflege- / Betreuungskräfte ohne mind. einjährige Berufsausbildung </t>
  </si>
  <si>
    <t>Bewohnersprecher *</t>
  </si>
  <si>
    <t>Einbeziehung der Bewohnervertretung / des Bewohnersprechers:</t>
  </si>
  <si>
    <t>* Im Sinne der besseren Lesbarkeit wurde stellvertretend für alle Geschlechtsformen durchgehend nur die männliche Form verwendet.</t>
  </si>
  <si>
    <t>Bewohnervertretung oder Bewohnersprecher haben diese nicht wahrgenommen</t>
  </si>
  <si>
    <t>Bewohnervertretung oder Bewohnersprecher nicht vorhanden,</t>
  </si>
  <si>
    <t>Stellungnahme der Bewohnervertretung / des Bewohnersprechers:</t>
  </si>
  <si>
    <t>oder des Bewohnersprechers</t>
  </si>
  <si>
    <t>1.1.1.</t>
  </si>
  <si>
    <t xml:space="preserve">1.1.2. </t>
  </si>
  <si>
    <t xml:space="preserve">1.1.3. </t>
  </si>
  <si>
    <t xml:space="preserve">1.2.1. </t>
  </si>
  <si>
    <t>1.2.2.</t>
  </si>
  <si>
    <t>1.2.3.</t>
  </si>
  <si>
    <t>1.1. Sonderfunktionen (gemäß Rahmenvertrag)</t>
  </si>
  <si>
    <t>1.1.1. Pflegedienstleitung / stellvertretende Pflegedienstleitung</t>
  </si>
  <si>
    <t>1.1.1. Summe Pflegedienstleitung/                    stellvertretende Pflegedienstleitung:</t>
  </si>
  <si>
    <t>1.1.1. Summe Pflegedienstleitung/ stellvertretende Pflegedienstleitung:</t>
  </si>
  <si>
    <t>1.1.2. Qualitätsmanagement</t>
  </si>
  <si>
    <t>1.1.2. Summe Qualitätsmanagement:</t>
  </si>
  <si>
    <t>1.1.3. Hygienemanagement</t>
  </si>
  <si>
    <t>1.1.3. Summe Hygienemanagement:</t>
  </si>
  <si>
    <t>1.2. Pflege / Betreuung</t>
  </si>
  <si>
    <t>1.2.1. Pflege- / Betreuungsfachkräfte mit mind. dreijähriger Berufsausbildung (inkl. Stellenanteil PDL / stellvertretende PDL oberhalb der Rahmenvertragsvorgaben)</t>
  </si>
  <si>
    <t>1.2.1. Pflege- / Betreuungsfachkräfte mit mind. dreijähriger Berufsausbildung</t>
  </si>
  <si>
    <t>1.2.1. Summe Pflege- / Betreuungsfachkräfte mit mind. dreijähriger Berufsausbildung:</t>
  </si>
  <si>
    <t xml:space="preserve">1.2.2. Pflege- / Betreuungskräfte mit mind. einjähriger Berufsausbildung </t>
  </si>
  <si>
    <t>1.2.2. Summe Pflege- / Betreuungskräfte mit mind. einjähriger Berufsausbildung:</t>
  </si>
  <si>
    <t>1.2.3. Pflege- / Betreuungskräfte ohne mind. einjährige Berufsausbildung</t>
  </si>
  <si>
    <t>1.2.3. Summe Pflege- / Betreuungskräfte ohne mind. einjährige Berufsausbildung:</t>
  </si>
  <si>
    <t>1.3. Zusätzliche Betreuung und Aktivierung nach § 43b SGB XI</t>
  </si>
  <si>
    <t xml:space="preserve">1.3.1. Pflege- / Betreuungskräfte mit mind. einjähriger Berufsausbildung </t>
  </si>
  <si>
    <t>1.3.1. Summe Pflege- / Betreuungskräfte mit mind. einjähriger Berufsausbildung</t>
  </si>
  <si>
    <t>1.3.1. Summe Pflege- / Betreuungskräfte mit mind. einjähriger Berufsausbildung:</t>
  </si>
  <si>
    <t>1.3.2. Pflege- / Betreuungskräfte ohne mind. einjährige Berufsausbildung</t>
  </si>
  <si>
    <t>1.3.2. Summe Pflege- / Betreuungskräfte ohne mind. einjähriger Berufsausbildung</t>
  </si>
  <si>
    <t>1.3. Summe Zusätzliche Betreuung und Aktivierung nach § 43b SGB XI</t>
  </si>
  <si>
    <t>1.5. Hauswirtschaft</t>
  </si>
  <si>
    <t>1.5. Summe Hauswirtschaft:</t>
  </si>
  <si>
    <t>1.6. Küche</t>
  </si>
  <si>
    <t>1.6. Summe Küche:</t>
  </si>
  <si>
    <t>1.7. Haustechnik</t>
  </si>
  <si>
    <t>1.7. Summe Haustechnik:</t>
  </si>
  <si>
    <t>1.8. Sonstige Mitarbeiter</t>
  </si>
  <si>
    <t>1.8. Summe sonstige Mitarbeiter:</t>
  </si>
  <si>
    <t>Personal</t>
  </si>
  <si>
    <t>1.3.1.</t>
  </si>
  <si>
    <t>1.3.2.</t>
  </si>
  <si>
    <t>Personelle Ausstattung der Pflegeeinrichtung:</t>
  </si>
  <si>
    <t>Antrag</t>
  </si>
  <si>
    <t>Stellenanteil je VK</t>
  </si>
  <si>
    <t>durchschnittlicher Stellenanteil VK/Jahr</t>
  </si>
  <si>
    <t xml:space="preserve">  von der maximal möglichen Personalausstattung nach § 113 c Abs. 1 Nr. 3 SGB XI</t>
  </si>
  <si>
    <t xml:space="preserve">  von der maximal möglichen Personalausstattung nach § 113 c Abs. 1 Nr. 2 SGB XI</t>
  </si>
  <si>
    <t xml:space="preserve">  von der maximal möglichen Personalausstattung nach § 113 c Abs. 1 Nr. 1 SGB XI</t>
  </si>
  <si>
    <t>HM</t>
  </si>
  <si>
    <t>QM</t>
  </si>
  <si>
    <t>Gesamt Pflege  / Betreuung</t>
  </si>
  <si>
    <t>Personal-relation</t>
  </si>
  <si>
    <t>Zusätzliche Betreuung und Aktivierung nach § 43b SGB XI</t>
  </si>
  <si>
    <t xml:space="preserve"> 1:</t>
  </si>
  <si>
    <t>Einsatzstellen Freiwillige Dienste / FSJ</t>
  </si>
  <si>
    <t xml:space="preserve">2. </t>
  </si>
  <si>
    <t>einrichtungseinheitlicher Eigenanteil, Pflegesätze und Entgelte:</t>
  </si>
  <si>
    <r>
      <t xml:space="preserve">Pflege- / Betreuungsfachkräfte mit mind. dreijähriger Berufsausbildung </t>
    </r>
    <r>
      <rPr>
        <sz val="10"/>
        <color theme="3"/>
        <rFont val="Arial"/>
        <family val="2"/>
      </rPr>
      <t xml:space="preserve">(§ 113 c Abs. 1 Nr. 3 SGB XI) </t>
    </r>
  </si>
  <si>
    <r>
      <t xml:space="preserve">Pflege- / Betreuungskräfte mit mind. einjähriger Berufsausbildung  </t>
    </r>
    <r>
      <rPr>
        <sz val="10"/>
        <color theme="3"/>
        <rFont val="Arial"/>
        <family val="2"/>
      </rPr>
      <t>(§ 113 c Abs. 1 Nr. 2 SGB XI)</t>
    </r>
  </si>
  <si>
    <r>
      <t xml:space="preserve">Pflege- / Betreuungskräfte ohne mind. einjährige Berufsausbildung </t>
    </r>
    <r>
      <rPr>
        <sz val="10"/>
        <color theme="3"/>
        <rFont val="Arial"/>
        <family val="2"/>
      </rPr>
      <t>(§ 113 c Abs. 1 Nr. 1 SGB XI)</t>
    </r>
  </si>
  <si>
    <t>PFK/BFK                § 113 c Abs. 1 SGB XI lt. Belegungs-prognose</t>
  </si>
  <si>
    <t>PK/BK            § 113 c Abs. 1 SGB XI lt. Belegungs-prognose</t>
  </si>
  <si>
    <t>PK/BK o.            § 113 c Abs. 1 SGB XI lt. Belegungs-prognose</t>
  </si>
  <si>
    <t>Verhältnis PG 1 zu PG 2</t>
  </si>
  <si>
    <t xml:space="preserve"> Prognose in VK</t>
  </si>
  <si>
    <t xml:space="preserve"> Prognose in %</t>
  </si>
  <si>
    <r>
      <rPr>
        <b/>
        <sz val="10"/>
        <color theme="1"/>
        <rFont val="Arial"/>
        <family val="2"/>
      </rPr>
      <t>Summe § 113 c Abs. 1 SGB XI lt. Belegungs-prognose</t>
    </r>
    <r>
      <rPr>
        <sz val="10"/>
        <color theme="1"/>
        <rFont val="Arial"/>
        <family val="2"/>
      </rPr>
      <t xml:space="preserve"> </t>
    </r>
    <r>
      <rPr>
        <b/>
        <sz val="10"/>
        <color rgb="FFFF0000"/>
        <rFont val="Arial"/>
        <family val="2"/>
      </rPr>
      <t>=</t>
    </r>
    <r>
      <rPr>
        <sz val="10"/>
        <color rgb="FFFF0000"/>
        <rFont val="Arial"/>
        <family val="2"/>
      </rPr>
      <t xml:space="preserve"> </t>
    </r>
    <r>
      <rPr>
        <b/>
        <sz val="10"/>
        <color rgb="FFFF0000"/>
        <rFont val="Arial"/>
        <family val="2"/>
      </rPr>
      <t>Basis für Verteilung</t>
    </r>
  </si>
  <si>
    <t>Summe § 113 c Abs. 1 SGB XI</t>
  </si>
  <si>
    <r>
      <rPr>
        <b/>
        <sz val="10"/>
        <color theme="1"/>
        <rFont val="Arial"/>
        <family val="2"/>
      </rPr>
      <t xml:space="preserve">Abstand PG 1 zu PG 2  </t>
    </r>
    <r>
      <rPr>
        <sz val="10"/>
        <color theme="1"/>
        <rFont val="Arial"/>
        <family val="2"/>
      </rPr>
      <t xml:space="preserve"> </t>
    </r>
    <r>
      <rPr>
        <sz val="10"/>
        <color theme="3"/>
        <rFont val="Arial"/>
        <family val="2"/>
      </rPr>
      <t xml:space="preserve"> (für Ableitung Pflegesatz PG 1 bei Nullbelegung in PG 1)</t>
    </r>
  </si>
  <si>
    <t>Probe:</t>
  </si>
  <si>
    <t>1.2.1.</t>
  </si>
  <si>
    <r>
      <t>Freiwillige Dienste, FSJ</t>
    </r>
    <r>
      <rPr>
        <sz val="10"/>
        <color rgb="FFFF0000"/>
        <rFont val="Arial"/>
        <family val="2"/>
      </rPr>
      <t xml:space="preserve"> </t>
    </r>
  </si>
  <si>
    <r>
      <t>Berechnung der Personalanhaltswerte nach</t>
    </r>
    <r>
      <rPr>
        <b/>
        <sz val="10"/>
        <color rgb="FFFF0000"/>
        <rFont val="Arial"/>
        <family val="2"/>
      </rPr>
      <t xml:space="preserve"> § 113 c Abs. 1 SGB XI</t>
    </r>
    <r>
      <rPr>
        <b/>
        <sz val="10"/>
        <color theme="1"/>
        <rFont val="Arial"/>
        <family val="2"/>
      </rPr>
      <t xml:space="preserve"> in VK -</t>
    </r>
    <r>
      <rPr>
        <b/>
        <sz val="10"/>
        <color theme="3"/>
        <rFont val="Arial"/>
        <family val="2"/>
      </rPr>
      <t xml:space="preserve"> Belegungsprognose</t>
    </r>
    <r>
      <rPr>
        <b/>
        <sz val="10"/>
        <color theme="1"/>
        <rFont val="Arial"/>
        <family val="2"/>
      </rPr>
      <t xml:space="preserve"> </t>
    </r>
    <r>
      <rPr>
        <b/>
        <u/>
        <sz val="10"/>
        <color theme="3"/>
        <rFont val="Arial"/>
        <family val="2"/>
      </rPr>
      <t>KZP</t>
    </r>
    <r>
      <rPr>
        <b/>
        <u/>
        <sz val="10"/>
        <color theme="1"/>
        <rFont val="Arial"/>
        <family val="2"/>
      </rPr>
      <t xml:space="preserve"> angebunden / integriert</t>
    </r>
  </si>
  <si>
    <t>Belegung KZP:</t>
  </si>
  <si>
    <t>Herleitung Personal (Pflege/Betreuung)</t>
  </si>
  <si>
    <t>PFK/BFK - lt. Belegung KZP</t>
  </si>
  <si>
    <t>PK/BK lt. Belegung KZP</t>
  </si>
  <si>
    <t>PK/BK o. - lt. Belegung KZP</t>
  </si>
  <si>
    <t>Personalkosten (Ist)</t>
  </si>
  <si>
    <t>Plausi-Berechnungen für TAB Forderung</t>
  </si>
  <si>
    <t>Pflege/Betreuung</t>
  </si>
  <si>
    <t>43b</t>
  </si>
  <si>
    <t>check</t>
  </si>
  <si>
    <t>Belegung Stichtag</t>
  </si>
  <si>
    <t>VK-Angaben zum Stichtag</t>
  </si>
  <si>
    <t>Belegung Ist (12 KM)</t>
  </si>
  <si>
    <t>Sachkosten Ist</t>
  </si>
  <si>
    <t xml:space="preserve">VK Ford. QM &gt; als RV </t>
  </si>
  <si>
    <t xml:space="preserve">VK Ford. PDL / stellv. PDL &gt; als RV </t>
  </si>
  <si>
    <t xml:space="preserve">VK Ford. HM &gt; als RV </t>
  </si>
  <si>
    <t xml:space="preserve">Anlagen zum Tarif/AVR </t>
  </si>
  <si>
    <t>Gesamt - Check</t>
  </si>
  <si>
    <t>Erläuterung:</t>
  </si>
  <si>
    <t>Hauptbedingung</t>
  </si>
  <si>
    <t>Teilbedingung</t>
  </si>
  <si>
    <t>Ergebnis</t>
  </si>
  <si>
    <t>Sind die Angaben im Antrag für:</t>
  </si>
  <si>
    <t>dem gesetzlichen Personalschlüssel (1 : 20)?</t>
  </si>
  <si>
    <t>VK 43b &lt;&gt; 1 : 20</t>
  </si>
  <si>
    <t>sobald eine Bedingung nicht erfüllt ist, werden die Pflegesätze, U+ V, 43 b nicht errechnet!</t>
  </si>
  <si>
    <t>Prüfung:</t>
  </si>
  <si>
    <t>•</t>
  </si>
  <si>
    <t>3.</t>
  </si>
  <si>
    <t>Datum</t>
  </si>
  <si>
    <t>Unterschrift Träger</t>
  </si>
  <si>
    <t>das QM (Stellenumfang Prognose) entsprechend dem Rahmenvertrag?</t>
  </si>
  <si>
    <t>das HM (Stellenumfang Prognose) entsprechend dem Rahmenvertrag?</t>
  </si>
  <si>
    <t xml:space="preserve">das zusätzliche Betreuungspersonal (Stellenumfang Prognose) entsprechend </t>
  </si>
  <si>
    <t>Zulassungsdatum der Pflegeeinrichtung:</t>
  </si>
  <si>
    <t>Zeitraum VV zu Antragstellung in M:</t>
  </si>
  <si>
    <t xml:space="preserve">desh. Regelanpassung unter folgender Betrachtung: Ist-Zeit (ab ...) TAB Belegung bis 15 M vor Antragstellung und </t>
  </si>
  <si>
    <t>Antragstellung max. 4 M vor LZ-Beginn, somit Ist- Zahlen Pflicht,  wenn zw. VV und LZ-Beginn mindestens 19 M liegen</t>
  </si>
  <si>
    <t>LZ</t>
  </si>
  <si>
    <t>Ist-Zeitraum ab</t>
  </si>
  <si>
    <t>VV - Beginn</t>
  </si>
  <si>
    <t>frühestens</t>
  </si>
  <si>
    <t>M zw. VV + LZ Beginn</t>
  </si>
  <si>
    <t>Beispiel:</t>
  </si>
  <si>
    <r>
      <rPr>
        <b/>
        <sz val="9"/>
        <color theme="1"/>
        <rFont val="Arial"/>
        <family val="2"/>
      </rPr>
      <t>Hinweis - für Bedingung - Belegung Ist; PK Ist und SK Ist:</t>
    </r>
    <r>
      <rPr>
        <sz val="9"/>
        <color theme="1"/>
        <rFont val="Arial"/>
        <family val="2"/>
      </rPr>
      <t xml:space="preserve"> für Neueinrichtungen und "neuere Einrichtungen" sind dies keine "Pflichtbedingungen"</t>
    </r>
  </si>
  <si>
    <t>STD_VG_PFK/BFK</t>
  </si>
  <si>
    <t>STD_VG_PK/BK</t>
  </si>
  <si>
    <t>STD_VG_PK/BK o.</t>
  </si>
  <si>
    <t>STD_VG_einr. ind.En.</t>
  </si>
  <si>
    <t>VK_PFK/BFK</t>
  </si>
  <si>
    <t>VK_PK/BK</t>
  </si>
  <si>
    <t>VK_PK/BK o.</t>
  </si>
  <si>
    <t>Platzzahl</t>
  </si>
  <si>
    <t xml:space="preserve">pflegesatzverhandlungen_sachsen@barmer.de </t>
  </si>
  <si>
    <t xml:space="preserve"> 12 Kalendermonate</t>
  </si>
  <si>
    <t xml:space="preserve"> prognostisch ab</t>
  </si>
  <si>
    <t>Stichtag vom</t>
  </si>
  <si>
    <r>
      <rPr>
        <b/>
        <u/>
        <sz val="10"/>
        <color theme="0"/>
        <rFont val="Arial"/>
        <family val="2"/>
      </rPr>
      <t>davon</t>
    </r>
    <r>
      <rPr>
        <b/>
        <sz val="10"/>
        <color theme="0"/>
        <rFont val="Arial"/>
        <family val="2"/>
      </rPr>
      <t xml:space="preserve"> Pflegebedürftige für die angebundene / integrierte KZP</t>
    </r>
  </si>
  <si>
    <r>
      <rPr>
        <b/>
        <u/>
        <sz val="10"/>
        <color theme="1"/>
        <rFont val="Arial"/>
        <family val="2"/>
      </rPr>
      <t>davon</t>
    </r>
    <r>
      <rPr>
        <b/>
        <sz val="10"/>
        <color theme="1"/>
        <rFont val="Arial"/>
        <family val="2"/>
      </rPr>
      <t xml:space="preserve"> Platzzahl der angebundenen / integrierten Kurzzeitpflege lt. Versorgungsvertrag</t>
    </r>
  </si>
  <si>
    <t>Belegungsdaten - Angaben zur wöchentlichen Arbeitszeit</t>
  </si>
  <si>
    <t>Belegung_wö. Arbeitszeit</t>
  </si>
  <si>
    <t>Aufwendungen  12 Kalendermonate</t>
  </si>
  <si>
    <t>Aufwendungen der 12 Kalendermonate:</t>
  </si>
  <si>
    <t>vom:</t>
  </si>
  <si>
    <t>Belegungstage für diesen Zeitraum:</t>
  </si>
  <si>
    <t>Aufwendungen 12 Kalendermonate</t>
  </si>
  <si>
    <t>Präsenzkräfte mit mind. dreijähriger Ausbildung</t>
  </si>
  <si>
    <t>Präsenzkräfte mit mind. dreijähriger Berufsausbildung</t>
  </si>
  <si>
    <t>Beschäftigungsgruppen für Küche</t>
  </si>
  <si>
    <t>VK 43b SGB XI bei 1:20</t>
  </si>
  <si>
    <r>
      <rPr>
        <b/>
        <u/>
        <sz val="8"/>
        <color theme="1"/>
        <rFont val="Arial"/>
        <family val="2"/>
      </rPr>
      <t>davon</t>
    </r>
    <r>
      <rPr>
        <sz val="8"/>
        <color theme="1"/>
        <rFont val="Arial"/>
        <family val="2"/>
      </rPr>
      <t xml:space="preserve"> Präsenzkräfte mit mind. dreijähriger Berufsausbildung</t>
    </r>
  </si>
  <si>
    <t xml:space="preserve">Herleitung der Verteilungsschlüssel (%) für Personalkosten der Pflege/Betreuung in den PG </t>
  </si>
  <si>
    <t xml:space="preserve">Vollkräfte          </t>
  </si>
  <si>
    <t xml:space="preserve">Anteil in Bezug zu den max. </t>
  </si>
  <si>
    <t>Werten nach § 113 Abs. 1 SGB XI</t>
  </si>
  <si>
    <t>Gesamt:</t>
  </si>
  <si>
    <t>einrichtungsindividueller Eigenanteil:</t>
  </si>
  <si>
    <t>PR</t>
  </si>
  <si>
    <t>lt. PSV</t>
  </si>
  <si>
    <t>Summe: §113 c Abs. 1 SGB XI</t>
  </si>
  <si>
    <t>VK .lt. PR</t>
  </si>
  <si>
    <t>VK lt. % 113c</t>
  </si>
  <si>
    <t>Differenz PR zu % nach § 113c Abs. 1 SGB XI</t>
  </si>
  <si>
    <t>Vorschlag PR und dann davon x % für PFK/BFK + y % ......</t>
  </si>
  <si>
    <t>vollstationäre Pflegeeinrichtung</t>
  </si>
  <si>
    <t xml:space="preserve">Pflegegrad </t>
  </si>
  <si>
    <t>1 - 5:</t>
  </si>
  <si>
    <t xml:space="preserve"> € / Tag</t>
  </si>
  <si>
    <t xml:space="preserve">      für die Unterkunft:</t>
  </si>
  <si>
    <t xml:space="preserve">      für die Verpflegung:</t>
  </si>
  <si>
    <t>davon für vst.</t>
  </si>
  <si>
    <t>Begründung § 113 c</t>
  </si>
  <si>
    <t>§ 43 b SGB XI:</t>
  </si>
  <si>
    <t>Begründung der Personalmengen nach § 113 c SGB XI beigefügt?</t>
  </si>
  <si>
    <t>Prozensatz Anteil zu § 113 c SGB XI</t>
  </si>
  <si>
    <t>TAB kann gelöscht werden, dient z.Zt. Nur zur Vernachaulichung, dass PR Pflege/Betreuung und geeinten % Anteile zu § 113 c Abs. 1 SGB XI nicht funktionieren.</t>
  </si>
  <si>
    <t>gehe weiter zu Belegung_wö. Arbeitszeit</t>
  </si>
  <si>
    <r>
      <rPr>
        <b/>
        <u/>
        <sz val="10"/>
        <color theme="0" tint="-4.9989318521683403E-2"/>
        <rFont val="Arial"/>
        <family val="2"/>
      </rPr>
      <t>davon</t>
    </r>
    <r>
      <rPr>
        <b/>
        <sz val="10"/>
        <color theme="0" tint="-4.9989318521683403E-2"/>
        <rFont val="Arial"/>
        <family val="2"/>
      </rPr>
      <t xml:space="preserve"> für KZP</t>
    </r>
  </si>
  <si>
    <r>
      <rPr>
        <b/>
        <u/>
        <sz val="9"/>
        <color theme="1"/>
        <rFont val="Arial"/>
        <family val="2"/>
      </rPr>
      <t>davon</t>
    </r>
    <r>
      <rPr>
        <sz val="9"/>
        <color theme="1"/>
        <rFont val="Arial"/>
        <family val="2"/>
      </rPr>
      <t xml:space="preserve"> Präsenzkräfte mit mind. dreijähriger Berufsausbildung</t>
    </r>
  </si>
  <si>
    <r>
      <rPr>
        <b/>
        <u/>
        <sz val="9"/>
        <color theme="1"/>
        <rFont val="Arial"/>
        <family val="2"/>
      </rPr>
      <t>davon</t>
    </r>
    <r>
      <rPr>
        <sz val="9"/>
        <color theme="1"/>
        <rFont val="Arial"/>
        <family val="2"/>
      </rPr>
      <t xml:space="preserve"> Präsenzkräfte mit mind. einjähriger Berufsausbildung</t>
    </r>
  </si>
  <si>
    <r>
      <rPr>
        <b/>
        <u/>
        <sz val="9"/>
        <color theme="1"/>
        <rFont val="Arial"/>
        <family val="2"/>
      </rPr>
      <t>davon</t>
    </r>
    <r>
      <rPr>
        <sz val="9"/>
        <color theme="1"/>
        <rFont val="Arial"/>
        <family val="2"/>
      </rPr>
      <t xml:space="preserve"> Präsenzkräfte ohne mind. einjähriger Berufsausbildung</t>
    </r>
  </si>
  <si>
    <r>
      <t xml:space="preserve">Bitte prüfen Sie Ihre Angaben in folgender </t>
    </r>
    <r>
      <rPr>
        <u/>
        <sz val="9"/>
        <color rgb="FF0070C0"/>
        <rFont val="Arial"/>
        <family val="2"/>
      </rPr>
      <t>Mappe:</t>
    </r>
  </si>
  <si>
    <t>pflegeverhandlungen-sachsen@ikk-classic.de</t>
  </si>
  <si>
    <t>vertrag.chemnitz@kbs.de</t>
  </si>
  <si>
    <t>Pflege-SN@bkkmitte.de</t>
  </si>
  <si>
    <t>und</t>
  </si>
  <si>
    <t>pflege@pkv.de</t>
  </si>
  <si>
    <t>Pseudonym Nummer (bei geringfügig Beschäftigten bitte GfB eingeben)</t>
  </si>
  <si>
    <r>
      <t xml:space="preserve">Bitte auswählen! Angabe Grundlohn/-gehalt je VK </t>
    </r>
    <r>
      <rPr>
        <b/>
        <u/>
        <sz val="10"/>
        <color rgb="FFFF0000"/>
        <rFont val="Arial"/>
        <family val="2"/>
      </rPr>
      <t>oder</t>
    </r>
    <r>
      <rPr>
        <b/>
        <sz val="10"/>
        <color rgb="FFFF0000"/>
        <rFont val="Arial"/>
        <family val="2"/>
      </rPr>
      <t xml:space="preserve"> je Stellenanteil</t>
    </r>
  </si>
  <si>
    <t>gehe weiter zu Gesamtkalkulation</t>
  </si>
  <si>
    <t>keine Pflicht bei Neueinrichtungen</t>
  </si>
  <si>
    <t>Bitte auswählen:</t>
  </si>
  <si>
    <t>Pflichtangabe, sofern Zeitraum zw. Antragsdatum u. VV Beginn mind. 19 M umfasst!</t>
  </si>
  <si>
    <t>Pflichtangabe für alle LE außer für 1. Verhandlung einer Neueinrichtung</t>
  </si>
  <si>
    <t>die Belegungdaten (Ist) für 12 Monate eingetragen?</t>
  </si>
  <si>
    <t>die Belegungsdaten zum Stichtag eingetragen?</t>
  </si>
  <si>
    <t>die Personalkosten (Ist) eingetragen?</t>
  </si>
  <si>
    <t>die Stellenbesetzung zum Stichtag erfasst?</t>
  </si>
  <si>
    <t>die Sachaufwendungen (Ist) erfasst?</t>
  </si>
  <si>
    <t>Verhandlungsart</t>
  </si>
  <si>
    <t>indiv.Verh.</t>
  </si>
  <si>
    <t>PLZ</t>
  </si>
  <si>
    <t xml:space="preserve">PLZ  </t>
  </si>
  <si>
    <t>Ort</t>
  </si>
  <si>
    <t>Verband</t>
  </si>
  <si>
    <t>Zulassungsdatum</t>
  </si>
  <si>
    <t>Ausbildungsbetrieb</t>
  </si>
  <si>
    <t xml:space="preserve">Wichtig – die Arbeitsmappe muss geschützt werden </t>
  </si>
  <si>
    <t>Entgeltgruppe</t>
  </si>
  <si>
    <t>1.3.2. Summe Pflege- / Betreuungskräfte ohne mind. einjähriger Berufsausbildung:</t>
  </si>
  <si>
    <t>Anteil der Präsenzkräfte in der Hauswirtschaft.</t>
  </si>
  <si>
    <t>IK angebundene KZP:</t>
  </si>
  <si>
    <t xml:space="preserve">monatlicher Grundlohn/-gehalt in € je </t>
  </si>
  <si>
    <t>VK 
(nachrichtlich)</t>
  </si>
  <si>
    <r>
      <rPr>
        <b/>
        <sz val="11"/>
        <color theme="1"/>
        <rFont val="Arial"/>
        <family val="2"/>
      </rPr>
      <t>Angaben für den abgeschlossenen Zeitraum</t>
    </r>
    <r>
      <rPr>
        <b/>
        <sz val="11"/>
        <color rgb="FFFF0000"/>
        <rFont val="Arial"/>
        <family val="2"/>
      </rPr>
      <t xml:space="preserve"> - auf Basis 40 h / Woche je VK (Formlierung siehe RV)</t>
    </r>
  </si>
  <si>
    <t>Weitere Hilfsspalten für bedingte Formatierung je Plausi-Punkt</t>
  </si>
  <si>
    <r>
      <rPr>
        <b/>
        <sz val="10"/>
        <color theme="1"/>
        <rFont val="Arial"/>
        <family val="2"/>
      </rPr>
      <t>3</t>
    </r>
    <r>
      <rPr>
        <sz val="10"/>
        <color theme="1"/>
        <rFont val="Arial"/>
        <family val="2"/>
      </rPr>
      <t xml:space="preserve"> </t>
    </r>
    <r>
      <rPr>
        <sz val="8"/>
        <color theme="1"/>
        <rFont val="Arial"/>
        <family val="2"/>
      </rPr>
      <t>= Q4 = 0 (erfüllt)</t>
    </r>
  </si>
  <si>
    <r>
      <rPr>
        <b/>
        <sz val="10"/>
        <color theme="1"/>
        <rFont val="Arial"/>
        <family val="2"/>
      </rPr>
      <t xml:space="preserve"> 2</t>
    </r>
    <r>
      <rPr>
        <sz val="8"/>
        <color theme="1"/>
        <rFont val="Arial"/>
        <family val="2"/>
      </rPr>
      <t xml:space="preserve"> = Zeit zw. VV+Antragsdatum &lt; 19 M</t>
    </r>
  </si>
  <si>
    <r>
      <rPr>
        <b/>
        <sz val="10"/>
        <color theme="1"/>
        <rFont val="Arial"/>
        <family val="2"/>
      </rPr>
      <t xml:space="preserve"> 1</t>
    </r>
    <r>
      <rPr>
        <sz val="8"/>
        <color theme="1"/>
        <rFont val="Arial"/>
        <family val="2"/>
      </rPr>
      <t xml:space="preserve"> = Antrag leer</t>
    </r>
  </si>
  <si>
    <r>
      <rPr>
        <sz val="10"/>
        <color theme="1"/>
        <rFont val="Arial"/>
        <family val="2"/>
      </rPr>
      <t>4</t>
    </r>
    <r>
      <rPr>
        <sz val="8"/>
        <color theme="1"/>
        <rFont val="Arial"/>
        <family val="2"/>
      </rPr>
      <t xml:space="preserve"> = Q4= 1 (nicht erfüllt)</t>
    </r>
  </si>
  <si>
    <t>Ergebnistext ohne, Link ohne</t>
  </si>
  <si>
    <t>Ergebnistext, Link ohne</t>
  </si>
  <si>
    <t>Ergebnistext, Link</t>
  </si>
  <si>
    <t>Ergebnis - für bedingte Formatierung (Nr. 1 bis …)</t>
  </si>
  <si>
    <t>Abbildung in TAB Ford. * und Plausikriterium und</t>
  </si>
  <si>
    <r>
      <rPr>
        <b/>
        <sz val="10"/>
        <color theme="1"/>
        <rFont val="Arial"/>
        <family val="2"/>
      </rPr>
      <t>3</t>
    </r>
    <r>
      <rPr>
        <sz val="10"/>
        <color theme="1"/>
        <rFont val="Arial"/>
        <family val="2"/>
      </rPr>
      <t xml:space="preserve"> </t>
    </r>
    <r>
      <rPr>
        <sz val="8"/>
        <color theme="1"/>
        <rFont val="Arial"/>
        <family val="2"/>
      </rPr>
      <t>= Q5 = 0 (erfüllt)</t>
    </r>
  </si>
  <si>
    <r>
      <rPr>
        <sz val="10"/>
        <color theme="1"/>
        <rFont val="Arial"/>
        <family val="2"/>
      </rPr>
      <t>4</t>
    </r>
    <r>
      <rPr>
        <sz val="8"/>
        <color theme="1"/>
        <rFont val="Arial"/>
        <family val="2"/>
      </rPr>
      <t xml:space="preserve"> = Q5= 1 (nicht erfüllt)</t>
    </r>
  </si>
  <si>
    <t xml:space="preserve">  =&gt; je nach Ergebnis werden die Zellen in TAB Ford. Formatiert</t>
  </si>
  <si>
    <t xml:space="preserve">Korrigieren Sie Ihre Angaben zu den o.g. Punkten in den jeweiligen Tabellenblättern.  </t>
  </si>
  <si>
    <t>der Vergütungen für die Unterkunft und Verpflegung bzw. des Vergütungszuschlages gemäß § 43 b SGB XI nicht möglich.</t>
  </si>
  <si>
    <t xml:space="preserve">Sobald ein Punkt mit "nein" bewertet wird, ist eine Berechnung der Pflegesätze, </t>
  </si>
  <si>
    <t>für die Wahl Zeitraumes von 19 Monaten zwischen Antrag und VV-Beginn</t>
  </si>
  <si>
    <t>VV Beginn</t>
  </si>
  <si>
    <t>Hilfsfeld für Formatierung - im TAB Ford.keine Anzeige der Plausifelder bei leeren Antrag (Antragsdatum + Einrichtungsart + LZ-Beginn + Platzzahl leer + VV-Beginn) = Ergebnis 0,ansonsten 1</t>
  </si>
  <si>
    <t>Gesamtpersonalkosten</t>
  </si>
  <si>
    <t>Rufbereitschaft, Bereitschaftsdienst</t>
  </si>
  <si>
    <r>
      <rPr>
        <b/>
        <sz val="10"/>
        <color rgb="FFFF0000"/>
        <rFont val="Arial"/>
        <family val="2"/>
      </rPr>
      <t xml:space="preserve"> 2</t>
    </r>
    <r>
      <rPr>
        <sz val="8"/>
        <color rgb="FFFF0000"/>
        <rFont val="Arial"/>
        <family val="2"/>
      </rPr>
      <t xml:space="preserve"> = VV = LZ-Beginn</t>
    </r>
  </si>
  <si>
    <t>Antragsdatum</t>
  </si>
  <si>
    <t>E_Art</t>
  </si>
  <si>
    <t>Name_E</t>
  </si>
  <si>
    <t>Straße_E</t>
  </si>
  <si>
    <t>PLZ_E</t>
  </si>
  <si>
    <t>Ort_E</t>
  </si>
  <si>
    <t>TEL_E</t>
  </si>
  <si>
    <t>Fax_E</t>
  </si>
  <si>
    <t>EMail_E</t>
  </si>
  <si>
    <t>Web_E</t>
  </si>
  <si>
    <t>Name_T</t>
  </si>
  <si>
    <t>Straße_T</t>
  </si>
  <si>
    <t>PLZ_T</t>
  </si>
  <si>
    <t>Ort_T</t>
  </si>
  <si>
    <t>Tel_T</t>
  </si>
  <si>
    <t>Fax_T</t>
  </si>
  <si>
    <t>EMail_T</t>
  </si>
  <si>
    <t>Web_T</t>
  </si>
  <si>
    <t>AP_Funktion</t>
  </si>
  <si>
    <t>dav_KZP_Plätze</t>
  </si>
  <si>
    <t>LFZ_ab</t>
  </si>
  <si>
    <t>LFZ_bis</t>
  </si>
  <si>
    <t>letzte_LFZ_ab</t>
  </si>
  <si>
    <t>letzte_LFZ_bis</t>
  </si>
  <si>
    <t>ANT_AOK</t>
  </si>
  <si>
    <t>ANT_vdek</t>
  </si>
  <si>
    <t>ANT_BKK</t>
  </si>
  <si>
    <t>ANT_IKK</t>
  </si>
  <si>
    <t>ANT_KBS</t>
  </si>
  <si>
    <t>ANT_PKV</t>
  </si>
  <si>
    <t>ANT_Sonstige_SVT</t>
  </si>
  <si>
    <t>dav_SHT</t>
  </si>
  <si>
    <t>132g</t>
  </si>
  <si>
    <t>BEL_letze12M_PG1</t>
  </si>
  <si>
    <t>BEL_letze12M_PG2</t>
  </si>
  <si>
    <t>BEL_letze12M_PG3</t>
  </si>
  <si>
    <t>BEL_letze12M_PG4</t>
  </si>
  <si>
    <t>BEL_letze12M_PG5</t>
  </si>
  <si>
    <t>BEL_letze12M_SUM</t>
  </si>
  <si>
    <t>BEL_STICHTAG_PG1</t>
  </si>
  <si>
    <t>BEL_STICHTAG_PG2</t>
  </si>
  <si>
    <t>BEL_STICHTAG_PG3</t>
  </si>
  <si>
    <t>BEL_STICHTAG_PG4</t>
  </si>
  <si>
    <t>BEL_STICHTAG_PG5</t>
  </si>
  <si>
    <t>BEL_STICHTAG_SUM</t>
  </si>
  <si>
    <t>BEL_PROG_PG1</t>
  </si>
  <si>
    <t>BEL_PROG_PG2</t>
  </si>
  <si>
    <t>BEL_PROG_PG3</t>
  </si>
  <si>
    <t>BEL_PROG_PG4</t>
  </si>
  <si>
    <t>BEL_PROG_PG5</t>
  </si>
  <si>
    <t>BEL_PROG_SUM</t>
  </si>
  <si>
    <t>BEL_PROG_DAV_KZP_PG1</t>
  </si>
  <si>
    <t>BEL_PROG_DAV_KZP_PG2</t>
  </si>
  <si>
    <t>BEL_PROG_DAV_KZP_PG3</t>
  </si>
  <si>
    <t>BEL_PROG_DAV_KZP_PG4</t>
  </si>
  <si>
    <t>BEL_PROG_DAV_KZP_PG5</t>
  </si>
  <si>
    <t>BEL_PROG_DAV_KZP_SUM</t>
  </si>
  <si>
    <t>wö_AZ_je_VK</t>
  </si>
  <si>
    <t>letzte12M_PKL_von</t>
  </si>
  <si>
    <t>letzte12M_PKL_bis</t>
  </si>
  <si>
    <t>PKL_PERS_IST_111_PDL-stellvPDL</t>
  </si>
  <si>
    <t>PKL_AG_Brutto_IST_111_PDL-stellvPDL</t>
  </si>
  <si>
    <t>PKL_PERS_IST_112_QM</t>
  </si>
  <si>
    <t>PKL_AG_Brutto_IST_112_QM</t>
  </si>
  <si>
    <t>PKL_PERS_IST_113_HM</t>
  </si>
  <si>
    <t>PKL_AG_Brutto_IST_113_HM</t>
  </si>
  <si>
    <t>PKL_PERS_IST_121_PFK/BFK</t>
  </si>
  <si>
    <t>PKL_AG_Brutto_IST_121_PFK/BFK</t>
  </si>
  <si>
    <t>PKL_PERS_IST_121_PFK/BFK_DAV_PRÄSK</t>
  </si>
  <si>
    <t>PKL_PERS_IST_122_PK/BK</t>
  </si>
  <si>
    <t>PKL_PERS_IST_122_PK/BK_DAV_PRÄSK</t>
  </si>
  <si>
    <t>PKL_PERS_IST_123_PK/BK o.</t>
  </si>
  <si>
    <t>PKL_AG_Brutto_IST_123_PK/BK o.</t>
  </si>
  <si>
    <t>PKL_PERS_IST_123_PK/BK o._DAV_PRÄSK</t>
  </si>
  <si>
    <t>PKL_PERS_IST_12_SUM</t>
  </si>
  <si>
    <t>PKL_AG_Brutto_IST_12_SUM</t>
  </si>
  <si>
    <t>PKL_IST_121_PFK/BFK_ANT_113c</t>
  </si>
  <si>
    <t>PKL_IST_122_PK/BKANT_113c</t>
  </si>
  <si>
    <t>PKL_IST_123_PK/BK o.113c</t>
  </si>
  <si>
    <t>PKL_PERS_IST_131_43b_PK/BK</t>
  </si>
  <si>
    <t>PKL_AG_Brutto_IST_131_43b_PK/BK</t>
  </si>
  <si>
    <t>PKL_PERS_IST_132_43b_PK/BK o.</t>
  </si>
  <si>
    <t>PKL_AG_Brutto_IST_132_43b_PK/BK o.</t>
  </si>
  <si>
    <t>PKL_PERS_IST_13_43b_SUM</t>
  </si>
  <si>
    <t>PKL_AG_Brutto_IST_13_43b_SUM</t>
  </si>
  <si>
    <t>PKL_PERS_IST_14_LuV</t>
  </si>
  <si>
    <t>PKL_AG_Brutto_IST_14_LuV</t>
  </si>
  <si>
    <t>PKL_PERS_IST_15_HW</t>
  </si>
  <si>
    <t>PKL_AG_Brutto_IST_15_HW</t>
  </si>
  <si>
    <t>PKL_PERS_IST_15_HW_DAV_PräsK_PFK/BFK</t>
  </si>
  <si>
    <t>PKL_PERS_IST_15_HW_DAV_PräsK_PK/BK</t>
  </si>
  <si>
    <t>PKL_PERS_IST_15_HW_DAV_PräsK_PK/BK o.</t>
  </si>
  <si>
    <t>PKL_PERS_IST_16_KÜCHE</t>
  </si>
  <si>
    <t>PKL_AG_Brutto_IST_16_KÜCHE</t>
  </si>
  <si>
    <t>PKL_PERS_IST_17_HAT</t>
  </si>
  <si>
    <t>PKL_AG_Brutto_IST_17_HAT</t>
  </si>
  <si>
    <t>PKL_PERS_IST_18_FwD</t>
  </si>
  <si>
    <t>PKL_AG_Brutto_IST_18_FwD</t>
  </si>
  <si>
    <t>PKL_PERS_IST_18_FSJ</t>
  </si>
  <si>
    <t>PKL_AG_Brutto_IST_18_FSJ</t>
  </si>
  <si>
    <t>PKL_PERS_IST_18_SONS_SUM</t>
  </si>
  <si>
    <t>PKL_AG_Brutto_IST_18_SONS_SUM</t>
  </si>
  <si>
    <t>UNMITT_TARIFBIND</t>
  </si>
  <si>
    <t>ENTLOHNUNG_NACH</t>
  </si>
  <si>
    <t>TARIF_AVR</t>
  </si>
  <si>
    <t>TARIF_FASSG_VOM</t>
  </si>
  <si>
    <t>FORD_SV_ANT</t>
  </si>
  <si>
    <t>FORD_bAV_ANT</t>
  </si>
  <si>
    <t>FORD_SV_ANT_GfB</t>
  </si>
  <si>
    <t>FORD_GVWG_STD_LOHN_PFK/BFK</t>
  </si>
  <si>
    <t>FORD_GVWG_STD_LOHN_PK/BK</t>
  </si>
  <si>
    <t>FORD_GVWG_STD_LOHN_PK/BK o.</t>
  </si>
  <si>
    <t>FORD_GVWG_VK_PFK/BFK</t>
  </si>
  <si>
    <t>FORD_GVWG_VK_PK/BK</t>
  </si>
  <si>
    <t>FORD_GVWG_VK_PK/BK o.</t>
  </si>
  <si>
    <t>FORD_GVWG_VK_SUM</t>
  </si>
  <si>
    <t>FORD_GVWG_REG</t>
  </si>
  <si>
    <t>FORD_GVWG_GES_BRUTTO_PFK/BFK</t>
  </si>
  <si>
    <t>FORD_GVWG_GES_BRUTTO_PK/BK</t>
  </si>
  <si>
    <t>FORD_GVWG_GES_BRUTTO_PK/BK o.</t>
  </si>
  <si>
    <t>PERS_STICHT_111_PDL-stellvPDL</t>
  </si>
  <si>
    <t>PERS_STICHT_112_QM</t>
  </si>
  <si>
    <t>PERS_STICHT_113_HM</t>
  </si>
  <si>
    <t>PERS_STICHT_11_SUM</t>
  </si>
  <si>
    <t>PERS_STICHT_121_PFK/BFK</t>
  </si>
  <si>
    <t>PERS_STICHT_121_PFK/BFK_DAV_PRÄSK</t>
  </si>
  <si>
    <t>PERS_STICHT_122_PK/BK</t>
  </si>
  <si>
    <t>PERS_STICHT_122_PK/BK_DAV_PRÄSK</t>
  </si>
  <si>
    <t>PERS_STICHT_123_PK/BK o.</t>
  </si>
  <si>
    <t>PERS_STICHT_123_PK/BK o._DAV_PRÄSK</t>
  </si>
  <si>
    <t>PERS_STICHT_12_SUM</t>
  </si>
  <si>
    <t>ANT_113c_STICHT_121_PFK/BFK</t>
  </si>
  <si>
    <t>ANT_113c_STICHT_122_PK/BK</t>
  </si>
  <si>
    <t>ANT_113c_STICHT_123_PK/BK o.</t>
  </si>
  <si>
    <t xml:space="preserve">PERS_STICHT_131_43b_PK/BK </t>
  </si>
  <si>
    <t xml:space="preserve">PERS_STICHT_132_43b_PK/BK o. </t>
  </si>
  <si>
    <t>PERS_STICHT_13_43b_SUM</t>
  </si>
  <si>
    <t>PERS_STICHT_14_LuV_LTG</t>
  </si>
  <si>
    <t>PERS_STICHT_14_LuV_VW</t>
  </si>
  <si>
    <t>PERS_STICHT_14_LuV_SUM</t>
  </si>
  <si>
    <t>PERS_STICHT_15_HW</t>
  </si>
  <si>
    <t>PERS_STICHT_15_HW_DAV_PRÄSK_PFK/BFK</t>
  </si>
  <si>
    <t>PERS_STICHT_15_HW_DAV_PRÄSK_PK/BK</t>
  </si>
  <si>
    <t>PERS_STICHT_15_HW_DAV_PRÄSK_PK/BK o.</t>
  </si>
  <si>
    <t>PERS_STICHT_16_KÜCHE</t>
  </si>
  <si>
    <t>PERS_STICHT_17_HAT</t>
  </si>
  <si>
    <t>PERS_STICHT_18_FwD</t>
  </si>
  <si>
    <t>PERS_STICHT_18_FSJ</t>
  </si>
  <si>
    <t>PERS_PROGN_111_PDL-stellvPDL</t>
  </si>
  <si>
    <t>PERS_PROGN_112_QM</t>
  </si>
  <si>
    <t>PERS_PROGN_113_HM</t>
  </si>
  <si>
    <t>PERS_PROGN_11_SUM</t>
  </si>
  <si>
    <t>PERS_PROGN_121_PFK/BFK</t>
  </si>
  <si>
    <t>PERS_PROGN_121_PFK/BFK_DAV_PRÄSK</t>
  </si>
  <si>
    <t>PERS_PROGN_122_PK/BK</t>
  </si>
  <si>
    <t>PERS_PROGN_122_PK/BK_DAV_PRÄSK</t>
  </si>
  <si>
    <t>PERS_PROGN_123_PK/BK o.</t>
  </si>
  <si>
    <t>PERS_PROGN_123_PK/BK o._DAV_PRÄSK</t>
  </si>
  <si>
    <t>PERS_PROGN_12_SUM</t>
  </si>
  <si>
    <t>ANT_113c_PROGN_121_PFK/BFK</t>
  </si>
  <si>
    <t>ANT_113c_PROGN_122_PK/BK</t>
  </si>
  <si>
    <t>ANT_113c_PROGN_123_PK/BK o.</t>
  </si>
  <si>
    <t xml:space="preserve">PERS_PROGN_131_43b_PK/BK </t>
  </si>
  <si>
    <t xml:space="preserve">PERS_PROGN_132_43b_PK/BK o. </t>
  </si>
  <si>
    <t>PERS_PROGN_13_43b_SUM</t>
  </si>
  <si>
    <t>PERS_PROGN_14_LuV_LTG</t>
  </si>
  <si>
    <t>PERS_PROGN_14_LuV_VW</t>
  </si>
  <si>
    <t>PERS_PROGN_14_LuV_SUM</t>
  </si>
  <si>
    <t>PERS_PROGN_15_HW</t>
  </si>
  <si>
    <t>PERS_PROGN_15_HW_DAV_PRÄSK_PFK/BFK</t>
  </si>
  <si>
    <t>PERS_PROGN_15_HW_DAV_PRÄSK_PK/BK</t>
  </si>
  <si>
    <t>PERS_PROGN_15_HW_DAV_PRÄSK_PK/BK o.</t>
  </si>
  <si>
    <t>PERS_PROGN_15_HW_SUM</t>
  </si>
  <si>
    <t>ANT_PROGN_PRÄSK_15_HW</t>
  </si>
  <si>
    <t>PERS_PROGN_16_KÜCHE</t>
  </si>
  <si>
    <t>PERS_PROGN_17_HAT</t>
  </si>
  <si>
    <t>PERS_PROGN_18_FwD</t>
  </si>
  <si>
    <t>PERS_PROGN_18_FSJ</t>
  </si>
  <si>
    <t>PNK_PROGN_BG</t>
  </si>
  <si>
    <t>PNK_PROGN_AUSGL</t>
  </si>
  <si>
    <t>PNK_PROGN_FORTB</t>
  </si>
  <si>
    <t>PNK_PROGN_ARB-GES-SCHUTZ</t>
  </si>
  <si>
    <t>PNK_PROGN_PROZ</t>
  </si>
  <si>
    <t>PNK_PROGN_SUM</t>
  </si>
  <si>
    <t>stfr_Sachbez_PROGN_PROZ</t>
  </si>
  <si>
    <t>stfr_Sachbez_PROGN</t>
  </si>
  <si>
    <t>UR_PROGN_PROZ</t>
  </si>
  <si>
    <t>UR_PROGN</t>
  </si>
  <si>
    <t>GES-PeKo_PROGN_111_PDL-stellvPDL</t>
  </si>
  <si>
    <t>GES_PeKo_PROGN_112_QM</t>
  </si>
  <si>
    <t>GES_PeKo_PROGN_113_HM</t>
  </si>
  <si>
    <t>GES_PeKo_PROGN_11_SUM</t>
  </si>
  <si>
    <t>GES_PeKo_PROGN_121_PFK/BFK</t>
  </si>
  <si>
    <t>GES_PeKo_PROGN_122_PK/BK</t>
  </si>
  <si>
    <t>GES_PeKo_PROGN_123_PK/BK o.</t>
  </si>
  <si>
    <t>GES_PeKo_PROGN_12_SUM</t>
  </si>
  <si>
    <t xml:space="preserve">GES_PeKo_PROGN_131_43b_PK/BK </t>
  </si>
  <si>
    <t xml:space="preserve">GES_PeKo_PROGN_132_43b_PK/BK o. </t>
  </si>
  <si>
    <t>GES_PeKo_PROGN_13_43b_SUM</t>
  </si>
  <si>
    <t>GES_PeKo_PROGN_14_LuV_LTG</t>
  </si>
  <si>
    <t>GES_PeKo_PROGN_14_LuV_VW</t>
  </si>
  <si>
    <t>GES_PeKo_PROGN_14_LuV_SUM</t>
  </si>
  <si>
    <t>GES_PeKo_PROGN_15_HW_SUM</t>
  </si>
  <si>
    <t>GES_PeKo_PROGN_16_KÜCHE_SUM</t>
  </si>
  <si>
    <t>GES_PeKo_PROGN_17_HAT_SUM</t>
  </si>
  <si>
    <t>PeKo_PROGN_18_FwD_STELLE</t>
  </si>
  <si>
    <t>PeKo_PROGN_18_FSJ_STELLE</t>
  </si>
  <si>
    <t>SK_Zeitraum_Wahl</t>
  </si>
  <si>
    <t>SK_ZEITR_VON</t>
  </si>
  <si>
    <t>SK_ZEITR_BIS</t>
  </si>
  <si>
    <t>SK_ZEITR_21_LEBENSM</t>
  </si>
  <si>
    <t>SK_ZEITR_22_PFLEGEBEDARF</t>
  </si>
  <si>
    <t>SK_ZEITR_23_W-E-B</t>
  </si>
  <si>
    <t>SK_ZEITR_24_VW_BEDARF</t>
  </si>
  <si>
    <t>SK_ZEITR_25_VW_DIENSTE</t>
  </si>
  <si>
    <t>SK_ZEITR_26_BETREUUNG</t>
  </si>
  <si>
    <t>SK_ZEITR_27_WIRTSCHAFT</t>
  </si>
  <si>
    <t>SK_ZEITR_28_S-A-V</t>
  </si>
  <si>
    <t>SK_ZEITR_29_WARTUNG</t>
  </si>
  <si>
    <t>SK_ZEITR_210_SONSTIGE</t>
  </si>
  <si>
    <t>SK_ZEITR_2_SUM</t>
  </si>
  <si>
    <t>FL_ZEITR_31_Küche</t>
  </si>
  <si>
    <t>FL_ZEITR_32_WÄSCHEREI</t>
  </si>
  <si>
    <t>FL_ZEITR_33_WÄSCHE-KZ</t>
  </si>
  <si>
    <t>FL_ZEITR_34_REINIGUNG</t>
  </si>
  <si>
    <t>FL_ZEITR_35_VW</t>
  </si>
  <si>
    <t>FL_ZEITR_36_HT</t>
  </si>
  <si>
    <t>FL_ZEITR_37_EINTR</t>
  </si>
  <si>
    <t>FL_ZEITR_37_ZEILE1</t>
  </si>
  <si>
    <t>FL_ZEITR_38_EINTR</t>
  </si>
  <si>
    <t>FL_ZEITR_38_ZEILE2</t>
  </si>
  <si>
    <t>FL_ZEITR_3_SUM</t>
  </si>
  <si>
    <t>SK_PROGN_21_LEBENSM</t>
  </si>
  <si>
    <t>SK_PROGN_22_PFLEGEBEDARF</t>
  </si>
  <si>
    <t>SK_PROGN_23_W-E-B</t>
  </si>
  <si>
    <t>SK_PROGN_24_VW_BEDARF</t>
  </si>
  <si>
    <t>SK_PROGN_25_VW_DIENSTE</t>
  </si>
  <si>
    <t>SK_PROGN_26_BETREUUNG</t>
  </si>
  <si>
    <t>SK_PROGN_27_WIRTSCHAFT</t>
  </si>
  <si>
    <t>SK_PROGN_28_S-A-V</t>
  </si>
  <si>
    <t>SK_PROGN_29_WARTUNG</t>
  </si>
  <si>
    <t>SK_PROGN_210_SONSTIGE</t>
  </si>
  <si>
    <t>SK_PROGN_2_SUM</t>
  </si>
  <si>
    <t>FL_PROGN_31_Küche</t>
  </si>
  <si>
    <t>FL_PROGN_32_WÄSCHEREI</t>
  </si>
  <si>
    <t>FL_PROGN_33_WÄSCHE-KZ</t>
  </si>
  <si>
    <t>FL_PROGN_34_REINIGUNG</t>
  </si>
  <si>
    <t>FL_PROGN_35_VW</t>
  </si>
  <si>
    <t>FL_PROGN_36_HT</t>
  </si>
  <si>
    <t>FL_PROGN_37_EINTR</t>
  </si>
  <si>
    <t>FL_PROGN_37_ZEILE1</t>
  </si>
  <si>
    <t>FL_PROGN_38_EINTR</t>
  </si>
  <si>
    <t>FL_PROGN_38_ZEILE2</t>
  </si>
  <si>
    <t>FL_PROGN_3_SUM</t>
  </si>
  <si>
    <t>SK_PROGN-BT_21_LEBENSM</t>
  </si>
  <si>
    <t>SK_PROGN-BT_22_PFLEGEBEDARF</t>
  </si>
  <si>
    <t>SK_PROGN-BT_23_W-E-B</t>
  </si>
  <si>
    <t>SK_PROGN-BT_24_VW_BEDARF</t>
  </si>
  <si>
    <t>SK_PROGN-BT_25_VW_DIENSTE</t>
  </si>
  <si>
    <t>SK_PROGN-BT_26_BETREUUNG</t>
  </si>
  <si>
    <t>SK_PROGN-BT_27_WIRTSCHAFT</t>
  </si>
  <si>
    <t>SK_PROGN-BT_28_S-A-V</t>
  </si>
  <si>
    <t>SK_PROGN-BT_29_WARTUNG</t>
  </si>
  <si>
    <t>SK_PROGN-BT_210_SONSTIGE</t>
  </si>
  <si>
    <t>SK_PROGN-BT_2_SUM</t>
  </si>
  <si>
    <t>FL_PROGN-BT_31_Küche</t>
  </si>
  <si>
    <t>FL_PROGN-BT_32_WÄSCHEREI</t>
  </si>
  <si>
    <t>FL_PROGN-BT_33_WÄSCHE-KZ</t>
  </si>
  <si>
    <t>FL_PROGN-BT_34_REINIGUNG</t>
  </si>
  <si>
    <t>FL_PROGN-BT_35_VW</t>
  </si>
  <si>
    <t>FL_PROGN-BT_36_HT</t>
  </si>
  <si>
    <t>FL_PROGN-BT_37_EINTR</t>
  </si>
  <si>
    <t>FL_PROGN-BT_37_ZEILE1</t>
  </si>
  <si>
    <t>FL_PROGN-BT_38_EINTR</t>
  </si>
  <si>
    <t>FL_PROGN-BT_38_ZEILE2</t>
  </si>
  <si>
    <t>FL_PROGN-BT_3_SUM</t>
  </si>
  <si>
    <t>SK_PROGN_UR_PROZ</t>
  </si>
  <si>
    <t>SK_PROGN_UR_BETR</t>
  </si>
  <si>
    <t>FORD_VK_111_PDL-stellvPDL</t>
  </si>
  <si>
    <t>FORD_VK_112_QM</t>
  </si>
  <si>
    <t>FORD_VK_113_HM</t>
  </si>
  <si>
    <t>FORD_VK_121_PFK/BFK</t>
  </si>
  <si>
    <t>FORD_VK_122_PK/BK</t>
  </si>
  <si>
    <t>FORD_VK_123_PK/BK o.</t>
  </si>
  <si>
    <t>FORD_VK_131_43b</t>
  </si>
  <si>
    <t>FORD_VK_14_LuV</t>
  </si>
  <si>
    <t>FORD_VK_15_HW</t>
  </si>
  <si>
    <t>FORD_VK_16_KÜCHE</t>
  </si>
  <si>
    <t>FORD_VK_17_HAT</t>
  </si>
  <si>
    <t>FORD_VK_111_PDL-stellvPDL_DAV_VST</t>
  </si>
  <si>
    <t>FORD_VK_112_QM_DAV_VST</t>
  </si>
  <si>
    <t>FORD_VK_113_HM_DAV_VST</t>
  </si>
  <si>
    <t>FORD_VK_121_PFK/BFK_DAV_VST</t>
  </si>
  <si>
    <t>FORD_VK_122_PK/BK_DAV_VST</t>
  </si>
  <si>
    <t>FORD_VK_123_PK/BK o._DAV_VST</t>
  </si>
  <si>
    <t>FORD_VK_131_43b_DAV_VST</t>
  </si>
  <si>
    <t>FORD_VK_14_LuV_DAV_VST</t>
  </si>
  <si>
    <t>FORD_VK_15_HW_DAV_VST</t>
  </si>
  <si>
    <t>FORD_VK_16_KÜCHE_DAV_VST</t>
  </si>
  <si>
    <t>FORD_VK_17_HAT_DAV_VST</t>
  </si>
  <si>
    <t>FORD_VK_111_PDL-stellvPDL_DAV_KZP</t>
  </si>
  <si>
    <t>FORD_VK_112_QM_DAV_KZP</t>
  </si>
  <si>
    <t>FORD_VK_113_HM_DAV_KZP</t>
  </si>
  <si>
    <t>FORD_VK_121_PFK/BFK_DAV_KZP</t>
  </si>
  <si>
    <t>FORD_VK_122_PK/BK_DAV_KZP</t>
  </si>
  <si>
    <t>FORD_VK_123_PK/BK o._DAV_KZP</t>
  </si>
  <si>
    <t>FORD_VK_131_43b_DAV_KZP</t>
  </si>
  <si>
    <t>FORD_VK_14_LuV_DAV_KZP</t>
  </si>
  <si>
    <t>FORD_VK_15_HW_DAV_KZP</t>
  </si>
  <si>
    <t>FORD_VK_16_KÜCHE_DAV_KZP</t>
  </si>
  <si>
    <t>FORD_VK_17_HAT_DAV_KZP</t>
  </si>
  <si>
    <t>FORD_ANT_113c_121_PFK/BFK</t>
  </si>
  <si>
    <t>FORD_ANT_113c_122_PK/BK</t>
  </si>
  <si>
    <t>FORD_ANT_113c_123_PK/BK o.</t>
  </si>
  <si>
    <t>FORD_PR_131_43b_</t>
  </si>
  <si>
    <t>FORD_PR_14_LuV_</t>
  </si>
  <si>
    <t>FORD_PR_15_HW_</t>
  </si>
  <si>
    <t>FORD_PR_16_KÜCHE_</t>
  </si>
  <si>
    <t>FORD_PR_17_HAT_</t>
  </si>
  <si>
    <t>FORD_PR_18_FwD_FSJ_</t>
  </si>
  <si>
    <t>FORD_EEE_VST</t>
  </si>
  <si>
    <t>FORD_PS-PG1_VST</t>
  </si>
  <si>
    <t>FORD_PS-PG2_VST</t>
  </si>
  <si>
    <t>FORD_PS-PG3_VST</t>
  </si>
  <si>
    <t>FORD_PS-PG4_VST</t>
  </si>
  <si>
    <t>FORD_PS-PG5_VST</t>
  </si>
  <si>
    <t>FORD_43b_VST</t>
  </si>
  <si>
    <t>FORD_U_VST</t>
  </si>
  <si>
    <t>FORD_V_VST</t>
  </si>
  <si>
    <t>FORD_PS-PG1-5_KZP</t>
  </si>
  <si>
    <t>FORD_43b_KZP</t>
  </si>
  <si>
    <t>FORD_U_KZP</t>
  </si>
  <si>
    <t>FORD_V_KZP</t>
  </si>
  <si>
    <r>
      <rPr>
        <b/>
        <sz val="10"/>
        <color theme="1"/>
        <rFont val="Arial"/>
        <family val="2"/>
      </rPr>
      <t xml:space="preserve"> 2</t>
    </r>
    <r>
      <rPr>
        <sz val="8"/>
        <color theme="1"/>
        <rFont val="Arial"/>
        <family val="2"/>
      </rPr>
      <t xml:space="preserve"> = Zeit zw. VV+Antragsdatum &lt; 19 M </t>
    </r>
  </si>
  <si>
    <r>
      <rPr>
        <b/>
        <sz val="10"/>
        <color theme="1"/>
        <rFont val="Arial"/>
        <family val="2"/>
      </rPr>
      <t xml:space="preserve"> 2</t>
    </r>
    <r>
      <rPr>
        <sz val="8"/>
        <color theme="1"/>
        <rFont val="Arial"/>
        <family val="2"/>
      </rPr>
      <t xml:space="preserve"> = </t>
    </r>
    <r>
      <rPr>
        <sz val="8"/>
        <color rgb="FF7030A0"/>
        <rFont val="Arial"/>
        <family val="2"/>
      </rPr>
      <t xml:space="preserve"> LE zahlt reg. übl. EN</t>
    </r>
  </si>
  <si>
    <t xml:space="preserve"> =&gt; Bedingung gilt für Tarifbinder und Anlehner, bei reg. Übl. En = Ergebnis LEER</t>
  </si>
  <si>
    <t xml:space="preserve">durchschnittliche Bruttopersonalkosten </t>
  </si>
  <si>
    <t>die Anlagen zum Tarif/ AVR beigefügt?</t>
  </si>
  <si>
    <r>
      <t>durchschnittliche Gesamt-
bruttopersonalkosten in €</t>
    </r>
    <r>
      <rPr>
        <b/>
        <u/>
        <sz val="10"/>
        <rFont val="Arial"/>
        <family val="2"/>
      </rPr>
      <t xml:space="preserve"> je VK</t>
    </r>
  </si>
  <si>
    <t>(inkl. Personalnebenkosten, Unternehmerrisiko)</t>
  </si>
  <si>
    <t>die PDL / stellv. PDL (Stellenumfang Prognose) entsprechend dem Rahmenvertrag?</t>
  </si>
  <si>
    <t>Summe
PK/BK + PK/BK o.</t>
  </si>
  <si>
    <t>VK lt. PKL:</t>
  </si>
  <si>
    <t>VK lt. §113 c Abs. 1 SGB XI:</t>
  </si>
  <si>
    <t>IK_E</t>
  </si>
  <si>
    <t>Auslastung_E</t>
  </si>
  <si>
    <t>FORD_Anzahhl_18_FwD_FSJ</t>
  </si>
  <si>
    <t>FORD_Anzahl_18_FwD_FSJ_DAV_KZP</t>
  </si>
  <si>
    <t>FORD_Anzahl_18_FwD_FSJ_DAV_VST</t>
  </si>
  <si>
    <t xml:space="preserve"> Anteil der Pflege- / Betreuungsfachkräfte (mind. dreijährige
 Berufsausbildung) in Höhe von:</t>
  </si>
  <si>
    <t xml:space="preserve"> Anteil der Pflege- / Betreuungskräfte (ohne mind. einjährige
 Berufsausbildung) in Höhe von:</t>
  </si>
  <si>
    <t>Anteil der Pflege- / Betreuungsfachkräfte (mind. dreijährige Berufsausbildung) in Höhe von:</t>
  </si>
  <si>
    <t>Anteil der Pflege- / Betreuungskräfte (mind. einjährige Berufsausbildung) in Höhe von:</t>
  </si>
  <si>
    <t>Anteil der Pflege- / Betreuungskräfte (ohne mind. einjährige Berufsausbildung) in Höhe von:</t>
  </si>
  <si>
    <t>70% VK-Anteil § 113 c (1) SGB XI</t>
  </si>
  <si>
    <t>SK_BT_abweichender Zeitraum</t>
  </si>
  <si>
    <t xml:space="preserve"> Anteil der Pflege- / Betreuungskräfte (mind. einjährige
 Berufsausbildung)  in Höhe von:</t>
  </si>
  <si>
    <t>1.1.2.</t>
  </si>
  <si>
    <t>1.1.3.</t>
  </si>
  <si>
    <t>PKL_AG_Brutto_IST_121_PK/BK</t>
  </si>
  <si>
    <t>IK_KZP</t>
  </si>
  <si>
    <r>
      <t xml:space="preserve">Pflege- / Betreuungsfachkräfte mit mind. dreijähriger Berufsausbildung </t>
    </r>
    <r>
      <rPr>
        <sz val="8"/>
        <color theme="3"/>
        <rFont val="Arial"/>
        <family val="2"/>
      </rPr>
      <t xml:space="preserve">(§ 113 c Abs. 1 Nr. 3 SGB XI) </t>
    </r>
  </si>
  <si>
    <t>Anteil von der maximal möglichen Personalausstattung</t>
  </si>
  <si>
    <t>(inkl. Zuschlag nach 
§ 32 Abs. 4 Rahmenvertrag)</t>
  </si>
  <si>
    <t>Sachaufwendungen - Fremdleistungen/Leistungen des Trägers für die Pflegeeinrichtung</t>
  </si>
  <si>
    <t>IK:</t>
  </si>
  <si>
    <t>1.2. Summe Pflege / Betreuung:</t>
  </si>
  <si>
    <t>Hinweise zur Aufforderung zum Abschluss einer Pflegesatzvereinbarung gemäß §§ 84, 85 SGB XI sowie von Vereinbarungen nach § 75 SGB XII</t>
  </si>
  <si>
    <t>Aus Gründen der besseren Lesbarkeit wird auf die gleichzeitige Verwendung männlicher und weiblicher Sprachformen verzichtet. Sämtliche Personenbezeichnungen gelten gleichwohl für alle Geschlechter.</t>
  </si>
  <si>
    <t>Inhaltsverzeichnis</t>
  </si>
  <si>
    <t>1. Allgemeine Hinweise</t>
  </si>
  <si>
    <t>2. Antragsunterlagen</t>
  </si>
  <si>
    <t>2.1. Mappe Allgemeine Angaben</t>
  </si>
  <si>
    <t>2.2. Mappe Belegung / wöchentliche Arbeitszeit</t>
  </si>
  <si>
    <t>2.3. Mappe Personalkostenaufstellung</t>
  </si>
  <si>
    <t>2.4. Mappe Personalaufwendungen</t>
  </si>
  <si>
    <t>2.5. Mappe Sachaufwendungen</t>
  </si>
  <si>
    <t>2.6. Mappe Forderungen</t>
  </si>
  <si>
    <t>2.7. Mappe Gesamtkalkulation</t>
  </si>
  <si>
    <t>2.8. Mappe Bewohnervertretung</t>
  </si>
  <si>
    <t>zurück</t>
  </si>
  <si>
    <r>
      <t xml:space="preserve">2. Antragsunterlagen
</t>
    </r>
    <r>
      <rPr>
        <sz val="11"/>
        <color theme="1"/>
        <rFont val="Arial"/>
        <family val="2"/>
      </rPr>
      <t xml:space="preserve">Die Antragsunterlagen enthalten Formeln, so dass sich die beantragten Pflegesätze und Entgelte errechnen. Es sind ausschließlich die gelben Felder auszufüllen. </t>
    </r>
  </si>
  <si>
    <r>
      <rPr>
        <b/>
        <sz val="11"/>
        <color theme="1"/>
        <rFont val="Arial"/>
        <family val="2"/>
      </rPr>
      <t>2.1. Mappe Allgemeine Angaben</t>
    </r>
    <r>
      <rPr>
        <sz val="11"/>
        <color theme="1"/>
        <rFont val="Arial"/>
        <family val="2"/>
      </rPr>
      <t xml:space="preserve">
Zur korrekten Anwendung der Unterlagen ist es erforderlich, dass die </t>
    </r>
    <r>
      <rPr>
        <sz val="11"/>
        <color rgb="FF000000"/>
        <rFont val="Arial"/>
        <family val="2"/>
      </rPr>
      <t xml:space="preserve">Pflegeeinrichtung im ersten Schritt die Art der Einrichtung auswählt. </t>
    </r>
  </si>
  <si>
    <r>
      <t xml:space="preserve">Eine </t>
    </r>
    <r>
      <rPr>
        <u/>
        <sz val="11"/>
        <color rgb="FF000000"/>
        <rFont val="Arial"/>
        <family val="2"/>
      </rPr>
      <t>angebundene</t>
    </r>
    <r>
      <rPr>
        <sz val="11"/>
        <color rgb="FF000000"/>
        <rFont val="Arial"/>
        <family val="2"/>
      </rPr>
      <t xml:space="preserve"> Kurzzeitpflege verfügt über einen eigenen Versorgungsvertrag und der Betrieb erfolgt in Anbindung an eine vollstationäre [Pflege-] Einrichtung. 
Bei der angebundenen Kurzzeitpflege bestimmt sich die Art der Vergütungsfindung nach der Selbständigkeit des Personalkörpers. Sofern die angebundene Kurzzeitpflege wirtschaftlich selbständig und unabhängig vom Personal der vollstationären Pflege betrieben wird, erfolgt die Vergütungsfindung wie bei der solitären Kurzzeitpflege in einer eigenständigen Verhandlung, kann auf Wunsch des Leistungserbringers jedoch auch aus der Vergütung der vollstationären Pflege abgeleitet werden. Bei der Ableitung der Vergütung für die angebundene Kurzzeitpflege sollte die Vergütungsverhandlung gemeinsam mit der vollstationären Einrichtung erfolgen. Wenn die angebundene Kurzzeitpflege in Gemeinschaft mit dem Personal der vollstationären Pflege (gemeinsamer Personalpool) und damit wirtschaftlich unselbständig betrieben wird, erfolgt die Vergütungsfindung wie bei der integrierten Kurzzeitpflege immer mittels einer Ableitung aus der Vergütung der vollstationären Pflege. 
Beispiel:
vollstationärer Versorgungsvertrag: 40 Plätze
angebundene Kurzzeitpflege (mit eigenem IK für die Kurzzeitpflege): 5 Plätze 
Gesamtplatzzahl 45, davon 5 Kurzzeitpflegeplätze
</t>
    </r>
  </si>
  <si>
    <r>
      <t xml:space="preserve">Wenn eine Pflegeeinrichtung die Vergütung für die angebundene / integrierte Kurzzeitpflege aus dem vollstationären Antrag ableiten lassen möchte, ist die Platzzahl insgesamt einzutra-
gen und die Platzzahl der </t>
    </r>
    <r>
      <rPr>
        <b/>
        <sz val="11"/>
        <color rgb="FF000000"/>
        <rFont val="Arial"/>
        <family val="2"/>
      </rPr>
      <t>Kurzzeitpflege als DAVON</t>
    </r>
    <r>
      <rPr>
        <sz val="11"/>
        <color rgb="FF000000"/>
        <rFont val="Arial"/>
        <family val="2"/>
      </rPr>
      <t xml:space="preserve">position anzugeben. 
</t>
    </r>
    <r>
      <rPr>
        <u/>
        <sz val="11"/>
        <color rgb="FF000000"/>
        <rFont val="Arial"/>
        <family val="2"/>
      </rPr>
      <t>Eingestreute</t>
    </r>
    <r>
      <rPr>
        <sz val="11"/>
        <color rgb="FF000000"/>
        <rFont val="Arial"/>
        <family val="2"/>
      </rPr>
      <t xml:space="preserve"> Kurzzeitpflege
Eine vollstationäre Pflegeeinrichtung kann freistehende Dauerpflegeplätze für Kurzzeitpflege anbieten und zu den vollstationären Pflegesätzen und Entgelten abrechnen.</t>
    </r>
  </si>
  <si>
    <t>Die Parteien der Pflegesatzvereinbarung sind gemäß § 85 Abs. 2 SGB XI zu ermitteln und ihr Anteil an den Belegungstagen der Pflegeeinrichtung entsprechend anzugeben. Der Anteil der Bewohner, die ergänzende Leistungen der Sozialhilfe erhalten, ist zusätzlich als Davonposition auszuweisen. 
Bei den nachrichtlichen Angaben (Ausbildungsbetrieb und / oder Praktikumsbetrieb nach dem Pflegeberufegesetz und Angebot gesundheitliche Versorgungsplanung in der letzten Lebensphase (§132g SGB V)) handelt es sich um eine ja-nein-Option. Die Pflegeeinrichtung trifft hier die Aussage, ob eine solche Situation für sie vorliegt. Aufwendungen der Pflegeeinrichtung, die nach anderen gesetzlichen Vorgaben finanziert werden, dürfen im Pflegesatz bzw. in den Entgelten nicht enthalten sein.</t>
  </si>
  <si>
    <r>
      <rPr>
        <b/>
        <sz val="11"/>
        <color theme="1"/>
        <rFont val="Arial"/>
        <family val="2"/>
      </rPr>
      <t>2.2. Mappe Belegung / wöchentliche Arbeitszeit</t>
    </r>
    <r>
      <rPr>
        <sz val="11"/>
        <color theme="1"/>
        <rFont val="Arial"/>
        <family val="2"/>
      </rPr>
      <t xml:space="preserve">
</t>
    </r>
    <r>
      <rPr>
        <u/>
        <sz val="11"/>
        <color rgb="FF000000"/>
        <rFont val="Arial"/>
        <family val="2"/>
      </rPr>
      <t>Auslastungsgrad</t>
    </r>
    <r>
      <rPr>
        <sz val="11"/>
        <color rgb="FF000000"/>
        <rFont val="Arial"/>
        <family val="2"/>
      </rPr>
      <t xml:space="preserve">
vollstationäre Pflegeeinrichtung 96 % bis 100 %
Der abgeleitete Pflegesatz und die Entgelte der angebundenen / integrierten Kurzzeitpflegeplätze werden dabei mit einem Auslastungsgrad von 80 % kalkuliert.
</t>
    </r>
    <r>
      <rPr>
        <u/>
        <sz val="11"/>
        <color rgb="FF000000"/>
        <rFont val="Arial"/>
        <family val="2"/>
      </rPr>
      <t>jährliche Öffnungstage</t>
    </r>
    <r>
      <rPr>
        <sz val="11"/>
        <color rgb="FF000000"/>
        <rFont val="Arial"/>
        <family val="2"/>
      </rPr>
      <t>: 365 Tage</t>
    </r>
  </si>
  <si>
    <r>
      <rPr>
        <u/>
        <sz val="11"/>
        <color rgb="FF000000"/>
        <rFont val="Arial"/>
        <family val="2"/>
      </rPr>
      <t>Pflegebedürftige in der Einrichtung</t>
    </r>
    <r>
      <rPr>
        <sz val="11"/>
        <color rgb="FF000000"/>
        <rFont val="Arial"/>
        <family val="2"/>
      </rPr>
      <t xml:space="preserve">
Bei bestehenden Pflegeeinrichtungen sind die Belegungstage für 12 Monate insgesamt (ggf. inkl. integrierter / angebundener Kurzzeitpflege) zu ermitteln. Der Beginn des Belegungszeitraumes darf nicht</t>
    </r>
    <r>
      <rPr>
        <sz val="11"/>
        <color theme="1"/>
        <rFont val="Arial"/>
        <family val="2"/>
      </rPr>
      <t xml:space="preserve"> mehr als 24 Monate vor Laufzeitbeginn</t>
    </r>
    <r>
      <rPr>
        <sz val="11"/>
        <color rgb="FF000000"/>
        <rFont val="Arial"/>
        <family val="2"/>
      </rPr>
      <t xml:space="preserve"> liegen. 
Zur Erhebung der Pflegebedürftigen ist ein Stichtag zu wählen, der nicht länger als 3 Monate vor der Antragstellung liegen sollte und die Belegung (ggf. inkl. integrierter / angebundener Kurzzeitpflege) anzugeben. Grundlage für die Prüfung ist das Datum der Antragstellung aus der Mappe Allgemeine Angaben.
Die Pflegeeinrichtung kann bei der prognostischen Belegung Pflegebedürftige in allen Pflegegraden oder nur in einigen Pflegegraden angeben. Bei Wachkomaeinrichtungen treten ggf. keine niedrigen Pflegegrade auf. 
Die prognostische Belegung muss der Gesamtplatzzahl (ggf. inkl. integrierter / angebundener Kurzzeitpflege) im Versorgungsvertrag entsprechen.
Auch wenn eine Pflegeeinrichtung in der Prognose bei einzelnen Pflegegraden eine Nullbelegung angibt, wird für diesen Pflegegrad eine Personalmenge und ein Pflegesatz ermittelt (siehe dazu 2.6. Forderung).
</t>
    </r>
    <r>
      <rPr>
        <u/>
        <sz val="11"/>
        <color rgb="FF000000"/>
        <rFont val="Arial"/>
        <family val="2"/>
      </rPr>
      <t>Wöchentliche Arbeitszeit</t>
    </r>
    <r>
      <rPr>
        <sz val="11"/>
        <color rgb="FF000000"/>
        <rFont val="Arial"/>
        <family val="2"/>
      </rPr>
      <t xml:space="preserve">
Es ist die einrichtungsintern geregelte wöchentliche Arbeitszeit je Vollkraft (VK) </t>
    </r>
    <r>
      <rPr>
        <b/>
        <sz val="11"/>
        <color rgb="FF000000"/>
        <rFont val="Arial"/>
        <family val="2"/>
      </rPr>
      <t>nachrichtlich</t>
    </r>
    <r>
      <rPr>
        <sz val="11"/>
        <color rgb="FF000000"/>
        <rFont val="Arial"/>
        <family val="2"/>
      </rPr>
      <t xml:space="preserve"> anzugeben. 
</t>
    </r>
    <r>
      <rPr>
        <b/>
        <sz val="11"/>
        <color rgb="FF000000"/>
        <rFont val="Arial"/>
        <family val="2"/>
      </rPr>
      <t>Bitte beachten</t>
    </r>
    <r>
      <rPr>
        <sz val="11"/>
        <color rgb="FF000000"/>
        <rFont val="Arial"/>
        <family val="2"/>
      </rPr>
      <t>: Laut Rahmenvertrag erfolgt die Ermittlung des Stellenumfangs und der Personalaufwendungen immer auf Basis von 40 Stunden / Woche für eine VK.</t>
    </r>
  </si>
  <si>
    <r>
      <rPr>
        <b/>
        <sz val="11"/>
        <color rgb="FF000000"/>
        <rFont val="Arial"/>
        <family val="2"/>
      </rPr>
      <t>Sonderfunktionen</t>
    </r>
    <r>
      <rPr>
        <sz val="11"/>
        <color rgb="FF000000"/>
        <rFont val="Arial"/>
        <family val="2"/>
      </rPr>
      <t xml:space="preserve">
Der Stellenanteil von </t>
    </r>
    <r>
      <rPr>
        <u/>
        <sz val="11"/>
        <color rgb="FF000000"/>
        <rFont val="Arial"/>
        <family val="2"/>
      </rPr>
      <t>PDL und stellvertretenden PDL</t>
    </r>
    <r>
      <rPr>
        <sz val="11"/>
        <color rgb="FF000000"/>
        <rFont val="Arial"/>
        <family val="2"/>
      </rPr>
      <t xml:space="preserve"> bestimmt sich nach der Einrichtungsgröße (ggf. inkl. integrierter / angebundener Kurzzeitpflege)
bis 40 Plätze </t>
    </r>
    <r>
      <rPr>
        <sz val="11"/>
        <color rgb="FF000000"/>
        <rFont val="Symbol"/>
        <family val="1"/>
        <charset val="2"/>
      </rPr>
      <t>Þ</t>
    </r>
    <r>
      <rPr>
        <sz val="11"/>
        <color rgb="FF000000"/>
        <rFont val="Arial"/>
        <family val="2"/>
      </rPr>
      <t xml:space="preserve"> bis zu 0,75 VK
41 bis 80 Plätze </t>
    </r>
    <r>
      <rPr>
        <sz val="11"/>
        <color rgb="FF000000"/>
        <rFont val="Symbol"/>
        <family val="1"/>
        <charset val="2"/>
      </rPr>
      <t>Þ</t>
    </r>
    <r>
      <rPr>
        <sz val="11"/>
        <color rgb="FF000000"/>
        <rFont val="Arial"/>
        <family val="2"/>
      </rPr>
      <t xml:space="preserve"> bis zu 1,00 VK
81 bis 150 Plätze </t>
    </r>
    <r>
      <rPr>
        <sz val="11"/>
        <color rgb="FF000000"/>
        <rFont val="Symbol"/>
        <family val="1"/>
        <charset val="2"/>
      </rPr>
      <t>Þ</t>
    </r>
    <r>
      <rPr>
        <sz val="11"/>
        <color rgb="FF000000"/>
        <rFont val="Arial"/>
        <family val="2"/>
      </rPr>
      <t xml:space="preserve"> bis zu 1,25 VK
ab 151 Plätze </t>
    </r>
    <r>
      <rPr>
        <sz val="11"/>
        <color rgb="FF000000"/>
        <rFont val="Symbol"/>
        <family val="1"/>
        <charset val="2"/>
      </rPr>
      <t>Þ</t>
    </r>
    <r>
      <rPr>
        <sz val="11"/>
        <color rgb="FF000000"/>
        <rFont val="Arial"/>
        <family val="2"/>
      </rPr>
      <t xml:space="preserve"> bis zu 2,00 VK
</t>
    </r>
    <r>
      <rPr>
        <u/>
        <sz val="11"/>
        <color rgb="FF000000"/>
        <rFont val="Arial"/>
        <family val="2"/>
      </rPr>
      <t>Qualitätsmanagement (QM)</t>
    </r>
    <r>
      <rPr>
        <sz val="11"/>
        <color rgb="FF000000"/>
        <rFont val="Arial"/>
        <family val="2"/>
      </rPr>
      <t xml:space="preserve">
Für das Qualitätsmanagement kann </t>
    </r>
    <r>
      <rPr>
        <u/>
        <sz val="11"/>
        <color rgb="FF000000"/>
        <rFont val="Arial"/>
        <family val="2"/>
      </rPr>
      <t>zusätzlich bis zu 0,50 VK</t>
    </r>
    <r>
      <rPr>
        <sz val="11"/>
        <color rgb="FF000000"/>
        <rFont val="Arial"/>
        <family val="2"/>
      </rPr>
      <t xml:space="preserve"> vereinbart werden.
</t>
    </r>
    <r>
      <rPr>
        <u/>
        <sz val="11"/>
        <color rgb="FF000000"/>
        <rFont val="Arial"/>
        <family val="2"/>
      </rPr>
      <t>Hygienemanagement (HM)</t>
    </r>
    <r>
      <rPr>
        <sz val="11"/>
        <color rgb="FF000000"/>
        <rFont val="Arial"/>
        <family val="2"/>
      </rPr>
      <t xml:space="preserve">
Für das Hygienemanagement kann </t>
    </r>
    <r>
      <rPr>
        <u/>
        <sz val="11"/>
        <color rgb="FF000000"/>
        <rFont val="Arial"/>
        <family val="2"/>
      </rPr>
      <t>zusätzlich bis zu 0,25 VK</t>
    </r>
    <r>
      <rPr>
        <sz val="11"/>
        <color rgb="FF000000"/>
        <rFont val="Arial"/>
        <family val="2"/>
      </rPr>
      <t xml:space="preserve"> vereinbart werden. </t>
    </r>
  </si>
  <si>
    <r>
      <t xml:space="preserve">Es ist zwischen Vermögenswirksamen Leistungen (VWL) und betrieblicher Altersversorgung zu unterscheiden. Nur die VWL gehen in den arbeitszeitnormierten Stundenlohn ein.
Zu den regelmäßigen und fixen pflegetypischen Zulagen gehören Pflege- und Geriatriezulagen, Schicht- und Wechselschichtzulagen für ständige Schicht- / Wechselschichtarbeit, Erschwerniszulagen, Stellenzulagen o. ä.
Die durchschnittlich für einen Monat gezahlte Entlohnung für Bereitschaftsdienst und Rufbereitschaft ist separat zu erfassen.
Variable pflegetypische Zuschläge sind auf den Grundlohn / -gehalt zu zahlende Zuschläge für Nachtarbeit, Sonntagsarbeit und Feiertagsarbeit. Diese Zuschläge sind i.d.R. sv-frei.
Zu den regelmäßigen Jahressonderzahlungen zählen z.B. Urlaubs- / Weihnachtsgeld.
Die Pflegeeinrichtung kann außerhalb des arbeitszeitnormierten Stundenlohns weitere Lohnbestandteile hinterlegen. Dazu zählt z.B. die betriebliche Altersversorgung. Bei der betrieblichen Altersversorgung besteht die Möglichkeit eines pauschalierten Zuschlags für alle Mitarbeiter (siehe oberer Teil der Tabelle) </t>
    </r>
    <r>
      <rPr>
        <u/>
        <sz val="11"/>
        <color theme="1"/>
        <rFont val="Arial"/>
        <family val="2"/>
      </rPr>
      <t>oder</t>
    </r>
    <r>
      <rPr>
        <sz val="11"/>
        <color theme="1"/>
        <rFont val="Arial"/>
        <family val="2"/>
      </rPr>
      <t xml:space="preserve"> einer individuellen Zuordnung auf jeden einzelnen Mitarbeiter. Eine Vermischung beider Varianten ist nicht möglich.
Der Arbeitgeberanteil zur Sozialversicherung wird automatisch auf die Arbeitnehmerbruttopersonalkosten aufgeschlagen. Dazu ist es zwingend erforderlich, dass im oberen Teil die Felder „Arbeitgeberanteil zur Sozialversicherung“ und „Arbeitgeberanteil zur Sozialversicherung bei geringfügig Beschäftigten“ ausgefüllt sind. Der Arbeitgeberanteil zur Sozialversicherung umfasst die Kranken-, Renten-, Pflege- und Arbeitslosenversicherung, ggf. Umlage 1, die Umlage 2 und die Insolvenzgeldumlage.</t>
    </r>
  </si>
  <si>
    <t>Gemäß der Personalkostenaufstellung im Funktionsbereich Pflege / Betreuung (ohne Personal Sonderfunktionen) ergibt sich bei der dem Antrag zugrundeliegenden Belegungsstruktur der prozentuale Anteil an Mitarbeitern (VK Prognose) in den drei Qualifikationsgruppen in Bezug zu der maximal möglichen Personalausstattung für Pflege / Betreuung nach § 113c SGB XI automatisch.</t>
  </si>
  <si>
    <r>
      <rPr>
        <b/>
        <sz val="11"/>
        <color rgb="FF000000"/>
        <rFont val="Arial"/>
        <family val="2"/>
      </rPr>
      <t>Mindestpersonal im Funktionsbereich Pflege / Betreuung</t>
    </r>
    <r>
      <rPr>
        <sz val="11"/>
        <color rgb="FF000000"/>
        <rFont val="Arial"/>
        <family val="2"/>
      </rPr>
      <t xml:space="preserve">
Für vollstationäre Pflegeeinrichtungen im Freistaat Sachsen ist ab 1. Januar 2026 nach § 113c SGB XI für Pflege- und Betreuungspersonal eine Mindestpersonalausstattung, unabhängig von Einrichtungsgröße und Einrichtungskonzeption, 
- von 75 % der höchstens zu vereinbarenden personellen Ausstattung gemäß § 113 c Abs. 1 Nr. 3 SGB XI für Fachkräfte Pflege und Betreuung (QN 4), 
- von 70 % der Gesamtsumme aus der höchstens zu vereinbarenden personellen Ausstattung für Hilfskräfte mit (QN 3) und ohne Ausbildung (QN 1 bis 2) gemäß § 113c Abs. 1  Nr. 1 und 2 SGB XI zu vereinbaren. </t>
    </r>
  </si>
  <si>
    <t>Da nach wie vor keine ausreichenden Kapazitäten an Pflegeassistenzkräften vorhanden sind, kann zur Erreichung der Mindestpersonalausstattung für die Hilfskräfte mit (QN 3) und ohne Ausbildung (QN 1 bis 2) das Hilfskraftpersonal der QN 1 bis 3 zusammengezählt werden. Vorübergehend ist hierfür auch eine Überschreitung der Höchstwerte im Bereich QN 1 und 2 möglich. Diese Vorgehensweise ist spätestens bis zum 30. Dezember 2028 zu überprüfen und ggf. anzupassen.
Für die Versorgung von Personengruppen mit besonderen Bedarfen kann auf der Grundlage von Einrichtungskonzeptionen und aufgrund vereinbarter Versorgungsschwerpunkte von den Vorgaben zur Mindestpersonalausstattung abgewichen werden.
Im unteren Teil der Tabelle zur Personalkostenaufstellung wird zusammenfassend ein Überblick gemäß den Richtlinien nach §§ 72 und 82c SGB XI zum einrichtungsindividuellen Entgelt für die drei Qualifikationsgruppen sowohl getrennt als auch zusammengefasst ausgewiesen. In diese durchschnittliche Ermittlung gehen die PDL, die stellvertretende PDL und Leiharbeitskräfte nicht mit ein. Der Durchschnittsbetrachtung liegt eine wöchentliche Arbeitszeit von 40 Stunden zu Grunde.</t>
  </si>
  <si>
    <r>
      <rPr>
        <b/>
        <sz val="11"/>
        <color rgb="FF000000"/>
        <rFont val="Arial"/>
        <family val="2"/>
      </rPr>
      <t>2.4. Mappe Personalaufwendungen</t>
    </r>
    <r>
      <rPr>
        <sz val="11"/>
        <color rgb="FF000000"/>
        <rFont val="Arial"/>
        <family val="2"/>
      </rPr>
      <t xml:space="preserve">
Die Pflegeeinrichtung hat zum Stichtag die Mitarbeiter in VK nach den Funktionsbereichen anzugeben. Eine VK wird mit 40 Stunden / Woche kalkuliert. Mitarbeiter mit davon abweichenden Arbeitszeiten sind entsprechend umzurechnen. 
Bei Neueröffnungen entfallen die Angaben zu Vollkräfte Gesamt (Stichtag).
Die Angaben zur Prognose werden vollständig aus der Mappe „Personalkostenaufstellung“ übernommen und können hier nicht korrigiert werden. Änderungen erfolgen ausschließlich in der Mappe „Personalkostenaufstellung“.
Die Personalnebenkosten werden separat ausgewiesen. Dazu gehören die Beiträge zur Berufsgenossenschaft, die Ausgleichsabgabe gemäß § 160 SGB IX, Fort- und Weiterbildungskosten, Kosten des Arbeits- und Gesundheitsschutzes. Die Personalnebenkosten werden prozentual den Bruttopersonalkosten (Prognose) der einzelnen Bereiche zugerechnet.
Sofern der Arbeitgeber den Mitarbeitern steuerfreie Sachbezüge im Sinne § 8 Abs. 2 Satz 11 Es</t>
    </r>
    <r>
      <rPr>
        <sz val="11"/>
        <color theme="1"/>
        <rFont val="Arial"/>
        <family val="2"/>
      </rPr>
      <t>tG gewährt</t>
    </r>
    <r>
      <rPr>
        <sz val="11"/>
        <color rgb="FF000000"/>
        <rFont val="Arial"/>
        <family val="2"/>
      </rPr>
      <t xml:space="preserve">, sind diese separat auszuweisen. Aufmerksamkeiten des Arbeitgebers werden den Verwaltungskosten zugerechnet.
In der Gesamtvergütung ist ein Zuschlag für eine angemessene Vergütung des Unternehmerrisikos und eines zusätzlichen persönlichen Arbeitseinsatzes des Unternehmers sowie eine angemessene Verzinsung des Eigenkapitals zu berücksichtigen.
</t>
    </r>
  </si>
  <si>
    <r>
      <rPr>
        <b/>
        <sz val="11"/>
        <color rgb="FF000000"/>
        <rFont val="Arial"/>
        <family val="2"/>
      </rPr>
      <t>2.5. Mappe Sachaufwendungen</t>
    </r>
    <r>
      <rPr>
        <sz val="11"/>
        <color rgb="FF000000"/>
        <rFont val="Arial"/>
        <family val="2"/>
      </rPr>
      <t xml:space="preserve">
Zur Berücksichtigung von Einzelpositionen siehe Hinweise Sachaufwendungen.
Die Sachaufwendungen (ggf. inkl. integrierter / angebundener Kurzzeitpflege) sind für den Zeitraum von 12 Monaten anzugeben. Dieser Zeitraum soll mit dem angegebenen Zeitraum der Belegungstage übereinstimmen. 
Bei Neugründungen entfallen diese Angaben.
In der Gesamtvergütung ist ein Zuschlag für eine angemessene Vergütung des Unternehmerrisikos und eines zusätzlichen persönlichen Arbeitseinsatzes des Unternehmers sowie eine angemessene Verzinsung der Eigenkapitals zu berücksichtigen.</t>
    </r>
  </si>
  <si>
    <t>Herleitung:</t>
  </si>
  <si>
    <t>Werte § 113c SGB XI</t>
  </si>
  <si>
    <t>Fachkraftpersonal</t>
  </si>
  <si>
    <t>Hilfskraftpersonal mit landesrechtlich geregelter Helfer- oder Assistenzausbildung in der Pflege</t>
  </si>
  <si>
    <t>Hilfskraftpersonal ohne Ausbildung</t>
  </si>
  <si>
    <t>Anteil</t>
  </si>
  <si>
    <r>
      <rPr>
        <u/>
        <sz val="11"/>
        <color rgb="FF000000"/>
        <rFont val="Arial"/>
        <family val="2"/>
      </rPr>
      <t xml:space="preserve">
angebundene / integrierte Kurzzeitpflege</t>
    </r>
    <r>
      <rPr>
        <sz val="11"/>
        <color rgb="FF000000"/>
        <rFont val="Arial"/>
        <family val="2"/>
      </rPr>
      <t xml:space="preserve">
Wenn eine Pflegeeinrichtung die Vergütung für die angebundene / integrierte Kurzzeitpflege aus dem vollstationären Antrag ableiten lässt, werden die Angaben zur Personalausstattung in VK entsprechend der jeweiligen Platzzahl getrennt dargestellt. 
Es werden für die Kurzzeitpflege ein pflegegradunabhängiger Pflegesatz und die Entgelte für Unterkunft und für Verpflegung mit einer Auslastung von 80 % ermittelt. Der einrichtungseinheitliche Eigenanteil entfällt bei der Kurzzeitpflege.
</t>
    </r>
    <r>
      <rPr>
        <u/>
        <sz val="11"/>
        <color rgb="FF000000"/>
        <rFont val="Arial"/>
        <family val="2"/>
      </rPr>
      <t>Prüfung der Angaben im Antrag</t>
    </r>
    <r>
      <rPr>
        <sz val="11"/>
        <color rgb="FF000000"/>
        <rFont val="Arial"/>
        <family val="2"/>
      </rPr>
      <t xml:space="preserve">
Hier wird nochmals die Plausibilität der Eintragungen aus gesetzlicher und rahmenvertraglicher Sicht geprüft. Man kann direkt auf die Mappe wechseln, in der Änderungen erforderlich sind. Erst wenn alle Punkte mit "ja" bewertet werden können, ist eine Berechnung der Pflegesätze, der Vergütungen für die Unterkunft und für Verpflegung bzw. des Vergütungszuschlages gemäß § 43 b SGB XI möglich.</t>
    </r>
  </si>
  <si>
    <r>
      <rPr>
        <b/>
        <sz val="11"/>
        <color rgb="FF000000"/>
        <rFont val="Arial"/>
        <family val="2"/>
      </rPr>
      <t>2.7. Mappe Gesamtkalkulation</t>
    </r>
    <r>
      <rPr>
        <sz val="11"/>
        <color rgb="FF000000"/>
        <rFont val="Arial"/>
        <family val="2"/>
      </rPr>
      <t xml:space="preserve">
Die Gesamtkalkulation fasst die vorangegangenen Angaben zur Ermittlung der Entgeltbestandteile nach den fünf Pflegegraden zusammen. Hier kann die Pflegeeinrichtung keine Änderungen vornehmen. Ggf. sind Korrekturen auf den vorhergehenden Seiten erforderlich. 
Wenn die Möglichkeit einer Nullbelegung von der Pflegeeinrichtung genutzt wird, sind in diesen Pflegegraden keine Kosten dargestellt. 
Wenn eine Pflegeeinrichtung die Vergütung für die angebundene / integrierte Kurzzeitpflege aus dem vollstationären Antrag ableiten lässt, werden alle Gesamtaufwendungen entsprechend der jeweiligen Platzzahl aufgeteilt. </t>
    </r>
  </si>
  <si>
    <r>
      <rPr>
        <b/>
        <sz val="11"/>
        <color rgb="FF000000"/>
        <rFont val="Arial"/>
        <family val="2"/>
      </rPr>
      <t>2.8. Mappe Bewohnervertretung</t>
    </r>
    <r>
      <rPr>
        <sz val="11"/>
        <color rgb="FF000000"/>
        <rFont val="Arial"/>
        <family val="2"/>
      </rPr>
      <t xml:space="preserve">
Vollstationäre Pflegeeinrichtungen haben gemäß § 85 Abs. 3 SGB XI zum Zeitpunkt der Antragstellung eine Stellungnahme der Bewohnervertretung beizufügen.</t>
    </r>
  </si>
  <si>
    <t>Erläuterung der Änderungen gegenüber der Vorversion (Änderungshistorie ab 23.9.25)</t>
  </si>
  <si>
    <t>Version 23.09.2025 beinhaltet grundsätzliche Überarbeitung des Antrages aufgrund des 2. Nachtrag zum RV - Umsetzung § 113 c SGB XI  und Anpassung RV KZP- dadr. modif. Abb. des Personals (Zusammenfassung Pflege + Betreuung, Wegfall PR in Pflege+ Betreuung) und Sonderfunktionen, Umsetzung der neuen Berechnungsweisen der Vergütungen ....</t>
  </si>
  <si>
    <t>Blatt nicht sperren und einblenden</t>
  </si>
  <si>
    <t>Bezeichnung geändert "Einrichtungsleitung"</t>
  </si>
  <si>
    <t>Zeilen 435 bis 448</t>
  </si>
  <si>
    <t>gelöscht</t>
  </si>
  <si>
    <t>Text neu: "1.4"</t>
  </si>
  <si>
    <t>C48</t>
  </si>
  <si>
    <t>Nummerierung angepasst</t>
  </si>
  <si>
    <t>Forderung</t>
  </si>
  <si>
    <t>C30</t>
  </si>
  <si>
    <t>C26</t>
  </si>
  <si>
    <t>G436</t>
  </si>
  <si>
    <t>Warnhinweis bei Überschreitung der max. Leitungsausstattung ergänzt (analog PDL/stellv. PDL)</t>
  </si>
  <si>
    <t>H35</t>
  </si>
  <si>
    <t>KAT</t>
  </si>
  <si>
    <t>1.4. Einrichtungsleitung</t>
  </si>
  <si>
    <t>Verwaltungsbudget</t>
  </si>
  <si>
    <t>abzgl. 1.3 Zusätzliche Betreuung und Aktivierung</t>
  </si>
  <si>
    <t>abzgl. 1.4 Einrichtungsleitung</t>
  </si>
  <si>
    <t>Fremdleistungen gesamt</t>
  </si>
  <si>
    <t xml:space="preserve">Prozentsatz </t>
  </si>
  <si>
    <t xml:space="preserve">Personalaufwendungen gesamt </t>
  </si>
  <si>
    <t>Berücksichtigungsfähiges Gesamtbudget vor Verwaltungsleistungen</t>
  </si>
  <si>
    <t>4.</t>
  </si>
  <si>
    <t xml:space="preserve">Personalaufwendungen berücksichtigungsfähig gesamt </t>
  </si>
  <si>
    <t xml:space="preserve">4. </t>
  </si>
  <si>
    <t>Anteil Verwaltungsbudget</t>
  </si>
  <si>
    <t>Pauschalen</t>
  </si>
  <si>
    <t>PK je VK Leitung unausgeschöpfte Stellenanteile</t>
  </si>
  <si>
    <t>(gültig für 2026)</t>
  </si>
  <si>
    <t>Budgetaufschlag (für nicht ausgeschöpfte Leitungsstellenanteile)</t>
  </si>
  <si>
    <t>3.7</t>
  </si>
  <si>
    <t>VK Ford. HL &gt; PSK Beschluss L&amp;V</t>
  </si>
  <si>
    <t>nicht ausgeschöpfter Stellenanteil (VK)</t>
  </si>
  <si>
    <t>Text um "Max. " an Beginn ergänzt</t>
  </si>
  <si>
    <t>G429:G434</t>
  </si>
  <si>
    <t>R14</t>
  </si>
  <si>
    <t>Zeilen 48 bis 51</t>
  </si>
  <si>
    <t>B48</t>
  </si>
  <si>
    <t>Text neu: "Einrichtungsleitung"</t>
  </si>
  <si>
    <t>D48:F48</t>
  </si>
  <si>
    <t>Text entfernt und Hintergrundfarbe entfernt</t>
  </si>
  <si>
    <t>G48</t>
  </si>
  <si>
    <t>Formel gelöscht, Schreibschutz entfernt, Hintergrundfarbe auf gelb gesetzt</t>
  </si>
  <si>
    <t>H49</t>
  </si>
  <si>
    <t>Formel (Warnhinweis) entfernt</t>
  </si>
  <si>
    <t>Zeilen 24,25 und 49</t>
  </si>
  <si>
    <t>B24 bis B28 und B47 bis B49</t>
  </si>
  <si>
    <t>ab Zeile 56</t>
  </si>
  <si>
    <t>Darstellung und Berechnung des Verwaltungsbudgets ergänzt</t>
  </si>
  <si>
    <t>ab Zeile 64</t>
  </si>
  <si>
    <t>4 Zeilen eingefügt</t>
  </si>
  <si>
    <t xml:space="preserve">Zeilen 36,37 und 49 </t>
  </si>
  <si>
    <t>Zellbezug angepasst</t>
  </si>
  <si>
    <t>ab Zeile 50</t>
  </si>
  <si>
    <t>2 Zeilen eingefügt</t>
  </si>
  <si>
    <t>B36 bis B40</t>
  </si>
  <si>
    <t>Zeile 51</t>
  </si>
  <si>
    <t xml:space="preserve">Berechnung für Verwaltungspauschale ergänzt </t>
  </si>
  <si>
    <t>E53</t>
  </si>
  <si>
    <t>Formel angepasst (Betrag Budget L&amp;V ergänzt)</t>
  </si>
  <si>
    <t xml:space="preserve">Zellen A54:B55 </t>
  </si>
  <si>
    <t>Inhalt um 15 Zeilen nach unten verschoben</t>
  </si>
  <si>
    <t>Zeilen 55 bis 67</t>
  </si>
  <si>
    <t>Pauschalen für Budget L&amp;V und Ermittlung Stellenanteil Leitung ergänzt</t>
  </si>
  <si>
    <t>Bereich L11:X21</t>
  </si>
  <si>
    <t>um eine Zeile nach unten verschoben</t>
  </si>
  <si>
    <t>L11:X11</t>
  </si>
  <si>
    <t>Prüfung für Stellenanteil Leitung ergänzt</t>
  </si>
  <si>
    <t>ab Zeile 85</t>
  </si>
  <si>
    <t>Zeile 85</t>
  </si>
  <si>
    <t>Einrichtungsleitung (max. Stellenanteil)</t>
  </si>
  <si>
    <t>A428, F428; A435, F435</t>
  </si>
  <si>
    <t>"Verwaltungskraft" und "HL" aus Auswahl und Hinweis entfernt</t>
  </si>
  <si>
    <t>N30, O30</t>
  </si>
  <si>
    <t>Inhalt entfernt</t>
  </si>
  <si>
    <t>Sachaufwendungen gesamt</t>
  </si>
  <si>
    <t>Personalkosten je VK (vgl. PSK Beschluss vom 12. März 2026)</t>
  </si>
  <si>
    <t>Budget Leitung und Verwaltung (Beschluss PSK vom 12.03.2026)</t>
  </si>
  <si>
    <r>
      <t>Bedingung erfüllt, Ergebnis =0; Bedingung nicht erfüllt, Ergebnis = 1, Ausnahme bei Anlagen Tarif/AVR = wenn reg. Übl. En =Ergebnis LEER;</t>
    </r>
    <r>
      <rPr>
        <sz val="10"/>
        <color rgb="FFFF0000"/>
        <rFont val="Arial"/>
        <family val="2"/>
      </rPr>
      <t xml:space="preserve"> Abbildung des Ergebnis je Bedingung im TAB Forderung mit ja/ nein</t>
    </r>
  </si>
  <si>
    <t>Hinweise Sachaufwendungen</t>
  </si>
  <si>
    <t>Hinweise zu den Sachaufwendungen, Fremdleistungen und Leistungen des Trägers für die vollstationäre Pflegeeinrichtung</t>
  </si>
  <si>
    <r>
      <t>Anmerkung</t>
    </r>
    <r>
      <rPr>
        <sz val="10"/>
        <rFont val="Arial"/>
        <family val="2"/>
      </rPr>
      <t>: Sofern als Art der Einrichtung "</t>
    </r>
    <r>
      <rPr>
        <b/>
        <sz val="10"/>
        <rFont val="Arial"/>
        <family val="2"/>
      </rPr>
      <t>Wachkoma</t>
    </r>
    <r>
      <rPr>
        <sz val="10"/>
        <rFont val="Arial"/>
        <family val="2"/>
      </rPr>
      <t>" gewählt wurde, ist die "Empfehlung zur Versorgung von Menschen im Wachkoma (Phase F) in vollstationären Einrichtungen nach dem SGB XI im Freistaat Sachsen" in der jeweils gültigen Fassung zu berücksichtigen.</t>
    </r>
  </si>
  <si>
    <r>
      <t>Fremdleistungen</t>
    </r>
    <r>
      <rPr>
        <sz val="10"/>
        <rFont val="Arial"/>
        <family val="2"/>
      </rPr>
      <t xml:space="preserve"> sind Leistungen durch Dritte.</t>
    </r>
  </si>
  <si>
    <r>
      <t>Leistungen des Trägers</t>
    </r>
    <r>
      <rPr>
        <sz val="10"/>
        <rFont val="Arial"/>
        <family val="2"/>
      </rPr>
      <t xml:space="preserve"> sind Leistungen, die nicht durch Personal der Einrichtung, sondern beim bzw. durch den Träger erbracht werden.</t>
    </r>
  </si>
  <si>
    <t>Blatt durch neue Fassung ersetzt</t>
  </si>
  <si>
    <t>J53, L53; N53; P53; R53; T58</t>
  </si>
  <si>
    <t>Bitte auswählen</t>
  </si>
  <si>
    <t>die Einrichtungsleitung (Stellenumfang Prognose) entsprechend PSK Beschluss 2-2026 erfasst?</t>
  </si>
  <si>
    <t>D55</t>
  </si>
  <si>
    <t>Hinweis ergänzt; Laufzeitbinn vor Ende aktueller Verreinbarung liegen</t>
  </si>
  <si>
    <r>
      <t xml:space="preserve">Ausgabetext angepasst: =WENN(UND(M13="Tarif/AVR maßgebend";M12="nein");"Festlegungen zur Anlehnung an den Tarifvertrag / Musterarbeitsverträge beifügen.";WENN(M12="ja";"Tarifvertrag inkl. Tabellenentgelte </t>
    </r>
    <r>
      <rPr>
        <b/>
        <sz val="10"/>
        <rFont val="Arial"/>
        <family val="2"/>
      </rPr>
      <t>beifügen</t>
    </r>
    <r>
      <rPr>
        <sz val="10"/>
        <rFont val="Arial"/>
        <family val="2"/>
      </rPr>
      <t>.";"")) =&gt; "beifügen" statt "einfügen"</t>
    </r>
  </si>
  <si>
    <t>A5</t>
  </si>
  <si>
    <t>Datum angepasst</t>
  </si>
  <si>
    <r>
      <rPr>
        <sz val="11"/>
        <color rgb="FFFF0000"/>
        <rFont val="Arial"/>
        <family val="2"/>
      </rPr>
      <t>Sonderstellung integrierte / angebundene Kurzzeitpflege</t>
    </r>
    <r>
      <rPr>
        <sz val="11"/>
        <color rgb="FF000000"/>
        <rFont val="Arial"/>
        <family val="2"/>
      </rPr>
      <t xml:space="preserve">
Die Vergütungsfindung der Kurzzeitpflege bestimmt sich nach dem Rahmenvertrag gemäß § 75 Abs. 1 SGB XI für die Kurzzeitpflege im Freistaat Sachsen.
Bei der </t>
    </r>
    <r>
      <rPr>
        <u/>
        <sz val="11"/>
        <color rgb="FF000000"/>
        <rFont val="Arial"/>
        <family val="2"/>
      </rPr>
      <t>integrierten</t>
    </r>
    <r>
      <rPr>
        <sz val="11"/>
        <color rgb="FF000000"/>
        <rFont val="Arial"/>
        <family val="2"/>
      </rPr>
      <t xml:space="preserve"> Kurzzeitpflege erfolgt eine separate Ausweisung von Kurzzeitpflegeplätzen im Versorgungsvertrag vollstationäre Pflege. Es existiert kein eigener Versorgungsvertrag für die Kurzzeitpflege. Bei der integrierten Kurzzeitpflege erfolgt die Vergütungsfindung immer über eine Ableitung aus der Vergütung der vollstationären Pflege.
Beispiel:
Vollstationärer Versorgungsvertrag: 40 Plätze 
davon integrierte Kurzzeitpflege (kein eigenes IK für die Kurzzeitpflege): 5 Plätze 
Gesamtplätze 40, davon 5 Kurzzeitpflegeplätze</t>
    </r>
  </si>
  <si>
    <r>
      <rPr>
        <b/>
        <sz val="11"/>
        <color rgb="FF000000"/>
        <rFont val="Arial"/>
        <family val="2"/>
      </rPr>
      <t>2.3. Mappe Personalkostenaufstellung</t>
    </r>
    <r>
      <rPr>
        <sz val="11"/>
        <color rgb="FF000000"/>
        <rFont val="Arial"/>
        <family val="2"/>
      </rPr>
      <t xml:space="preserve">
Durch die Umsetzung des § 113c SGB XI und die Änderung der vollstationären Rahmenverträge im Freistaat Sachsen zum 1. Januar 2026 bzw. zum 1. Juli 2026 ergibt sich eine Neustrukturierung des Personalkörpers. 
Die Personalkostenaufstellung bezieht sich im linken Teil auf den Zeitraum von 12 Monaten und soll mit dem angegebenen Zeitraum der Belegungstage übereinstimmen. Im rechten Teil wird der Prognosezeitraum abgebildet.
Jedem Mitarbeiter ist eine gleichbleibende Pseudonymnummer zuzuordnen. Die Angaben für den Ist- und Prognosezeitraum je Mitarbeiter sind in einer Zeile darzustellen. Die gleichbleibende Pseudonymnummer ist für Folgeverhandlungen wieder zu nutzen. 
Es sind alle Mitarbeiter (ggf. inkl. integrierter / angebundener Kurzzeitpflege) in die Personalkostenaufstellung aufzunehmen.
Die Kennzeichnung der Mitarbeiter als Geringfügig Beschäftigte erfolgt ausschließlich, wenn die Voraussetzungen des § 8 SGB IV vorliegen.
Im Rahmen der Plausibilitätsprüfung stellt die Pflegeeinrichtung den Vertragsparteien nach § 85 Abs. 2 SGB XI auf Anforderung ohne substantiierte Begründung für bis zu 25 % der Beschäftigten über alle Funktionsbereiche die aktuellen Jahreslohnjournale mit Angabe der Pseudonymnummer zur Verfügung.
Eine VK wird mit 40 Stunden / Woche kalkuliert. Mitarbeiter mit davon abweichenden Arbeitszeiten sind entsprechend umzurechnen.
Die Pflegeeinrichtung gibt im oberen Teil an, auf welcher Basis die Mitarbeiter entlohnt werden</t>
    </r>
    <r>
      <rPr>
        <sz val="11"/>
        <color theme="1"/>
        <rFont val="Arial"/>
        <family val="2"/>
      </rPr>
      <t>. Kommt ein Tarif / eine AVR zur Anwendung, kann mit der Verhandlungsaufforderung das Werk auch als Link übermittelt werden.</t>
    </r>
    <r>
      <rPr>
        <sz val="11"/>
        <color rgb="FF000000"/>
        <rFont val="Arial"/>
        <family val="2"/>
      </rPr>
      <t xml:space="preserve">
Jeder Mitarbeiter ist entsprechend seiner Tätigkeit einer Sonderfunktion bzw. einem Funktionsbereich zuzuordnen. Stellensplitting ist möglich. Die Differenzierung innerhalb einer Sonderfunktion bzw. eines Funktionsbereiches ist in der Spalte Beschäftigungsgruppe / Funktion je Mitarbeiter vorzunehmen. Sofern die Auswahloption für den Mitarbeiter nicht zutreffend ist, bleibt das Feld leer. 
Die Zuordnung ist für die Transparenz möglicher Stellensplittings und für die erforderliche Berechnung des arbeitszeitnormierten Stundenlohns notwendig.</t>
    </r>
  </si>
  <si>
    <r>
      <t xml:space="preserve">Voraussetzung für die Berücksichtigung der zusätzlichen VK-Anteile für das Qualitätsmanagement und/oder das Hygienemanagement in der Vereinbarung ist die Vorhaltung einer eigenständigen Stellenbeschreibung mit Bezug auf Organisationsentwicklungsmaßnahmen (QM) bzw. auf Infektionsprävention (HM), die persönliche und fachliche Eignung des eingesetzten Personals für die jeweilige Tätigkeit und dessen Freistellung im festlegten Umfang. 
Die ggf. verbleibenden Stellenanteile der Personen mit Sonderfunktionen sind in den zugeordneten Funktionsbereichen gesondert in der Spalte Beschäftigungsgruppe / Funktion zu kennzeichnen.
</t>
    </r>
    <r>
      <rPr>
        <b/>
        <sz val="11"/>
        <color rgb="FF000000"/>
        <rFont val="Arial"/>
        <family val="2"/>
      </rPr>
      <t>Funktionsbereiche</t>
    </r>
    <r>
      <rPr>
        <sz val="11"/>
        <color rgb="FF000000"/>
        <rFont val="Arial"/>
        <family val="2"/>
      </rPr>
      <t xml:space="preserve">
Die Differenzierung der Mitarbeiter nach Beschäftigungsgruppen innerhalb der anderen Funktionsbereiche basiert auf den Richtlinien nach §§ 72 und 82c SGB XI:
* Pflege- und Betreuungskräfte ohne mindestens einjährige Berufsausbildung
* Pflege- und Betreuungskräfte mit mindestens einjähriger Berufsausbildung 
* Fachkräfte in den Bereichen Pflege und Betreuung mit mindestens dreijähriger Berufsausbildung 
Die Mitarbeiter Pflege und die Mitarbeiter Betreuung bilden gemäß § 113c SGB XI einen gemeinsamen Funktionsbereich.
Die Kosten für ggf. einzusetzende Leiharbeitskräfte basieren nicht auf dem Vergütungsmodell der Mitarbeiter der Pflegeeinrichtung und sind insofern als durchschnittliche Arbeitgeberbruttopersonalkosten (inkl. Arbeitgeberanteil zur Sozialversicherung) je Stellenanteil einzutragen.</t>
    </r>
  </si>
  <si>
    <t xml:space="preserve">Innerhalb des Funktionsbereiches „Zusätzliche Betreuung und Aktivierung nach § 43b SGB XI“ erfolgt eine Differenzierung der Mitarbeiter in die zwei Beschäftigungsgruppen:
* Pflege- und Betreuungskräfte ohne mindestens einjährige Berufsausbildung 
* Pflege- und Betreuungskräfte mit mindestens einjähriger Berufsausbildung.
Mitarbeiter mit darüber hinausgehenden Qualifikationen (wie dreijährige Berufsausbildungen) können unter der Beschäftigungsgruppe der Pflege- und Betreuungskräfte mit mindestens einjähriger Berufsausbildung erfasst werden, bedürfen einer gesonderten Begründung und werden damit Gegenstand der Verhandlung.
Sofern die Pflegeeinrichtung als Art der Pflegeeinrichtung „4. Generation“ (siehe Mappe Allgemeine Angaben) gewählt hat, wird in den Funktionsbereichen Pflege / Betreuung und Hauswirtschaft die Berücksichtigung der Präsenzkräfte gesondert abgebildet (siehe PSK-Beschluss 2 / 2024). Der VK-Anteil für Präsenzkräfte ist mit einem Anteil von 60 bis 80 % im Funktionsbereich „Pflege / Betreuung“ und mit dem verbleibenden Anteil im Funktionsbereich „Hauswirtschaft“ auszuweisen. 
Für die in der Position „Pflege / Betreuung“ vorgehaltenen Präsenzkraftanteile wird ein zusätzlicher Bestandsschutz gewährt, der über den im Rahmen des §113c SGB XI gewährten hinaus gehen kann.
</t>
  </si>
  <si>
    <t>Für Freiwillige Dienste und FSJ sind im Antrag Brutto-Personalkosten je Stelle und Jahr darzustellen.
Die Gliederung der Bestandteile der Entlohnung folgt den Richtlinien nach §§ 72 und 82c SGB XI. Die dortigen Hinweise zur Zuordnung der Entlohnungsbestandteile sind dabei zu berücksichtigen. 
Die Pflegeeinrichtung kann bei der prognostischen Eintragung des monatlichen Grundlohns / -gehalts entscheiden, ob die Angabe je Stellenanteil oder je VK erfolgt. Einer VK liegt immer eine wöchentliche Arbeitszeit von 40 Stunden zu Grunde. 
An diese Wahl ist die Pflegeeinrichtung dann für alle Mitarbeiter bei der Eintragung gebunden.</t>
  </si>
  <si>
    <r>
      <rPr>
        <b/>
        <sz val="11"/>
        <color rgb="FF000000"/>
        <rFont val="Arial"/>
        <family val="2"/>
      </rPr>
      <t>2.6. Mappe Forderung</t>
    </r>
    <r>
      <rPr>
        <sz val="11"/>
        <color rgb="FF000000"/>
        <rFont val="Arial"/>
        <family val="2"/>
      </rPr>
      <t xml:space="preserve">
</t>
    </r>
    <r>
      <rPr>
        <u/>
        <sz val="11"/>
        <color rgb="FF000000"/>
        <rFont val="Arial"/>
        <family val="2"/>
      </rPr>
      <t>a) Personelle Ausstattung der Pflegeeinrichtung:</t>
    </r>
    <r>
      <rPr>
        <sz val="11"/>
        <color rgb="FF000000"/>
        <rFont val="Arial"/>
        <family val="2"/>
      </rPr>
      <t xml:space="preserve">
Die Angaben zur Personalausstattung in VK für die Sonderfunktionen und für die Einrichtungsleitung, der prozentuale Anteil Pflege / Betreuung in Bezug auf § 113c Abs. 1 SGB XI, die Personalrelationen für die zusätzliche Betreuung und Aktivierung nach § 43b SGB XI, Hauswirtschaft, Küche, Haustechnik und die Zahl der Einsatzstellen Freiwillige Dienste / FSJ werden automatisch aus der Mappe „Personalaufwendungen“ übernommen bzw. errechnet. Änderungen können ausschließlich in der Mappe „Personalkostenaufstellung“ vorgenommen werden.
</t>
    </r>
    <r>
      <rPr>
        <u/>
        <sz val="11"/>
        <color rgb="FF000000"/>
        <rFont val="Arial"/>
        <family val="2"/>
      </rPr>
      <t>b) zum einrichtungseinheitlichen Eigenanteil:</t>
    </r>
    <r>
      <rPr>
        <sz val="11"/>
        <color rgb="FF000000"/>
        <rFont val="Arial"/>
        <family val="2"/>
      </rPr>
      <t xml:space="preserve">
Sofern die Pflegeeinrichtung eine Vereinbarung zur Ausbildungsvergütung gemäß § 82a SGB XI abgeschlossen hat, erhöht sich der einrichtungseinheitliche Eigenanteil um diesen Betrag. 
</t>
    </r>
    <r>
      <rPr>
        <u/>
        <sz val="11"/>
        <color rgb="FF000000"/>
        <rFont val="Arial"/>
        <family val="2"/>
      </rPr>
      <t xml:space="preserve">c) Ermittlung der Pflegesätze - vollstationäre Pflegeeinrichtungen:
</t>
    </r>
    <r>
      <rPr>
        <sz val="11"/>
        <color rgb="FF000000"/>
        <rFont val="Arial"/>
        <family val="2"/>
      </rPr>
      <t xml:space="preserve">Basierend auf der Kostenverteilung über die Pflegegrade mit Belegung werden die Pflegesätze und der einrichtungseinheitliche Eigenanteil ermittelt. Dieser so ermittelte einrichtungseinheitliche Eigenanteil wird (mit Ausnahme des Pflegegrades 1) auf die Pflegegrade mit Nullbelegung übertragen. 
Der Pflegesatz ergibt sich in diesen Pflegegraden aus der Summe von einrichtungseinheitlichem Eigenanteil und Leistungsbetrag des jeweiligen Pflegegrades verteilt auf 30,42 Tage je Monat.
Sofern der Pflegegrad 1 eine Nullbelegung ausweist, beträgt der Pflegesatz 75,7 % des Pflegesatzes vom Pflegegrad 2. </t>
    </r>
  </si>
  <si>
    <r>
      <t xml:space="preserve">Das bisher ausgewiesene Personal für Leitung / Verwaltung sowie deren Kosten wird entsprechend dem PSK-Beschluss 02 / 2026 für alle Verhandlungen mit Laufzeitbeginn ab 1. Juli 2026 wie folgt dargestellt: 
Für die </t>
    </r>
    <r>
      <rPr>
        <u/>
        <sz val="11"/>
        <color theme="1"/>
        <rFont val="Arial"/>
        <family val="2"/>
      </rPr>
      <t>Einrichtungsleitung</t>
    </r>
    <r>
      <rPr>
        <sz val="11"/>
        <color theme="1"/>
        <rFont val="Arial"/>
        <family val="2"/>
      </rPr>
      <t xml:space="preserve"> kann für eine Pflegeeinrichtung (ggf. inkl. integrierter / angebundener Kurzzeitpflege) 
bis zu 40 Plätzen </t>
    </r>
    <r>
      <rPr>
        <sz val="11"/>
        <color theme="1"/>
        <rFont val="Symbol"/>
        <family val="1"/>
        <charset val="2"/>
      </rPr>
      <t>®</t>
    </r>
    <r>
      <rPr>
        <sz val="11"/>
        <color theme="1"/>
        <rFont val="Arial"/>
        <family val="2"/>
      </rPr>
      <t xml:space="preserve"> bis zu 0,75 VK 
41 bis 80 Plätze </t>
    </r>
    <r>
      <rPr>
        <sz val="11"/>
        <color theme="1"/>
        <rFont val="Symbol"/>
        <family val="1"/>
        <charset val="2"/>
      </rPr>
      <t xml:space="preserve">® </t>
    </r>
    <r>
      <rPr>
        <sz val="11"/>
        <color theme="1"/>
        <rFont val="Arial"/>
        <family val="2"/>
      </rPr>
      <t xml:space="preserve">bis zu 1,00 VK 
81 bis 150 Plätze </t>
    </r>
    <r>
      <rPr>
        <sz val="11"/>
        <color theme="1"/>
        <rFont val="Symbol"/>
        <family val="1"/>
        <charset val="2"/>
      </rPr>
      <t>®</t>
    </r>
    <r>
      <rPr>
        <sz val="11"/>
        <color theme="1"/>
        <rFont val="Arial"/>
        <family val="2"/>
      </rPr>
      <t xml:space="preserve"> bis zu 1,50 VK 
ab 151 Plätze </t>
    </r>
    <r>
      <rPr>
        <sz val="11"/>
        <color theme="1"/>
        <rFont val="Symbol"/>
        <family val="1"/>
        <charset val="2"/>
      </rPr>
      <t>®</t>
    </r>
    <r>
      <rPr>
        <sz val="11"/>
        <color theme="1"/>
        <rFont val="Arial"/>
        <family val="2"/>
      </rPr>
      <t xml:space="preserve">  bis zu 2,00 VK 
Personalausstattung vereinbart werden. Weiteres Personal für Leitung / Verwaltung wird aus dem Verwaltungsbudget (siehe Punkt 2.5) finanziert. 
Schöpft eine Einrichtung die VK-Zahl entsprechend der Platzzahl nicht aus, kann das Verwaltungsbudget um den verbleibenden Stellenanteil erhöht werden.</t>
    </r>
  </si>
  <si>
    <r>
      <t xml:space="preserve">Neu aufgenommen wird das Verwaltungsbudget. Dieses ersetzt die bisherigen Positionen Verwaltungsbedarf und zentrale Verwaltungsdienste aus den Sachkosten sowie die Verwaltung aus den Fremdleistungen. 
Das Verwaltungsbudget kann in Höhe von bis zu 7 % der Gesamtsumme aus Personalkosten (ohne Einrichtungsleitung und ohne Personal nach § 43b SGB XI), Sachkosten und Fremdleistungen vereinbart werden. 
Falls für Pflegeeinrichtungen bis zu 40 Plätzen das Verwaltungsbudget nicht auskömmlich ist, kann bei sachlicher Begründung eine Anpassung des Prozentsatzes vorgenommen werden. Dieses veränderte Budget ist im Rahmen der Einzelverhandlung auf angemessenem Niveau zu vereinbaren. 
Schöpft eine Pflegeeinrichtung entsprechend der Platzzahl die maximal mögliche VK-Zahl für die Einrichtungsleitung nicht aus, kann bis zur Höhe der Differenz ein Aufschlag verhandelt werden. 
Beispiel: 
50 Plätze </t>
    </r>
    <r>
      <rPr>
        <sz val="11"/>
        <color rgb="FF000000"/>
        <rFont val="Symbol"/>
        <family val="1"/>
        <charset val="2"/>
      </rPr>
      <t>®</t>
    </r>
    <r>
      <rPr>
        <sz val="11"/>
        <color rgb="FF000000"/>
        <rFont val="Arial"/>
        <family val="2"/>
      </rPr>
      <t xml:space="preserve"> max. 1 VK Einrichtungsleitung </t>
    </r>
    <r>
      <rPr>
        <sz val="11"/>
        <color rgb="FF000000"/>
        <rFont val="Symbol"/>
        <family val="1"/>
        <charset val="2"/>
      </rPr>
      <t>®</t>
    </r>
    <r>
      <rPr>
        <sz val="11"/>
        <color rgb="FF000000"/>
        <rFont val="Arial"/>
        <family val="2"/>
      </rPr>
      <t xml:space="preserve"> angesetzt 0,75 VK Einrichtungsleitung
Differenz </t>
    </r>
    <r>
      <rPr>
        <sz val="11"/>
        <color rgb="FF000000"/>
        <rFont val="Symbol"/>
        <family val="1"/>
        <charset val="2"/>
      </rPr>
      <t>®</t>
    </r>
    <r>
      <rPr>
        <sz val="11"/>
        <color rgb="FF000000"/>
        <rFont val="Arial"/>
        <family val="2"/>
      </rPr>
      <t xml:space="preserve"> max. 0,25 VK * 95.400 € = 23.850 € Erhöhung Verwaltungsbudget
Die dafür anzusetzenden Personaklkosten ab 1. Juli 2026 in Höhe von 95.400 € je VK werden jährlich zum 1. Januar, erstmals zum 1. Januar 2027, mit der Steigerung des Grundlohns p.a. (gemäß § 72 Abs. 3 SGB XI) fortentwickelt.
In Einrichtungen, in denen die bisherige Refinanzierung für Leitung und Verwaltung nach der neuen Herangehensweise nicht mehr erreicht wird, werden die bisherigen Vereinbarungsergebnisse in der Verhandlung entsprechend berücksichtigt. Diese sind durch Anpassung des Prozentsatzes in den Antragsunterlagen abbildbar. Eine Berechnungshilfe wird auf der Internetseite der AOK PLUS zur Verfügung gestellt.</t>
    </r>
  </si>
  <si>
    <t>Allgemeine Hinweise</t>
  </si>
  <si>
    <t>in PSK abgestimmten Satz zu den Fachkräften im § 43b eingesetzt</t>
  </si>
  <si>
    <t>B146-B150 sowie H146-H150</t>
  </si>
  <si>
    <t>bisher ließen sich nur 3 Nachkommastellen eintragen, Erweiterung auf 4 Nachkommastellen</t>
  </si>
  <si>
    <t>ist jetzt EinrL</t>
  </si>
  <si>
    <t>ist jetzt nur EinrL</t>
  </si>
  <si>
    <t>entfallen</t>
  </si>
  <si>
    <t>kann bleiben</t>
  </si>
  <si>
    <t>kann weg</t>
  </si>
  <si>
    <t>beibehalten</t>
  </si>
  <si>
    <t>bleibt</t>
  </si>
  <si>
    <t>aber in Kalkulation diese Zeilen nicht löschen sondern leer lassen</t>
  </si>
  <si>
    <t>Betriebsvergleich - Vergleichbarkeit…</t>
  </si>
  <si>
    <t>wir in Kalkulation nicht benötigt</t>
  </si>
  <si>
    <t>VWBUD_GES_PeKo_PROGN</t>
  </si>
  <si>
    <t>VWBUD_PeKo_BREUCK</t>
  </si>
  <si>
    <t>VWBUD_PROZENT</t>
  </si>
  <si>
    <t>VWBUD_PeKo_SK-FL_BERUECK</t>
  </si>
  <si>
    <t>VWBUD_BETRAG</t>
  </si>
  <si>
    <t>VWBUD_AUFSCHLAG</t>
  </si>
  <si>
    <t>VWBUD_AUFSCHLAG_BETRAG</t>
  </si>
  <si>
    <t>VWBUD_N_AUSG_STELLENANT</t>
  </si>
  <si>
    <t>VWBUD_PK_JE_VK</t>
  </si>
  <si>
    <t>VWBUD_ERGEBNIS</t>
  </si>
  <si>
    <t>neu</t>
  </si>
  <si>
    <r>
      <rPr>
        <b/>
        <sz val="11"/>
        <color theme="1"/>
        <rFont val="Arial"/>
        <family val="2"/>
      </rPr>
      <t>1. Allgemeine Hinweise</t>
    </r>
    <r>
      <rPr>
        <sz val="11"/>
        <color theme="1"/>
        <rFont val="Arial"/>
        <family val="2"/>
      </rPr>
      <t xml:space="preserve"> 
Die </t>
    </r>
    <r>
      <rPr>
        <sz val="11"/>
        <color rgb="FF000000"/>
        <rFont val="Arial"/>
        <family val="2"/>
      </rPr>
      <t>Umsetzung des § 113c SGB XI, die Rahmenverträge gemäß § 75 Abs. 1 SGB XI für die vollstationäre Pflege im Freistaat Sachsen (2. Nachtrag zum Rahmenvertrag vollstationäre Pflege im Freistaat Sachsen, in Kraft ab 1. Januar 2026) und für die Kurzzeitpflege (Rahmenvertrag Kurzzeitpflege im Freistaat Sachsen, in Kraft ab 01.07.2026) sowie der PSK-Beschluss 02 / 2026 erfordern eine Überarbeitung der Antragsunterlagen. Es sind außerdem die Anforderungen nach dem SächsWTG und der SächsWTVO zu beachten. 
Die vollständig ausgefüllten Antragsunterlagen sind gemäß § 85 Abs. 2 und Abs. 3 SGB XI den Leistungsträgern oder deren Arbeitsgemeinschaften, auf die im Jahr vor Beginn der Pflegesatzverhandlungen mehr als fünf vom Hundert der Berechnungstage der Pflegeeinrichtung entfallen, spätestens sechs Wochen vor dem beantragten Vereinbarungszeitraum durch den Träger der Pflegeeinrichtung zuzusenden (Anschriftenliste siehe Adressverzeichnis). Zwischen dem Antragsdatum und dem Laufzeitbeginn können maximal 4 Monate liegen. Sofern der KSV Sachsen nicht bereits Vertragspartei ist, erhält er immer eine Kopie der Allgemeinen Angaben und der Forderung. 
Werden eingereichte Antragsunterlagen korrigiert bzw. ergänzt, müssen die aktualisierten Antragsunterlagen rechtzeitig, in der Regel 14 Tage vor dem Verhandlungstermin, den beteiligten Vertragsparteien vorliegen. Umfangreiche Aktualisierungen nach Beginn der Verhandlung können zu einer Laufzeitverschiebung führen. 
Für jede vollstationäre Pflegeeinrichtung mit einem separaten Versorgungsvertrag nach § 72 SGB XI ist eine gesonderte Aufforderung einzureichen. 
Die Antragsunterlagen und die Stellungnahme der Bewohnervertretung sind rechtsverbindlich zu unterzeichnen. Die Antragsunterlagen sind im Excel-Format und die Unterschriftenseiten (Forderung und Bewohnervertretung) im pdf-Format per Email an die zuständigen Vertragsparteien zu übermitteln.</t>
    </r>
  </si>
  <si>
    <t>- Lebensmittel</t>
  </si>
  <si>
    <t>- Getränke</t>
  </si>
  <si>
    <t>- hochkalorische Lebensmittel</t>
  </si>
  <si>
    <t>- diätische Lebensmittel</t>
  </si>
  <si>
    <t>- Lebensmittelaufwand für fremdbezogene Verpflegung</t>
  </si>
  <si>
    <t>- zum Verbrauch bestimmte Pflegehilfsmittel (z.B. Desinfektionsmittel, saugende Bettschutzeinlagen zum Einmalgebrauch, Schutzbekleidung wie Fingerlinge, Einmalhandschuhe, Mundschutz und Schutzschürzen)</t>
  </si>
  <si>
    <t>- wie steuerrechtliche Maßgaben:</t>
  </si>
  <si>
    <r>
      <t>&lt; 250 €</t>
    </r>
    <r>
      <rPr>
        <b/>
        <sz val="14"/>
        <color rgb="FFFF0000"/>
        <rFont val="Arial"/>
        <family val="2"/>
      </rPr>
      <t xml:space="preserve"> </t>
    </r>
    <r>
      <rPr>
        <sz val="10"/>
        <color rgb="FF000000"/>
        <rFont val="Arial"/>
        <family val="2"/>
      </rPr>
      <t>Wirtschaftsbedarf</t>
    </r>
  </si>
  <si>
    <r>
      <t>&gt; 250 €</t>
    </r>
    <r>
      <rPr>
        <b/>
        <sz val="14"/>
        <color rgb="FF000000"/>
        <rFont val="Arial"/>
        <family val="2"/>
      </rPr>
      <t xml:space="preserve"> </t>
    </r>
    <r>
      <rPr>
        <sz val="10"/>
        <color rgb="FF000000"/>
        <rFont val="Arial"/>
        <family val="2"/>
      </rPr>
      <t>Investkosten</t>
    </r>
  </si>
  <si>
    <t>- Wäschereinigungsmittel, Pflegemittel</t>
  </si>
  <si>
    <t>- Gebäude- und Raumreinigungsmittel</t>
  </si>
  <si>
    <t>- Geschirrspülmittel</t>
  </si>
  <si>
    <t>- Flächendesinfektionsmittel</t>
  </si>
  <si>
    <t>- Seife</t>
  </si>
  <si>
    <t>- Toilettenpapier</t>
  </si>
  <si>
    <t>- Streusalz</t>
  </si>
  <si>
    <t>- Sachmittel Gartenpflege</t>
  </si>
  <si>
    <t>- Müllsäcke</t>
  </si>
  <si>
    <t>- nicht aktivierungsfähige Wirtschaftsgüter</t>
  </si>
  <si>
    <t>- Aufzug</t>
  </si>
  <si>
    <t>- Pflegebetten und sonst. elektrische Geräte</t>
  </si>
  <si>
    <t>- Rufanlage</t>
  </si>
  <si>
    <t>- Pflegerollstühle, -rollatoren</t>
  </si>
  <si>
    <t>- Pflegebadewanne, -lifter</t>
  </si>
  <si>
    <t>- Kopierer</t>
  </si>
  <si>
    <t>- Brandschutz- und -meldeanlagen</t>
  </si>
  <si>
    <t>- Automatiktüren</t>
  </si>
  <si>
    <t>- Lüftungsanlagen</t>
  </si>
  <si>
    <t>- Telefonanlage</t>
  </si>
  <si>
    <t>- EDV-Anlage</t>
  </si>
  <si>
    <t>- technische Anlagen (z.B. Heizung)</t>
  </si>
  <si>
    <t>- keine Instandhaltung oder Instandsetzung</t>
  </si>
  <si>
    <t>Gesamtkosten des externen Anbieters</t>
  </si>
  <si>
    <t>Gesamtkosten des externen Anbieters, z.B. Wachdienst, externe Betreuungsleistungen (Tiertherapie), Rezeption, Servicemitarbeiter (Hauswirtschaft)</t>
  </si>
  <si>
    <t>- keine Sondennahrung</t>
  </si>
  <si>
    <t>- keine Lebensmittel für Externe (Betreutes Wohnen, Kindergarten o.Ä.)</t>
  </si>
  <si>
    <t>- bei Fremdbezug der Verpflegung nur Lebensmittel, im Übrigen siehe Fremdleistung Küche</t>
  </si>
  <si>
    <t xml:space="preserve">- soweit dem Pflegebedürftigen eine Beschaffung nicht möglich ist, Aufwand für einmalige Ausstattung mit geeigneten Standardprodukten für die Körperhygiene und Körperpflege (Duschgel, Zahnbürste, Zahnpasta) </t>
  </si>
  <si>
    <t>- Pflegedokumentation (auch Software) einschließlich Wartung und Pflege der Software (z.B. Updates, Hotlines)</t>
  </si>
  <si>
    <t>- Fachliteratur "Pflege"</t>
  </si>
  <si>
    <t>- Erste-Hilfe-Ausstattung</t>
  </si>
  <si>
    <t>- kein Inkontinenzmaterial nach SGB V</t>
  </si>
  <si>
    <t>- keine sonstigen Hilfsmittel nach SGB V</t>
  </si>
  <si>
    <t>- aktivierungsfähige Pflegehilfsmittel (Antidekubitussysteme -sofern keine SGB V-Leistung-, Kopfwaschanlagen, Bettpfannen) werden über Investitionskosten finanziert</t>
  </si>
  <si>
    <t>- Anschaffungskosten der Hardware der Pflegedokumentation über Investitionskosten</t>
  </si>
  <si>
    <t>- kein Aufwand der Dauerversorgung für die übliche Körper- und Gesundheitspflege (z.B. Friseur, Monatshygiene, persönliche Toilettenartikel)</t>
  </si>
  <si>
    <t xml:space="preserve">- Wasserver- und -entsorgung (Kosten des Verbrauchs von Wasser und Kosten/Gebühren für die Entwässerung; keine Beiträge)   </t>
  </si>
  <si>
    <t>- Energie (Elektrizität)</t>
  </si>
  <si>
    <t>- Brennstoffe (Gas, Heizöl, Fernwärme, Kohle)</t>
  </si>
  <si>
    <t>- Kraftstoffe für Versorgungsfahrten</t>
  </si>
  <si>
    <t>- bei Mietverträgen: Betriebskosten</t>
  </si>
  <si>
    <t>- soweit Fremdleistungen in der Einrichtung erbracht werden, ist zur Zuordnung der Sachkostenanteile Stellung zu nehmen</t>
  </si>
  <si>
    <t>- soweit durch die Einrichtung Leistungen für Dritte (z.B. Betreutes Wohnen, Kindergarten, Cafeteria) erbracht werden, sind die entsprechenden Kostenanteile abzuziehen</t>
  </si>
  <si>
    <t>- soweit mehrere Versorgungsangebote unter einem Dach vorgehalten werden, sind die Kosten entsprechend zuzuordnen</t>
  </si>
  <si>
    <t>- Aufwand für pflegebezogene Betreuung und Beschäftigung inkl. § 43b (z.B. Bastelbedarf, Tageszeitung, Spiele, Tierhaltung)</t>
  </si>
  <si>
    <t>- Aufwand für Gemeinschaftsveranstaltungen (z.B. Feiern, Geschenke, kulturelle Betreuung, Ausflüge, Freizeitgestaltung, Hausschmuck, Heimbücherei)</t>
  </si>
  <si>
    <t>- Steuern (Grundsteuer, KfZ-Steuer)</t>
  </si>
  <si>
    <t>- Abgaben und Gebühren (z.B. GEZ, GEMA, Müllentsorgung, Straßenreinigung, TÜV, Schornsteinfeger, Aufschaltung der Brandmeldeanlagen)</t>
  </si>
  <si>
    <t>- Versicherungen (z.B. Gebäudehaftpflichtversicherung, KfZ-Versicherung, Betriebshaftpflichtversicherung, Elementarversicherung)</t>
  </si>
  <si>
    <t>- Verbandsbeiträge</t>
  </si>
  <si>
    <t>- Aufwandsentschädigung für ehrenamtliche Mitarbeiter (soweit nicht anderweitig finanziert)</t>
  </si>
  <si>
    <t>- sonstige nicht zuordenbare Kosten</t>
  </si>
  <si>
    <t xml:space="preserve">
Nicht enthalten sind:
- Personalkosten Einrichtungsleitung
- externe Anwerbe-/Personalvermittlungskosten
- Rezeptionsdienst
Investitionskosten sind nicht Bestandteil der Pflegesatzvereinbarung und daher aus allen Positionen herauszurechnen</t>
  </si>
  <si>
    <t>- Verwaltungspersonal (in der Einrichtung und beim Träger)</t>
  </si>
  <si>
    <t>- Büromaterial, Telefonkosten, Porto</t>
  </si>
  <si>
    <t>- Bankgebühren (keine Zinsen)</t>
  </si>
  <si>
    <t>- Öffentlichkeitsarbeit</t>
  </si>
  <si>
    <t>- Fachliteratur (nicht Pflege)</t>
  </si>
  <si>
    <t>- Reisekosten im Rahmen von Verwaltungsangelegenheiten</t>
  </si>
  <si>
    <t>- Rechts- und Steuerberatungskosten</t>
  </si>
  <si>
    <t>- Geschäftsführung</t>
  </si>
  <si>
    <t>- Zentraler Einkauf</t>
  </si>
  <si>
    <r>
      <t>-</t>
    </r>
    <r>
      <rPr>
        <sz val="7"/>
        <color rgb="FF000000"/>
        <rFont val="Times New Roman"/>
        <family val="1"/>
      </rPr>
      <t> </t>
    </r>
    <r>
      <rPr>
        <sz val="10"/>
        <color rgb="FF000000"/>
        <rFont val="Arial"/>
        <family val="2"/>
      </rPr>
      <t>Zentrale (Finanz-)Buchhaltung</t>
    </r>
  </si>
  <si>
    <r>
      <t>-</t>
    </r>
    <r>
      <rPr>
        <sz val="7"/>
        <color rgb="FF000000"/>
        <rFont val="Times New Roman"/>
        <family val="1"/>
      </rPr>
      <t> </t>
    </r>
    <r>
      <rPr>
        <sz val="10"/>
        <color rgb="FF000000"/>
        <rFont val="Arial"/>
        <family val="2"/>
      </rPr>
      <t>Zentrale Personalverwaltung und Gehaltsabrechnung</t>
    </r>
  </si>
  <si>
    <r>
      <t>-</t>
    </r>
    <r>
      <rPr>
        <sz val="7"/>
        <color rgb="FF000000"/>
        <rFont val="Times New Roman"/>
        <family val="1"/>
      </rPr>
      <t> </t>
    </r>
    <r>
      <rPr>
        <sz val="10"/>
        <color rgb="FF000000"/>
        <rFont val="Arial"/>
        <family val="2"/>
      </rPr>
      <t>Controlling</t>
    </r>
  </si>
  <si>
    <r>
      <t>-</t>
    </r>
    <r>
      <rPr>
        <sz val="7"/>
        <color rgb="FF000000"/>
        <rFont val="Times New Roman"/>
        <family val="1"/>
      </rPr>
      <t> </t>
    </r>
    <r>
      <rPr>
        <sz val="10"/>
        <color rgb="FF000000"/>
        <rFont val="Arial"/>
        <family val="2"/>
      </rPr>
      <t>Datenschutzbeauftragter</t>
    </r>
  </si>
  <si>
    <t>- Facilitymanagement</t>
  </si>
  <si>
    <t>- Zentraler Verwaltungsbedarf</t>
  </si>
  <si>
    <r>
      <t>-</t>
    </r>
    <r>
      <rPr>
        <sz val="7"/>
        <color rgb="FF000000"/>
        <rFont val="Times New Roman"/>
        <family val="1"/>
      </rPr>
      <t>  </t>
    </r>
    <r>
      <rPr>
        <sz val="10"/>
        <color rgb="FF000000"/>
        <rFont val="Arial"/>
        <family val="2"/>
      </rPr>
      <t>Mitarbeitervertretung</t>
    </r>
  </si>
  <si>
    <t>- Verwaltungsumlage</t>
  </si>
  <si>
    <r>
      <t>-</t>
    </r>
    <r>
      <rPr>
        <sz val="7"/>
        <color rgb="FF000000"/>
        <rFont val="Times New Roman"/>
        <family val="1"/>
      </rPr>
      <t> </t>
    </r>
    <r>
      <rPr>
        <sz val="10"/>
        <color rgb="FF000000"/>
        <rFont val="Arial"/>
        <family val="2"/>
      </rPr>
      <t>sonstige Kosten der Verwaltung des Trägers</t>
    </r>
  </si>
  <si>
    <t>- Wartungskosten der Zentralverwaltung für Bürotechnik (Drucker, Kopierer, PC) sowie Verwaltungssoftware</t>
  </si>
  <si>
    <t>- Personalbeschaffungskosten mit Ausnahme externer Anwerbe- / Personalvermittlungskosten</t>
  </si>
  <si>
    <t>C61</t>
  </si>
  <si>
    <t>alter Stand, Streichung Sachkosten Verwaltung, Zentrale Verwaltung und Fremdleistung Verwaltung, Aufnahme Leitungsbudget lt. PSK 12.03.2026</t>
  </si>
  <si>
    <t>Einrichtungsleitung bei 81 bis 150 Plätze auf 1,5 VK</t>
  </si>
  <si>
    <t>Bereich Pflege/HKP</t>
  </si>
  <si>
    <t>Fachbereich Vertrags- und Qualitätsmanagement SAC</t>
  </si>
  <si>
    <t>Geschäftsbereich Gesundheitspartner</t>
  </si>
  <si>
    <t>Adressverzeichnis</t>
  </si>
  <si>
    <t>A6-A8</t>
  </si>
  <si>
    <t>neue Organisationsstruktur der AOK PLUS</t>
  </si>
  <si>
    <t>Pflegekassen:</t>
  </si>
  <si>
    <t>N70 bis N93 Zellschutz aufgehoben</t>
  </si>
  <si>
    <t>Absprünge in die betroffenen Tabellenblätter funktionierten aufgrund des Blattschutzes nicht</t>
  </si>
  <si>
    <t>D83</t>
  </si>
  <si>
    <t>Eintragung in Zeile 83 sichtbar gemacht</t>
  </si>
  <si>
    <t>F34, F40; F46, F426, F435</t>
  </si>
  <si>
    <t>Freigabe Zellschutz, damit Absprung aus der Verlinkung im Blatt Forderung funktioniert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</si>
</sst>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8">
    <numFmt numFmtId="7" formatCode="#,##0.00\ &quot;€&quot;;\-#,##0.00\ &quot;€&quot;"/>
    <numFmt numFmtId="44" formatCode="_-* #,##0.00\ &quot;€&quot;_-;\-* #,##0.00\ &quot;€&quot;_-;_-* &quot;-&quot;??\ &quot;€&quot;_-;_-@_-"/>
    <numFmt numFmtId="164" formatCode="_-* #,##0.00\ _€_-;\-* #,##0.00\ _€_-;_-* &quot;-&quot;??\ _€_-;_-@_-"/>
    <numFmt numFmtId="165" formatCode="#,##0.00\ &quot;€&quot;"/>
    <numFmt numFmtId="166" formatCode="d/m/yy"/>
    <numFmt numFmtId="167" formatCode="#,##0\ &quot;€&quot;"/>
    <numFmt numFmtId="168" formatCode="0.000"/>
    <numFmt numFmtId="169" formatCode="0.000\ &quot;VK&quot;"/>
    <numFmt numFmtId="170" formatCode="#,##0.00\ _€"/>
    <numFmt numFmtId="171" formatCode="0\ &quot;%&quot;"/>
    <numFmt numFmtId="172" formatCode="#,##0.000\ &quot;€&quot;"/>
    <numFmt numFmtId="173" formatCode="0.0000"/>
    <numFmt numFmtId="174" formatCode="#,##0.0000"/>
    <numFmt numFmtId="175" formatCode="_-* #,##0\ [$€-407]_-;\-* #,##0\ [$€-407]_-;_-* &quot;-&quot;??\ [$€-407]_-;_-@_-"/>
    <numFmt numFmtId="176" formatCode="0.0\ %"/>
    <numFmt numFmtId="177" formatCode="#,##0.000"/>
    <numFmt numFmtId="178" formatCode="#,##0.00\ &quot;€/VK&quot;"/>
    <numFmt numFmtId="179" formatCode="#,##0\ ;\-\ #,##0\ ;&quot;-&quot;\ \ ;@"/>
    <numFmt numFmtId="180" formatCode="#,##0.00\ ;\-#,##0.00\ ;&quot;-&quot;\ ??;@"/>
    <numFmt numFmtId="181" formatCode="#,##0\ ;\-#,##0\ ;&quot;-&quot;\ \ \ ;@"/>
    <numFmt numFmtId="182" formatCode="#,##0.00\ ;\-#,##0.00\ ;&quot;-&quot;\ \ \ \ \ ;@"/>
    <numFmt numFmtId="183" formatCode="0.00_ &quot;€&quot;"/>
    <numFmt numFmtId="184" formatCode="0.00\ &quot;€&quot;"/>
    <numFmt numFmtId="185" formatCode="_-\ #,##0.00\ &quot;€/VK&quot;"/>
    <numFmt numFmtId="186" formatCode="#,##0\ &quot;€/VK&quot;"/>
    <numFmt numFmtId="187" formatCode="#,##0.000\ &quot;€&quot;;\-#,##0.000\ &quot;€&quot;"/>
    <numFmt numFmtId="188" formatCode="0.00\ %\ &quot;Anteil Präsenzkräfte in Hauswirtschaft.&quot;"/>
    <numFmt numFmtId="189" formatCode="&quot;vom:&quot;\ dd/mm/yyyy"/>
    <numFmt numFmtId="190" formatCode="&quot;bis:&quot;\ dd/mm/yyyy"/>
    <numFmt numFmtId="191" formatCode="0.00\ &quot;h&quot;"/>
    <numFmt numFmtId="192" formatCode="&quot;(&quot;\ 0.0000\ &quot;VK).&quot;"/>
    <numFmt numFmtId="193" formatCode="0.0000\ &quot;VK&quot;"/>
    <numFmt numFmtId="194" formatCode="_-* #,##0.0000\ &quot;€&quot;_-;\-* #,##0.0000\ &quot;€&quot;_-;_-* &quot;-&quot;??\ &quot;€&quot;_-;_-@_-"/>
    <numFmt numFmtId="195" formatCode="00000"/>
    <numFmt numFmtId="196" formatCode="#,##0.0"/>
    <numFmt numFmtId="197" formatCode="0.0000000"/>
    <numFmt numFmtId="198" formatCode="#,##0.0000\ &quot;€&quot;"/>
    <numFmt numFmtId="199" formatCode="0.0%"/>
  </numFmts>
  <fonts count="249" x14ac:knownFonts="1">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1"/>
      <color rgb="FFFF0000"/>
      <name val="Arial"/>
      <family val="2"/>
    </font>
    <font>
      <b/>
      <sz val="11"/>
      <color theme="1"/>
      <name val="Arial"/>
      <family val="2"/>
    </font>
    <font>
      <b/>
      <sz val="11"/>
      <name val="Arial"/>
      <family val="2"/>
    </font>
    <font>
      <sz val="11"/>
      <name val="Arial"/>
      <family val="2"/>
    </font>
    <font>
      <b/>
      <sz val="10"/>
      <color theme="1"/>
      <name val="Arial"/>
      <family val="2"/>
    </font>
    <font>
      <b/>
      <sz val="10"/>
      <name val="Arial"/>
      <family val="2"/>
    </font>
    <font>
      <sz val="8"/>
      <color rgb="FFFF0000"/>
      <name val="Arial"/>
      <family val="2"/>
    </font>
    <font>
      <sz val="8"/>
      <color theme="0"/>
      <name val="Arial"/>
      <family val="2"/>
    </font>
    <font>
      <sz val="11"/>
      <color theme="3" tint="-0.249977111117893"/>
      <name val="Arial"/>
      <family val="2"/>
    </font>
    <font>
      <sz val="10"/>
      <color rgb="FFFF0000"/>
      <name val="Arial"/>
      <family val="2"/>
    </font>
    <font>
      <sz val="10"/>
      <name val="Arial"/>
      <family val="2"/>
    </font>
    <font>
      <sz val="8"/>
      <name val="Arial"/>
      <family val="2"/>
    </font>
    <font>
      <u/>
      <sz val="10"/>
      <color indexed="12"/>
      <name val="Arial"/>
      <family val="2"/>
    </font>
    <font>
      <sz val="11"/>
      <color theme="8" tint="-0.249977111117893"/>
      <name val="Arial"/>
      <family val="2"/>
    </font>
    <font>
      <sz val="11"/>
      <color theme="5" tint="-0.499984740745262"/>
      <name val="Arial"/>
      <family val="2"/>
    </font>
    <font>
      <sz val="10"/>
      <color rgb="FF0070C0"/>
      <name val="Arial"/>
      <family val="2"/>
    </font>
    <font>
      <u/>
      <sz val="10"/>
      <color theme="1"/>
      <name val="Arial"/>
      <family val="2"/>
    </font>
    <font>
      <b/>
      <sz val="10"/>
      <color rgb="FFFF0000"/>
      <name val="Arial"/>
      <family val="2"/>
    </font>
    <font>
      <i/>
      <sz val="10"/>
      <color theme="1"/>
      <name val="Arial"/>
      <family val="2"/>
    </font>
    <font>
      <sz val="11"/>
      <color rgb="FF7030A0"/>
      <name val="Arial"/>
      <family val="2"/>
    </font>
    <font>
      <sz val="10"/>
      <color rgb="FF00B050"/>
      <name val="Arial"/>
      <family val="2"/>
    </font>
    <font>
      <sz val="10"/>
      <color rgb="FF7030A0"/>
      <name val="Arial"/>
      <family val="2"/>
    </font>
    <font>
      <sz val="10"/>
      <color theme="3" tint="-0.249977111117893"/>
      <name val="Arial"/>
      <family val="2"/>
    </font>
    <font>
      <sz val="11"/>
      <color rgb="FF0070C0"/>
      <name val="Arial"/>
      <family val="2"/>
    </font>
    <font>
      <sz val="8"/>
      <color theme="1"/>
      <name val="Arial"/>
      <family val="2"/>
    </font>
    <font>
      <b/>
      <sz val="12"/>
      <name val="Arial"/>
      <family val="2"/>
    </font>
    <font>
      <sz val="9"/>
      <name val="Arial"/>
      <family val="2"/>
    </font>
    <font>
      <sz val="7"/>
      <name val="Arial"/>
      <family val="2"/>
    </font>
    <font>
      <b/>
      <sz val="10"/>
      <color indexed="10"/>
      <name val="Arial"/>
      <family val="2"/>
    </font>
    <font>
      <b/>
      <sz val="10"/>
      <color rgb="FF0070C0"/>
      <name val="Arial"/>
      <family val="2"/>
    </font>
    <font>
      <b/>
      <sz val="10"/>
      <color theme="3" tint="-0.249977111117893"/>
      <name val="Arial"/>
      <family val="2"/>
    </font>
    <font>
      <sz val="9"/>
      <color theme="1"/>
      <name val="Arial"/>
      <family val="2"/>
    </font>
    <font>
      <b/>
      <u/>
      <sz val="12"/>
      <name val="Arial"/>
      <family val="2"/>
    </font>
    <font>
      <b/>
      <sz val="11"/>
      <color rgb="FF7030A0"/>
      <name val="Arial"/>
      <family val="2"/>
    </font>
    <font>
      <b/>
      <u/>
      <sz val="10"/>
      <color theme="1"/>
      <name val="Arial"/>
      <family val="2"/>
    </font>
    <font>
      <sz val="10"/>
      <color theme="0"/>
      <name val="Arial"/>
      <family val="2"/>
    </font>
    <font>
      <u/>
      <sz val="10"/>
      <color rgb="FF0070C0"/>
      <name val="Arial"/>
      <family val="2"/>
    </font>
    <font>
      <b/>
      <sz val="12"/>
      <color theme="1"/>
      <name val="Arial"/>
      <family val="2"/>
    </font>
    <font>
      <sz val="12"/>
      <color theme="1"/>
      <name val="Arial"/>
      <family val="2"/>
    </font>
    <font>
      <sz val="12"/>
      <name val="Arial"/>
      <family val="2"/>
    </font>
    <font>
      <sz val="12"/>
      <color theme="3" tint="-0.249977111117893"/>
      <name val="Arial"/>
      <family val="2"/>
    </font>
    <font>
      <b/>
      <u/>
      <sz val="10"/>
      <name val="Arial"/>
      <family val="2"/>
    </font>
    <font>
      <sz val="14"/>
      <name val="Arial"/>
      <family val="2"/>
    </font>
    <font>
      <sz val="48"/>
      <name val="Arial"/>
      <family val="2"/>
    </font>
    <font>
      <b/>
      <i/>
      <sz val="9"/>
      <color rgb="FF0070C0"/>
      <name val="Arial"/>
      <family val="2"/>
    </font>
    <font>
      <b/>
      <i/>
      <sz val="9"/>
      <color theme="1"/>
      <name val="Arial"/>
      <family val="2"/>
    </font>
    <font>
      <sz val="10"/>
      <color theme="0" tint="-0.249977111117893"/>
      <name val="Arial"/>
      <family val="2"/>
    </font>
    <font>
      <b/>
      <sz val="11"/>
      <color rgb="FFC00000"/>
      <name val="Arial"/>
      <family val="2"/>
    </font>
    <font>
      <b/>
      <sz val="8"/>
      <name val="Arial"/>
      <family val="2"/>
    </font>
    <font>
      <sz val="11"/>
      <color rgb="FF00B0F0"/>
      <name val="Arial"/>
      <family val="2"/>
    </font>
    <font>
      <sz val="10"/>
      <color rgb="FF00B0F0"/>
      <name val="Arial"/>
      <family val="2"/>
    </font>
    <font>
      <sz val="9"/>
      <color rgb="FFFF0000"/>
      <name val="Arial"/>
      <family val="2"/>
    </font>
    <font>
      <sz val="10"/>
      <color theme="3"/>
      <name val="Arial"/>
      <family val="2"/>
    </font>
    <font>
      <sz val="11"/>
      <color theme="3"/>
      <name val="Arial"/>
      <family val="2"/>
    </font>
    <font>
      <b/>
      <sz val="10"/>
      <color theme="7"/>
      <name val="Arial"/>
      <family val="2"/>
    </font>
    <font>
      <b/>
      <sz val="9"/>
      <name val="Arial"/>
      <family val="2"/>
    </font>
    <font>
      <b/>
      <sz val="10"/>
      <name val="Wingdings"/>
      <charset val="2"/>
    </font>
    <font>
      <b/>
      <sz val="14"/>
      <name val="Arial"/>
      <family val="2"/>
    </font>
    <font>
      <sz val="8"/>
      <name val="Arial Narrow"/>
      <family val="2"/>
    </font>
    <font>
      <b/>
      <sz val="9"/>
      <name val="Arial Narrow"/>
      <family val="2"/>
    </font>
    <font>
      <b/>
      <i/>
      <sz val="10"/>
      <color theme="1"/>
      <name val="Arial"/>
      <family val="2"/>
    </font>
    <font>
      <b/>
      <sz val="10"/>
      <color rgb="FF7030A0"/>
      <name val="Arial"/>
      <family val="2"/>
    </font>
    <font>
      <sz val="11"/>
      <color theme="6"/>
      <name val="Arial"/>
      <family val="2"/>
    </font>
    <font>
      <sz val="10"/>
      <color theme="6"/>
      <name val="Arial"/>
      <family val="2"/>
    </font>
    <font>
      <b/>
      <sz val="10"/>
      <color theme="6"/>
      <name val="Arial"/>
      <family val="2"/>
    </font>
    <font>
      <b/>
      <sz val="8"/>
      <color theme="1"/>
      <name val="Arial"/>
      <family val="2"/>
    </font>
    <font>
      <b/>
      <sz val="10"/>
      <color theme="0"/>
      <name val="Arial"/>
      <family val="2"/>
    </font>
    <font>
      <sz val="11"/>
      <color rgb="FFFFC000"/>
      <name val="Arial"/>
      <family val="2"/>
    </font>
    <font>
      <sz val="11"/>
      <color theme="9" tint="-0.249977111117893"/>
      <name val="Arial"/>
      <family val="2"/>
    </font>
    <font>
      <sz val="10"/>
      <color theme="9" tint="-0.249977111117893"/>
      <name val="Arial"/>
      <family val="2"/>
    </font>
    <font>
      <sz val="10"/>
      <color theme="3" tint="0.39997558519241921"/>
      <name val="Arial"/>
      <family val="2"/>
    </font>
    <font>
      <u/>
      <sz val="10"/>
      <color rgb="FFFF0000"/>
      <name val="Arial"/>
      <family val="2"/>
    </font>
    <font>
      <sz val="10"/>
      <color rgb="FFFF00FF"/>
      <name val="Arial"/>
      <family val="2"/>
    </font>
    <font>
      <sz val="11"/>
      <color rgb="FFFF00FF"/>
      <name val="Arial"/>
      <family val="2"/>
    </font>
    <font>
      <b/>
      <sz val="9"/>
      <color rgb="FFFF0000"/>
      <name val="Arial"/>
      <family val="2"/>
    </font>
    <font>
      <u/>
      <sz val="11"/>
      <color rgb="FFFF00FF"/>
      <name val="Arial"/>
      <family val="2"/>
    </font>
    <font>
      <u/>
      <sz val="10"/>
      <color rgb="FFFF00FF"/>
      <name val="Arial"/>
      <family val="2"/>
    </font>
    <font>
      <b/>
      <sz val="10"/>
      <color rgb="FFFF00FF"/>
      <name val="Arial"/>
      <family val="2"/>
    </font>
    <font>
      <strike/>
      <sz val="10"/>
      <color theme="1"/>
      <name val="Arial"/>
      <family val="2"/>
    </font>
    <font>
      <b/>
      <i/>
      <sz val="9"/>
      <color rgb="FFFF00FF"/>
      <name val="Arial"/>
      <family val="2"/>
    </font>
    <font>
      <sz val="9"/>
      <color rgb="FFFF00FF"/>
      <name val="Arial"/>
      <family val="2"/>
    </font>
    <font>
      <strike/>
      <sz val="10"/>
      <color theme="3"/>
      <name val="Arial"/>
      <family val="2"/>
    </font>
    <font>
      <sz val="9"/>
      <color rgb="FF0070C0"/>
      <name val="Arial"/>
      <family val="2"/>
    </font>
    <font>
      <b/>
      <strike/>
      <sz val="10"/>
      <color theme="3"/>
      <name val="Arial"/>
      <family val="2"/>
    </font>
    <font>
      <b/>
      <strike/>
      <sz val="10"/>
      <color theme="7"/>
      <name val="Arial"/>
      <family val="2"/>
    </font>
    <font>
      <strike/>
      <u val="double"/>
      <sz val="10"/>
      <color theme="3"/>
      <name val="Arial"/>
      <family val="2"/>
    </font>
    <font>
      <strike/>
      <sz val="10"/>
      <color theme="7"/>
      <name val="Arial"/>
      <family val="2"/>
    </font>
    <font>
      <strike/>
      <u/>
      <sz val="10"/>
      <color theme="3"/>
      <name val="Arial"/>
      <family val="2"/>
    </font>
    <font>
      <strike/>
      <sz val="11"/>
      <color theme="3"/>
      <name val="Arial"/>
      <family val="2"/>
    </font>
    <font>
      <strike/>
      <sz val="9"/>
      <color theme="3"/>
      <name val="Arial"/>
      <family val="2"/>
    </font>
    <font>
      <strike/>
      <sz val="11"/>
      <color theme="1"/>
      <name val="Arial"/>
      <family val="2"/>
    </font>
    <font>
      <b/>
      <sz val="11"/>
      <color theme="3"/>
      <name val="Arial"/>
      <family val="2"/>
    </font>
    <font>
      <sz val="9"/>
      <color theme="3"/>
      <name val="Arial"/>
      <family val="2"/>
    </font>
    <font>
      <b/>
      <u/>
      <sz val="10"/>
      <color theme="3"/>
      <name val="Arial"/>
      <family val="2"/>
    </font>
    <font>
      <b/>
      <sz val="9"/>
      <color theme="3"/>
      <name val="Arial"/>
      <family val="2"/>
    </font>
    <font>
      <sz val="10"/>
      <name val="Arial"/>
      <family val="2"/>
    </font>
    <font>
      <u/>
      <sz val="10"/>
      <color theme="10"/>
      <name val="Arial"/>
      <family val="2"/>
    </font>
    <font>
      <b/>
      <sz val="18"/>
      <color theme="0"/>
      <name val="Arial"/>
      <family val="2"/>
    </font>
    <font>
      <sz val="10"/>
      <color theme="7"/>
      <name val="Arial"/>
      <family val="2"/>
    </font>
    <font>
      <sz val="9"/>
      <color theme="7"/>
      <name val="Arial"/>
      <family val="2"/>
    </font>
    <font>
      <sz val="9"/>
      <color rgb="FF09D2E7"/>
      <name val="Arial"/>
      <family val="2"/>
    </font>
    <font>
      <sz val="9"/>
      <color rgb="FF7030A0"/>
      <name val="Arial"/>
      <family val="2"/>
    </font>
    <font>
      <b/>
      <sz val="14"/>
      <color theme="1"/>
      <name val="Arial"/>
      <family val="2"/>
    </font>
    <font>
      <sz val="11"/>
      <color theme="7" tint="-0.249977111117893"/>
      <name val="Arial"/>
      <family val="2"/>
    </font>
    <font>
      <sz val="10"/>
      <color theme="7" tint="-0.249977111117893"/>
      <name val="Arial"/>
      <family val="2"/>
    </font>
    <font>
      <sz val="11"/>
      <color theme="2" tint="-0.499984740745262"/>
      <name val="Arial"/>
      <family val="2"/>
    </font>
    <font>
      <sz val="10"/>
      <color theme="2" tint="-0.499984740745262"/>
      <name val="Arial"/>
      <family val="2"/>
    </font>
    <font>
      <sz val="9"/>
      <color theme="2" tint="-0.499984740745262"/>
      <name val="Arial"/>
      <family val="2"/>
    </font>
    <font>
      <sz val="11"/>
      <color theme="8"/>
      <name val="Arial"/>
      <family val="2"/>
    </font>
    <font>
      <strike/>
      <sz val="11"/>
      <color rgb="FFFF00FF"/>
      <name val="Arial"/>
      <family val="2"/>
    </font>
    <font>
      <sz val="9"/>
      <color rgb="FF660066"/>
      <name val="Arial"/>
      <family val="2"/>
    </font>
    <font>
      <sz val="10"/>
      <color theme="9" tint="-0.499984740745262"/>
      <name val="Arial"/>
      <family val="2"/>
    </font>
    <font>
      <b/>
      <sz val="9"/>
      <color theme="1"/>
      <name val="Arial"/>
      <family val="2"/>
    </font>
    <font>
      <b/>
      <sz val="10"/>
      <color theme="9" tint="-0.499984740745262"/>
      <name val="Arial"/>
      <family val="2"/>
    </font>
    <font>
      <b/>
      <sz val="16"/>
      <name val="Arial"/>
      <family val="2"/>
    </font>
    <font>
      <u/>
      <sz val="11"/>
      <color theme="1"/>
      <name val="Arial"/>
      <family val="2"/>
    </font>
    <font>
      <b/>
      <sz val="12"/>
      <color theme="0"/>
      <name val="Arial"/>
      <family val="2"/>
    </font>
    <font>
      <b/>
      <sz val="10"/>
      <color theme="0" tint="-4.9989318521683403E-2"/>
      <name val="Arial"/>
      <family val="2"/>
    </font>
    <font>
      <b/>
      <sz val="9"/>
      <color rgb="FF0070C0"/>
      <name val="Arial"/>
      <family val="2"/>
    </font>
    <font>
      <b/>
      <sz val="9"/>
      <color theme="3" tint="-0.249977111117893"/>
      <name val="Arial"/>
      <family val="2"/>
    </font>
    <font>
      <sz val="10"/>
      <color theme="0" tint="-0.14999847407452621"/>
      <name val="Arial"/>
      <family val="2"/>
    </font>
    <font>
      <sz val="11"/>
      <color theme="0" tint="-0.14999847407452621"/>
      <name val="Arial"/>
      <family val="2"/>
    </font>
    <font>
      <sz val="7"/>
      <color theme="0" tint="-0.34998626667073579"/>
      <name val="Arial"/>
      <family val="2"/>
    </font>
    <font>
      <b/>
      <sz val="10"/>
      <color theme="3"/>
      <name val="Arial"/>
      <family val="2"/>
    </font>
    <font>
      <i/>
      <sz val="10"/>
      <color rgb="FFFF0000"/>
      <name val="Arial"/>
      <family val="2"/>
    </font>
    <font>
      <i/>
      <sz val="10"/>
      <color rgb="FFFF0000"/>
      <name val="Wingdings"/>
      <charset val="2"/>
    </font>
    <font>
      <strike/>
      <sz val="10"/>
      <name val="Arial"/>
      <family val="2"/>
    </font>
    <font>
      <b/>
      <strike/>
      <sz val="10"/>
      <name val="Arial"/>
      <family val="2"/>
    </font>
    <font>
      <b/>
      <strike/>
      <sz val="10"/>
      <color theme="1"/>
      <name val="Arial"/>
      <family val="2"/>
    </font>
    <font>
      <b/>
      <strike/>
      <sz val="10"/>
      <color rgb="FFFF0000"/>
      <name val="Arial"/>
      <family val="2"/>
    </font>
    <font>
      <strike/>
      <sz val="10"/>
      <color rgb="FFFF0000"/>
      <name val="Arial"/>
      <family val="2"/>
    </font>
    <font>
      <b/>
      <sz val="11"/>
      <color rgb="FFFF0000"/>
      <name val="Arial"/>
      <family val="2"/>
    </font>
    <font>
      <b/>
      <sz val="12"/>
      <color rgb="FFFF0000"/>
      <name val="Arial"/>
      <family val="2"/>
    </font>
    <font>
      <b/>
      <sz val="12"/>
      <color rgb="FF0070C0"/>
      <name val="Arial"/>
      <family val="2"/>
    </font>
    <font>
      <b/>
      <sz val="12"/>
      <color theme="3"/>
      <name val="Arial"/>
      <family val="2"/>
    </font>
    <font>
      <u/>
      <sz val="10"/>
      <color theme="3"/>
      <name val="Arial"/>
      <family val="2"/>
    </font>
    <font>
      <b/>
      <sz val="11"/>
      <color rgb="FF0070C0"/>
      <name val="Arial"/>
      <family val="2"/>
    </font>
    <font>
      <sz val="8"/>
      <color theme="3"/>
      <name val="Arial"/>
      <family val="2"/>
    </font>
    <font>
      <b/>
      <u/>
      <sz val="8"/>
      <color theme="1"/>
      <name val="Arial"/>
      <family val="2"/>
    </font>
    <font>
      <b/>
      <u/>
      <sz val="10"/>
      <color rgb="FFFF0000"/>
      <name val="Arial"/>
      <family val="2"/>
    </font>
    <font>
      <strike/>
      <sz val="11"/>
      <color rgb="FFFF0000"/>
      <name val="Arial"/>
      <family val="2"/>
    </font>
    <font>
      <u/>
      <sz val="10"/>
      <name val="Arial"/>
      <family val="2"/>
    </font>
    <font>
      <sz val="11"/>
      <color theme="7"/>
      <name val="Arial"/>
      <family val="2"/>
    </font>
    <font>
      <sz val="11"/>
      <color theme="0"/>
      <name val="Arial"/>
      <family val="2"/>
    </font>
    <font>
      <b/>
      <u/>
      <sz val="10"/>
      <color theme="0"/>
      <name val="Arial"/>
      <family val="2"/>
    </font>
    <font>
      <b/>
      <sz val="16"/>
      <color rgb="FFFF0000"/>
      <name val="Arial"/>
      <family val="2"/>
    </font>
    <font>
      <b/>
      <sz val="16"/>
      <color rgb="FF0070C0"/>
      <name val="Arial"/>
      <family val="2"/>
    </font>
    <font>
      <b/>
      <sz val="16"/>
      <color theme="3"/>
      <name val="Arial"/>
      <family val="2"/>
    </font>
    <font>
      <u/>
      <sz val="9"/>
      <color theme="1"/>
      <name val="Arial"/>
      <family val="2"/>
    </font>
    <font>
      <sz val="10"/>
      <color theme="0" tint="-4.9989318521683403E-2"/>
      <name val="Arial"/>
      <family val="2"/>
    </font>
    <font>
      <b/>
      <u/>
      <sz val="10"/>
      <color theme="0" tint="-4.9989318521683403E-2"/>
      <name val="Arial"/>
      <family val="2"/>
    </font>
    <font>
      <b/>
      <u/>
      <sz val="9"/>
      <color theme="1"/>
      <name val="Arial"/>
      <family val="2"/>
    </font>
    <font>
      <u/>
      <sz val="9"/>
      <color rgb="FF0070C0"/>
      <name val="Arial"/>
      <family val="2"/>
    </font>
    <font>
      <sz val="10"/>
      <color rgb="FFF5FEEC"/>
      <name val="Arial"/>
      <family val="2"/>
    </font>
    <font>
      <u/>
      <sz val="10"/>
      <color rgb="FFF0F5E6"/>
      <name val="Arial"/>
      <family val="2"/>
    </font>
    <font>
      <sz val="8"/>
      <color rgb="FF7030A0"/>
      <name val="Arial"/>
      <family val="2"/>
    </font>
    <font>
      <b/>
      <sz val="11"/>
      <color theme="1"/>
      <name val="Palatino Linotype"/>
      <family val="2"/>
      <scheme val="minor"/>
    </font>
    <font>
      <sz val="11"/>
      <color rgb="FF000000"/>
      <name val="Arial"/>
      <family val="2"/>
    </font>
    <font>
      <u/>
      <sz val="11"/>
      <color rgb="FF000000"/>
      <name val="Arial"/>
      <family val="2"/>
    </font>
    <font>
      <b/>
      <sz val="11"/>
      <color rgb="FF000000"/>
      <name val="Arial"/>
      <family val="2"/>
    </font>
    <font>
      <sz val="11"/>
      <color rgb="FF000000"/>
      <name val="Symbol"/>
      <family val="1"/>
      <charset val="2"/>
    </font>
    <font>
      <sz val="14"/>
      <color theme="1"/>
      <name val="Arial"/>
      <family val="2"/>
    </font>
    <font>
      <u/>
      <sz val="14"/>
      <color theme="1"/>
      <name val="Arial"/>
      <family val="2"/>
    </font>
    <font>
      <u/>
      <sz val="8"/>
      <color theme="1"/>
      <name val="Arial"/>
      <family val="2"/>
    </font>
    <font>
      <b/>
      <u/>
      <sz val="14"/>
      <color theme="1"/>
      <name val="Arial"/>
      <family val="2"/>
    </font>
    <font>
      <sz val="14"/>
      <color theme="1"/>
      <name val="Palatino Linotype"/>
      <family val="2"/>
      <scheme val="minor"/>
    </font>
    <font>
      <sz val="10"/>
      <name val="Palatino Linotype"/>
      <family val="2"/>
      <scheme val="minor"/>
    </font>
    <font>
      <sz val="11"/>
      <name val="Calibri"/>
      <family val="2"/>
    </font>
    <font>
      <sz val="11"/>
      <color theme="1"/>
      <name val="Symbol"/>
      <family val="1"/>
      <charset val="2"/>
    </font>
    <font>
      <sz val="10"/>
      <color rgb="FF000000"/>
      <name val="Arial"/>
      <family val="2"/>
    </font>
    <font>
      <b/>
      <sz val="14"/>
      <color rgb="FFFF0000"/>
      <name val="Arial"/>
      <family val="2"/>
    </font>
    <font>
      <b/>
      <sz val="14"/>
      <color rgb="FF000000"/>
      <name val="Arial"/>
      <family val="2"/>
    </font>
    <font>
      <sz val="7"/>
      <color rgb="FF000000"/>
      <name val="Times New Roman"/>
      <family val="1"/>
    </font>
  </fonts>
  <fills count="60">
    <fill>
      <patternFill patternType="none"/>
    </fill>
    <fill>
      <patternFill patternType="gray125"/>
    </fill>
    <fill>
      <patternFill patternType="solid">
        <fgColor theme="6" tint="0.59999389629810485"/>
        <bgColor indexed="64"/>
      </patternFill>
    </fill>
    <fill>
      <patternFill patternType="solid">
        <fgColor rgb="FFFFFF99"/>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66"/>
        <bgColor indexed="64"/>
      </patternFill>
    </fill>
    <fill>
      <patternFill patternType="lightGray">
        <fgColor theme="6" tint="0.59996337778862885"/>
        <bgColor indexed="65"/>
      </patternFill>
    </fill>
    <fill>
      <patternFill patternType="solid">
        <fgColor theme="7" tint="0.79998168889431442"/>
        <bgColor indexed="64"/>
      </patternFill>
    </fill>
    <fill>
      <patternFill patternType="solid">
        <fgColor rgb="FF99CCFF"/>
        <bgColor indexed="64"/>
      </patternFill>
    </fill>
    <fill>
      <patternFill patternType="lightGray">
        <fgColor theme="6" tint="0.59996337778862885"/>
        <bgColor theme="0" tint="-4.9989318521683403E-2"/>
      </patternFill>
    </fill>
    <fill>
      <patternFill patternType="lightGray">
        <fgColor theme="6" tint="0.59996337778862885"/>
        <bgColor rgb="FFF2F2F2"/>
      </patternFill>
    </fill>
    <fill>
      <patternFill patternType="solid">
        <fgColor theme="5" tint="0.79998168889431442"/>
        <bgColor indexed="64"/>
      </patternFill>
    </fill>
    <fill>
      <patternFill patternType="solid">
        <fgColor rgb="FFFDECD9"/>
        <bgColor indexed="64"/>
      </patternFill>
    </fill>
    <fill>
      <patternFill patternType="solid">
        <fgColor theme="4" tint="0.59999389629810485"/>
        <bgColor indexed="65"/>
      </patternFill>
    </fill>
    <fill>
      <patternFill patternType="solid">
        <fgColor theme="6" tint="0.59999389629810485"/>
        <bgColor indexed="65"/>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00B050"/>
        <bgColor indexed="64"/>
      </patternFill>
    </fill>
    <fill>
      <patternFill patternType="solid">
        <fgColor rgb="FFC2FB84"/>
        <bgColor indexed="64"/>
      </patternFill>
    </fill>
    <fill>
      <patternFill patternType="solid">
        <fgColor rgb="FFFFCC99"/>
        <bgColor indexed="64"/>
      </patternFill>
    </fill>
    <fill>
      <patternFill patternType="solid">
        <fgColor rgb="FFF2F2F2"/>
        <bgColor indexed="64"/>
      </patternFill>
    </fill>
    <fill>
      <patternFill patternType="solid">
        <fgColor rgb="FFFBFD95"/>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theme="0" tint="-0.34998626667073579"/>
        <bgColor indexed="64"/>
      </patternFill>
    </fill>
    <fill>
      <patternFill patternType="solid">
        <fgColor rgb="FFCCECFF"/>
        <bgColor indexed="64"/>
      </patternFill>
    </fill>
    <fill>
      <patternFill patternType="solid">
        <fgColor theme="5" tint="0.39997558519241921"/>
        <bgColor indexed="64"/>
      </patternFill>
    </fill>
    <fill>
      <patternFill patternType="solid">
        <fgColor rgb="FFFFF4CA"/>
        <bgColor indexed="64"/>
      </patternFill>
    </fill>
    <fill>
      <patternFill patternType="solid">
        <fgColor rgb="FF00B0F0"/>
        <bgColor indexed="64"/>
      </patternFill>
    </fill>
    <fill>
      <patternFill patternType="solid">
        <fgColor theme="8" tint="0.79998168889431442"/>
        <bgColor indexed="64"/>
      </patternFill>
    </fill>
    <fill>
      <patternFill patternType="solid">
        <fgColor theme="4"/>
        <bgColor indexed="64"/>
      </patternFill>
    </fill>
    <fill>
      <patternFill patternType="solid">
        <fgColor theme="4" tint="-9.9978637043366805E-2"/>
        <bgColor indexed="64"/>
      </patternFill>
    </fill>
    <fill>
      <patternFill patternType="solid">
        <fgColor theme="9" tint="0.59999389629810485"/>
        <bgColor indexed="64"/>
      </patternFill>
    </fill>
    <fill>
      <patternFill patternType="solid">
        <fgColor theme="0"/>
        <bgColor theme="6" tint="0.59996337778862885"/>
      </patternFill>
    </fill>
    <fill>
      <patternFill patternType="solid">
        <fgColor theme="7" tint="0.39997558519241921"/>
        <bgColor indexed="64"/>
      </patternFill>
    </fill>
    <fill>
      <patternFill patternType="solid">
        <fgColor theme="0" tint="-0.249977111117893"/>
        <bgColor indexed="64"/>
      </patternFill>
    </fill>
    <fill>
      <patternFill patternType="lightGray">
        <fgColor theme="6" tint="0.79998168889431442"/>
        <bgColor indexed="65"/>
      </patternFill>
    </fill>
    <fill>
      <patternFill patternType="lightGray">
        <fgColor theme="6" tint="0.79998168889431442"/>
        <bgColor theme="0"/>
      </patternFill>
    </fill>
    <fill>
      <patternFill patternType="lightGray">
        <fgColor theme="6" tint="0.79998168889431442"/>
        <bgColor theme="0" tint="-0.14999847407452621"/>
      </patternFill>
    </fill>
    <fill>
      <patternFill patternType="lightGray">
        <fgColor theme="6" tint="0.79998168889431442"/>
        <bgColor rgb="FFCCECFF"/>
      </patternFill>
    </fill>
    <fill>
      <patternFill patternType="solid">
        <fgColor theme="3" tint="0.79998168889431442"/>
        <bgColor indexed="64"/>
      </patternFill>
    </fill>
    <fill>
      <patternFill patternType="solid">
        <fgColor theme="3" tint="0.59999389629810485"/>
        <bgColor indexed="64"/>
      </patternFill>
    </fill>
    <fill>
      <patternFill patternType="solid">
        <fgColor rgb="FFF5FEEC"/>
        <bgColor indexed="64"/>
      </patternFill>
    </fill>
    <fill>
      <patternFill patternType="solid">
        <fgColor theme="5"/>
        <bgColor indexed="64"/>
      </patternFill>
    </fill>
    <fill>
      <patternFill patternType="solid">
        <fgColor rgb="FFFFCCFF"/>
        <bgColor indexed="64"/>
      </patternFill>
    </fill>
    <fill>
      <patternFill patternType="solid">
        <fgColor rgb="FFF8F8F8"/>
        <bgColor indexed="64"/>
      </patternFill>
    </fill>
    <fill>
      <patternFill patternType="solid">
        <fgColor theme="2"/>
        <bgColor indexed="64"/>
      </patternFill>
    </fill>
    <fill>
      <patternFill patternType="solid">
        <fgColor rgb="FFCCFFFF"/>
        <bgColor indexed="64"/>
      </patternFill>
    </fill>
    <fill>
      <patternFill patternType="solid">
        <fgColor rgb="FFB8FED8"/>
        <bgColor indexed="64"/>
      </patternFill>
    </fill>
    <fill>
      <patternFill patternType="solid">
        <fgColor rgb="FFCFE8B5"/>
        <bgColor indexed="64"/>
      </patternFill>
    </fill>
    <fill>
      <patternFill patternType="solid">
        <fgColor rgb="FFEEECE1"/>
        <bgColor indexed="64"/>
      </patternFill>
    </fill>
    <fill>
      <patternFill patternType="solid">
        <fgColor rgb="FFFBB999"/>
        <bgColor indexed="64"/>
      </patternFill>
    </fill>
    <fill>
      <patternFill patternType="solid">
        <fgColor rgb="FF92D050"/>
        <bgColor indexed="64"/>
      </patternFill>
    </fill>
    <fill>
      <patternFill patternType="solid">
        <fgColor theme="7"/>
        <bgColor indexed="64"/>
      </patternFill>
    </fill>
  </fills>
  <borders count="1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otted">
        <color theme="0" tint="-0.499984740745262"/>
      </bottom>
      <diagonal/>
    </border>
    <border>
      <left/>
      <right/>
      <top/>
      <bottom style="dotted">
        <color theme="0" tint="-0.499984740745262"/>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thin">
        <color indexed="64"/>
      </right>
      <top style="medium">
        <color theme="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theme="0"/>
      </bottom>
      <diagonal/>
    </border>
    <border>
      <left style="thin">
        <color indexed="64"/>
      </left>
      <right/>
      <top style="medium">
        <color theme="0"/>
      </top>
      <bottom style="medium">
        <color theme="0"/>
      </bottom>
      <diagonal/>
    </border>
    <border>
      <left style="thin">
        <color indexed="64"/>
      </left>
      <right/>
      <top style="medium">
        <color theme="0"/>
      </top>
      <bottom/>
      <diagonal/>
    </border>
    <border>
      <left style="thin">
        <color indexed="64"/>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tted">
        <color indexed="64"/>
      </top>
      <bottom/>
      <diagonal/>
    </border>
    <border>
      <left/>
      <right/>
      <top style="dotted">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ashDotDot">
        <color indexed="64"/>
      </bottom>
      <diagonal/>
    </border>
    <border>
      <left/>
      <right/>
      <top/>
      <bottom style="dashDotDot">
        <color indexed="64"/>
      </bottom>
      <diagonal/>
    </border>
    <border>
      <left/>
      <right style="thin">
        <color indexed="64"/>
      </right>
      <top/>
      <bottom style="dashDotDot">
        <color indexed="64"/>
      </bottom>
      <diagonal/>
    </border>
    <border>
      <left/>
      <right style="thin">
        <color indexed="64"/>
      </right>
      <top/>
      <bottom style="hair">
        <color indexed="64"/>
      </bottom>
      <diagonal/>
    </border>
    <border>
      <left/>
      <right/>
      <top/>
      <bottom style="hair">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bottom style="thin">
        <color theme="0" tint="-0.24994659260841701"/>
      </bottom>
      <diagonal/>
    </border>
    <border>
      <left style="thin">
        <color indexed="64"/>
      </left>
      <right style="thin">
        <color indexed="64"/>
      </right>
      <top style="thin">
        <color theme="0" tint="-0.24994659260841701"/>
      </top>
      <bottom style="thin">
        <color auto="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9" tint="0.39994506668294322"/>
      </bottom>
      <diagonal/>
    </border>
    <border>
      <left style="thin">
        <color indexed="64"/>
      </left>
      <right style="thin">
        <color indexed="64"/>
      </right>
      <top style="thin">
        <color theme="9" tint="0.39994506668294322"/>
      </top>
      <bottom style="thin">
        <color indexed="64"/>
      </bottom>
      <diagonal/>
    </border>
  </borders>
  <cellStyleXfs count="31">
    <xf numFmtId="0" fontId="0" fillId="0" borderId="0"/>
    <xf numFmtId="164" fontId="75" fillId="0" borderId="0" applyFont="0" applyFill="0" applyBorder="0" applyAlignment="0" applyProtection="0"/>
    <xf numFmtId="0" fontId="88" fillId="0" borderId="0" applyNumberFormat="0" applyFill="0" applyBorder="0" applyAlignment="0" applyProtection="0">
      <alignment vertical="top"/>
      <protection locked="0"/>
    </xf>
    <xf numFmtId="44" fontId="75" fillId="0" borderId="0" applyFont="0" applyFill="0" applyBorder="0" applyAlignment="0" applyProtection="0"/>
    <xf numFmtId="9" fontId="75" fillId="0" borderId="0" applyFont="0" applyFill="0" applyBorder="0" applyAlignment="0" applyProtection="0"/>
    <xf numFmtId="0" fontId="75" fillId="16" borderId="66" applyNumberFormat="0" applyAlignment="0">
      <protection locked="0"/>
    </xf>
    <xf numFmtId="0" fontId="75" fillId="18" borderId="0" applyNumberFormat="0" applyBorder="0" applyAlignment="0" applyProtection="0"/>
    <xf numFmtId="176" fontId="86" fillId="0" borderId="0" applyFont="0" applyFill="0" applyBorder="0" applyAlignment="0" applyProtection="0"/>
    <xf numFmtId="0" fontId="75" fillId="17" borderId="0" applyNumberFormat="0" applyFont="0" applyBorder="0" applyAlignment="0" applyProtection="0"/>
    <xf numFmtId="0" fontId="75" fillId="18" borderId="0" applyNumberFormat="0" applyFont="0" applyBorder="0" applyAlignment="0" applyProtection="0"/>
    <xf numFmtId="14" fontId="86" fillId="16" borderId="14" applyFont="0" applyFill="0" applyBorder="0" applyAlignment="0" applyProtection="0">
      <alignment vertical="center"/>
      <protection locked="0"/>
    </xf>
    <xf numFmtId="0" fontId="75" fillId="16" borderId="66" applyNumberFormat="0" applyAlignment="0">
      <protection locked="0"/>
    </xf>
    <xf numFmtId="0" fontId="79" fillId="16" borderId="14" applyNumberFormat="0" applyFont="0" applyAlignment="0">
      <protection locked="0"/>
    </xf>
    <xf numFmtId="0" fontId="86" fillId="0" borderId="0" applyNumberFormat="0" applyFont="0" applyBorder="0" applyAlignment="0"/>
    <xf numFmtId="0" fontId="86" fillId="20" borderId="0" applyNumberFormat="0" applyFont="0" applyBorder="0" applyAlignment="0" applyProtection="0"/>
    <xf numFmtId="0" fontId="86" fillId="0" borderId="0" applyBorder="0">
      <alignment vertical="center"/>
    </xf>
    <xf numFmtId="2" fontId="86" fillId="0" borderId="0" applyFont="0" applyFill="0" applyBorder="0" applyAlignment="0" applyProtection="0"/>
    <xf numFmtId="49" fontId="86" fillId="0" borderId="0" applyFont="0" applyFill="0" applyBorder="0" applyAlignment="0" applyProtection="0">
      <alignment vertical="center"/>
    </xf>
    <xf numFmtId="177" fontId="86" fillId="0" borderId="0" applyFont="0" applyFill="0" applyBorder="0" applyAlignment="0" applyProtection="0"/>
    <xf numFmtId="0" fontId="171" fillId="0" borderId="0" applyBorder="0">
      <alignment vertical="center"/>
    </xf>
    <xf numFmtId="0" fontId="75" fillId="17" borderId="0" applyNumberFormat="0" applyFont="0" applyBorder="0" applyAlignment="0" applyProtection="0"/>
    <xf numFmtId="0" fontId="75" fillId="18" borderId="0" applyNumberFormat="0" applyFont="0" applyBorder="0" applyAlignment="0" applyProtection="0"/>
    <xf numFmtId="14" fontId="86" fillId="16" borderId="14" applyFont="0" applyFill="0" applyBorder="0" applyAlignment="0" applyProtection="0">
      <alignment vertical="center"/>
      <protection locked="0"/>
    </xf>
    <xf numFmtId="181" fontId="86" fillId="0" borderId="0" applyFont="0" applyFill="0" applyBorder="0" applyAlignment="0" applyProtection="0"/>
    <xf numFmtId="182" fontId="86" fillId="0" borderId="0" applyFont="0" applyFill="0" applyBorder="0" applyAlignment="0" applyProtection="0"/>
    <xf numFmtId="0" fontId="172" fillId="0" borderId="0" applyNumberFormat="0" applyFill="0" applyBorder="0" applyAlignment="0" applyProtection="0">
      <alignment vertical="top"/>
      <protection locked="0"/>
    </xf>
    <xf numFmtId="9" fontId="86" fillId="0" borderId="0" applyFont="0" applyFill="0" applyBorder="0" applyAlignment="0" applyProtection="0"/>
    <xf numFmtId="0" fontId="86" fillId="0" borderId="0"/>
    <xf numFmtId="0" fontId="86" fillId="0" borderId="0"/>
    <xf numFmtId="180" fontId="86" fillId="0" borderId="0" applyFont="0" applyFill="0" applyBorder="0" applyAlignment="0" applyProtection="0"/>
    <xf numFmtId="179" fontId="86" fillId="0" borderId="0" applyFont="0" applyFill="0" applyBorder="0" applyAlignment="0" applyProtection="0"/>
  </cellStyleXfs>
  <cellXfs count="2670">
    <xf numFmtId="0" fontId="0" fillId="0" borderId="0" xfId="0"/>
    <xf numFmtId="0" fontId="74" fillId="0" borderId="0" xfId="0" applyFont="1"/>
    <xf numFmtId="0" fontId="76" fillId="0" borderId="0" xfId="0" applyFont="1"/>
    <xf numFmtId="0" fontId="0" fillId="0" borderId="4" xfId="0" applyBorder="1" applyProtection="1">
      <protection hidden="1"/>
    </xf>
    <xf numFmtId="0" fontId="0" fillId="0" borderId="0" xfId="0" applyProtection="1">
      <protection hidden="1"/>
    </xf>
    <xf numFmtId="0" fontId="0" fillId="0" borderId="5" xfId="0" applyBorder="1" applyProtection="1">
      <protection hidden="1"/>
    </xf>
    <xf numFmtId="0" fontId="80" fillId="0" borderId="0" xfId="0" applyFont="1" applyProtection="1">
      <protection hidden="1"/>
    </xf>
    <xf numFmtId="0" fontId="81" fillId="0" borderId="0" xfId="0" applyFont="1" applyAlignment="1" applyProtection="1">
      <alignment horizontal="center"/>
      <protection hidden="1"/>
    </xf>
    <xf numFmtId="0" fontId="84" fillId="0" borderId="0" xfId="0" applyFont="1"/>
    <xf numFmtId="0" fontId="76" fillId="0" borderId="0" xfId="0" applyFont="1" applyProtection="1">
      <protection hidden="1"/>
    </xf>
    <xf numFmtId="0" fontId="74" fillId="0" borderId="0" xfId="0" applyFont="1" applyProtection="1">
      <protection hidden="1"/>
    </xf>
    <xf numFmtId="0" fontId="86" fillId="0" borderId="5" xfId="0" applyFont="1" applyBorder="1" applyProtection="1">
      <protection hidden="1"/>
    </xf>
    <xf numFmtId="0" fontId="87" fillId="0" borderId="0" xfId="0" applyFont="1" applyAlignment="1" applyProtection="1">
      <alignment vertical="top"/>
      <protection hidden="1"/>
    </xf>
    <xf numFmtId="0" fontId="87" fillId="0" borderId="5" xfId="0" applyFont="1" applyBorder="1" applyAlignment="1" applyProtection="1">
      <alignment vertical="top"/>
      <protection hidden="1"/>
    </xf>
    <xf numFmtId="0" fontId="87" fillId="0" borderId="0" xfId="0" applyFont="1" applyProtection="1">
      <protection hidden="1"/>
    </xf>
    <xf numFmtId="0" fontId="81" fillId="0" borderId="0" xfId="0" applyFont="1" applyProtection="1">
      <protection hidden="1"/>
    </xf>
    <xf numFmtId="0" fontId="74" fillId="3" borderId="7" xfId="0" applyFont="1" applyFill="1" applyBorder="1" applyAlignment="1" applyProtection="1">
      <alignment horizontal="center"/>
      <protection locked="0"/>
    </xf>
    <xf numFmtId="0" fontId="74" fillId="0" borderId="0" xfId="0" applyFont="1" applyAlignment="1" applyProtection="1">
      <alignment horizontal="right"/>
      <protection hidden="1"/>
    </xf>
    <xf numFmtId="0" fontId="0" fillId="3" borderId="0" xfId="0" applyFill="1" applyProtection="1">
      <protection locked="0"/>
    </xf>
    <xf numFmtId="0" fontId="86" fillId="0" borderId="4" xfId="0" applyFont="1" applyBorder="1"/>
    <xf numFmtId="0" fontId="81" fillId="0" borderId="0" xfId="0" applyFont="1"/>
    <xf numFmtId="0" fontId="86" fillId="0" borderId="0" xfId="0" applyFont="1"/>
    <xf numFmtId="2" fontId="86" fillId="0" borderId="0" xfId="0" applyNumberFormat="1" applyFont="1" applyAlignment="1">
      <alignment horizontal="right"/>
    </xf>
    <xf numFmtId="2" fontId="86" fillId="0" borderId="0" xfId="0" applyNumberFormat="1" applyFont="1" applyAlignment="1">
      <alignment horizontal="center"/>
    </xf>
    <xf numFmtId="0" fontId="0" fillId="0" borderId="5" xfId="0" applyBorder="1"/>
    <xf numFmtId="0" fontId="74" fillId="0" borderId="4" xfId="0" applyFont="1" applyBorder="1"/>
    <xf numFmtId="14" fontId="74" fillId="0" borderId="0" xfId="0" applyNumberFormat="1" applyFont="1" applyAlignment="1">
      <alignment horizontal="right"/>
    </xf>
    <xf numFmtId="0" fontId="74" fillId="0" borderId="5" xfId="0" applyFont="1" applyBorder="1"/>
    <xf numFmtId="0" fontId="0" fillId="0" borderId="4" xfId="0" applyBorder="1"/>
    <xf numFmtId="0" fontId="0" fillId="0" borderId="2" xfId="0" applyBorder="1"/>
    <xf numFmtId="0" fontId="87" fillId="0" borderId="2" xfId="0" applyFont="1" applyBorder="1" applyAlignment="1">
      <alignment vertical="top"/>
    </xf>
    <xf numFmtId="0" fontId="87" fillId="0" borderId="2" xfId="0" applyFont="1" applyBorder="1" applyAlignment="1" applyProtection="1">
      <alignment horizontal="center" vertical="top"/>
      <protection hidden="1"/>
    </xf>
    <xf numFmtId="0" fontId="87" fillId="0" borderId="2" xfId="0" applyFont="1" applyBorder="1" applyAlignment="1">
      <alignment horizontal="center" vertical="top"/>
    </xf>
    <xf numFmtId="0" fontId="0" fillId="0" borderId="3" xfId="0" applyBorder="1"/>
    <xf numFmtId="0" fontId="74" fillId="0" borderId="16" xfId="0" applyFont="1" applyBorder="1"/>
    <xf numFmtId="0" fontId="74" fillId="0" borderId="17" xfId="0" applyFont="1" applyBorder="1"/>
    <xf numFmtId="0" fontId="74" fillId="0" borderId="6" xfId="0" applyFont="1" applyBorder="1" applyProtection="1">
      <protection hidden="1"/>
    </xf>
    <xf numFmtId="0" fontId="74" fillId="0" borderId="7" xfId="0" applyFont="1" applyBorder="1" applyProtection="1">
      <protection hidden="1"/>
    </xf>
    <xf numFmtId="0" fontId="74" fillId="0" borderId="4" xfId="0" applyFont="1" applyBorder="1" applyProtection="1">
      <protection hidden="1"/>
    </xf>
    <xf numFmtId="2" fontId="86" fillId="0" borderId="7" xfId="0" applyNumberFormat="1" applyFont="1" applyBorder="1" applyProtection="1">
      <protection hidden="1"/>
    </xf>
    <xf numFmtId="2" fontId="74" fillId="0" borderId="7" xfId="0" applyNumberFormat="1" applyFont="1" applyBorder="1" applyAlignment="1" applyProtection="1">
      <alignment horizontal="right"/>
      <protection hidden="1"/>
    </xf>
    <xf numFmtId="0" fontId="74" fillId="0" borderId="7" xfId="0" applyFont="1" applyBorder="1"/>
    <xf numFmtId="0" fontId="74" fillId="0" borderId="8" xfId="0" applyFont="1" applyBorder="1"/>
    <xf numFmtId="2" fontId="86" fillId="0" borderId="0" xfId="0" applyNumberFormat="1" applyFont="1" applyProtection="1">
      <protection hidden="1"/>
    </xf>
    <xf numFmtId="0" fontId="74" fillId="0" borderId="5" xfId="0" applyFont="1" applyBorder="1" applyProtection="1">
      <protection hidden="1"/>
    </xf>
    <xf numFmtId="0" fontId="80" fillId="0" borderId="0" xfId="0" applyFont="1" applyAlignment="1" applyProtection="1">
      <alignment vertical="center"/>
      <protection hidden="1"/>
    </xf>
    <xf numFmtId="0" fontId="0" fillId="0" borderId="4" xfId="0" applyBorder="1" applyAlignment="1" applyProtection="1">
      <alignment vertical="center"/>
      <protection hidden="1"/>
    </xf>
    <xf numFmtId="0" fontId="74" fillId="0" borderId="0" xfId="0" applyFont="1" applyAlignment="1" applyProtection="1">
      <alignment vertical="center"/>
      <protection hidden="1"/>
    </xf>
    <xf numFmtId="0" fontId="0" fillId="0" borderId="0" xfId="0" applyAlignment="1" applyProtection="1">
      <alignment vertical="center"/>
      <protection hidden="1"/>
    </xf>
    <xf numFmtId="0" fontId="0" fillId="0" borderId="5" xfId="0" applyBorder="1" applyAlignment="1" applyProtection="1">
      <alignment vertical="center"/>
      <protection hidden="1"/>
    </xf>
    <xf numFmtId="0" fontId="85" fillId="0" borderId="0" xfId="0" applyFont="1" applyAlignment="1" applyProtection="1">
      <alignment vertical="center"/>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85" fillId="0" borderId="0" xfId="0" applyFont="1"/>
    <xf numFmtId="0" fontId="81" fillId="0" borderId="4" xfId="0" applyFont="1" applyBorder="1" applyAlignment="1" applyProtection="1">
      <alignment horizontal="center"/>
      <protection hidden="1"/>
    </xf>
    <xf numFmtId="0" fontId="81" fillId="0" borderId="5" xfId="0" applyFont="1" applyBorder="1" applyAlignment="1" applyProtection="1">
      <alignment horizontal="center"/>
      <protection hidden="1"/>
    </xf>
    <xf numFmtId="0" fontId="85" fillId="0" borderId="0" xfId="0" applyFont="1" applyProtection="1">
      <protection hidden="1"/>
    </xf>
    <xf numFmtId="0" fontId="74" fillId="0" borderId="4" xfId="0" applyFont="1" applyBorder="1" applyAlignment="1" applyProtection="1">
      <alignment vertical="center"/>
      <protection hidden="1"/>
    </xf>
    <xf numFmtId="0" fontId="81" fillId="7" borderId="14" xfId="0" applyFont="1" applyFill="1" applyBorder="1" applyAlignment="1" applyProtection="1">
      <alignment horizontal="center" vertical="center"/>
      <protection hidden="1"/>
    </xf>
    <xf numFmtId="0" fontId="81" fillId="0" borderId="0" xfId="0" applyFont="1" applyAlignment="1" applyProtection="1">
      <alignment horizontal="center" vertical="center"/>
      <protection hidden="1"/>
    </xf>
    <xf numFmtId="0" fontId="81" fillId="0" borderId="0" xfId="0" applyFont="1" applyAlignment="1" applyProtection="1">
      <alignment horizontal="right" vertical="center"/>
      <protection hidden="1"/>
    </xf>
    <xf numFmtId="0" fontId="74" fillId="0" borderId="5" xfId="0" applyFont="1" applyBorder="1" applyAlignment="1" applyProtection="1">
      <alignment vertical="center"/>
      <protection hidden="1"/>
    </xf>
    <xf numFmtId="0" fontId="80" fillId="0" borderId="4" xfId="0" applyFont="1" applyBorder="1" applyProtection="1">
      <protection hidden="1"/>
    </xf>
    <xf numFmtId="0" fontId="91" fillId="0" borderId="0" xfId="0" applyFont="1" applyAlignment="1" applyProtection="1">
      <alignment horizontal="right"/>
      <protection hidden="1"/>
    </xf>
    <xf numFmtId="0" fontId="91" fillId="0" borderId="5" xfId="0" applyFont="1" applyBorder="1" applyAlignment="1" applyProtection="1">
      <alignment horizontal="right"/>
      <protection hidden="1"/>
    </xf>
    <xf numFmtId="0" fontId="81" fillId="0" borderId="0" xfId="0" applyFont="1" applyAlignment="1" applyProtection="1">
      <alignment horizontal="left" vertical="center"/>
      <protection hidden="1"/>
    </xf>
    <xf numFmtId="0" fontId="80" fillId="0" borderId="0" xfId="0" applyFont="1" applyAlignment="1" applyProtection="1">
      <alignment horizontal="right"/>
      <protection hidden="1"/>
    </xf>
    <xf numFmtId="0" fontId="74" fillId="0" borderId="19" xfId="0" applyFont="1" applyBorder="1" applyProtection="1">
      <protection hidden="1"/>
    </xf>
    <xf numFmtId="0" fontId="74" fillId="2" borderId="20" xfId="0" applyFont="1" applyFill="1" applyBorder="1" applyAlignment="1" applyProtection="1">
      <alignment horizontal="center"/>
      <protection hidden="1"/>
    </xf>
    <xf numFmtId="1" fontId="74" fillId="3" borderId="20" xfId="0" applyNumberFormat="1" applyFont="1" applyFill="1" applyBorder="1" applyAlignment="1" applyProtection="1">
      <alignment horizontal="center"/>
      <protection locked="0"/>
    </xf>
    <xf numFmtId="0" fontId="74" fillId="2" borderId="21" xfId="0" applyFont="1" applyFill="1" applyBorder="1" applyAlignment="1" applyProtection="1">
      <alignment horizontal="center"/>
      <protection hidden="1"/>
    </xf>
    <xf numFmtId="1" fontId="74" fillId="3" borderId="21" xfId="0" applyNumberFormat="1" applyFont="1" applyFill="1" applyBorder="1" applyAlignment="1" applyProtection="1">
      <alignment horizontal="center"/>
      <protection locked="0"/>
    </xf>
    <xf numFmtId="0" fontId="74" fillId="2" borderId="22" xfId="0" applyFont="1" applyFill="1" applyBorder="1" applyAlignment="1" applyProtection="1">
      <alignment horizontal="center"/>
      <protection hidden="1"/>
    </xf>
    <xf numFmtId="1" fontId="74" fillId="3" borderId="22" xfId="0" applyNumberFormat="1" applyFont="1" applyFill="1" applyBorder="1" applyAlignment="1" applyProtection="1">
      <alignment horizontal="center"/>
      <protection locked="0"/>
    </xf>
    <xf numFmtId="0" fontId="74" fillId="0" borderId="0" xfId="0" applyFont="1" applyAlignment="1" applyProtection="1">
      <alignment horizontal="center"/>
      <protection hidden="1"/>
    </xf>
    <xf numFmtId="0" fontId="80" fillId="0" borderId="19" xfId="0" applyFont="1" applyBorder="1" applyProtection="1">
      <protection hidden="1"/>
    </xf>
    <xf numFmtId="0" fontId="80" fillId="0" borderId="24" xfId="0" applyFont="1" applyBorder="1" applyProtection="1">
      <protection hidden="1"/>
    </xf>
    <xf numFmtId="0" fontId="74" fillId="0" borderId="24" xfId="0" applyFont="1" applyBorder="1" applyProtection="1">
      <protection hidden="1"/>
    </xf>
    <xf numFmtId="0" fontId="86" fillId="0" borderId="0" xfId="0" applyFont="1" applyAlignment="1" applyProtection="1">
      <alignment horizontal="right"/>
      <protection hidden="1"/>
    </xf>
    <xf numFmtId="0" fontId="77" fillId="0" borderId="4" xfId="0" applyFont="1" applyBorder="1" applyProtection="1">
      <protection hidden="1"/>
    </xf>
    <xf numFmtId="0" fontId="80" fillId="0" borderId="5" xfId="0" applyFont="1" applyBorder="1" applyProtection="1">
      <protection hidden="1"/>
    </xf>
    <xf numFmtId="0" fontId="80" fillId="0" borderId="7" xfId="0" applyFont="1" applyBorder="1" applyProtection="1">
      <protection hidden="1"/>
    </xf>
    <xf numFmtId="0" fontId="97" fillId="0" borderId="0" xfId="0" applyFont="1" applyProtection="1">
      <protection hidden="1"/>
    </xf>
    <xf numFmtId="0" fontId="99" fillId="0" borderId="0" xfId="0" applyFont="1"/>
    <xf numFmtId="0" fontId="86" fillId="0" borderId="5" xfId="0" applyFont="1" applyBorder="1"/>
    <xf numFmtId="0" fontId="81" fillId="2" borderId="0" xfId="0" applyFont="1" applyFill="1"/>
    <xf numFmtId="0" fontId="86" fillId="0" borderId="4" xfId="0" applyFont="1" applyBorder="1" applyProtection="1">
      <protection hidden="1"/>
    </xf>
    <xf numFmtId="0" fontId="86" fillId="0" borderId="0" xfId="0" applyFont="1" applyProtection="1">
      <protection hidden="1"/>
    </xf>
    <xf numFmtId="0" fontId="100" fillId="0" borderId="0" xfId="0" applyFont="1"/>
    <xf numFmtId="0" fontId="76" fillId="0" borderId="4" xfId="0" applyFont="1" applyBorder="1" applyProtection="1">
      <protection hidden="1"/>
    </xf>
    <xf numFmtId="0" fontId="76" fillId="0" borderId="5" xfId="0" applyFont="1" applyBorder="1" applyProtection="1">
      <protection hidden="1"/>
    </xf>
    <xf numFmtId="0" fontId="81" fillId="0" borderId="0" xfId="0" applyFont="1" applyAlignment="1" applyProtection="1">
      <alignment horizontal="right"/>
      <protection hidden="1"/>
    </xf>
    <xf numFmtId="0" fontId="0" fillId="2" borderId="0" xfId="0" applyFill="1" applyProtection="1">
      <protection hidden="1"/>
    </xf>
    <xf numFmtId="0" fontId="81" fillId="0" borderId="4" xfId="0" applyFont="1" applyBorder="1" applyAlignment="1" applyProtection="1">
      <alignment horizontal="left" vertical="center"/>
      <protection hidden="1"/>
    </xf>
    <xf numFmtId="0" fontId="81" fillId="2" borderId="0" xfId="0" applyFont="1" applyFill="1" applyAlignment="1" applyProtection="1">
      <alignment horizontal="left" vertical="center"/>
      <protection hidden="1"/>
    </xf>
    <xf numFmtId="0" fontId="0" fillId="2" borderId="0" xfId="0" applyFill="1" applyAlignment="1" applyProtection="1">
      <alignment horizontal="center"/>
      <protection hidden="1"/>
    </xf>
    <xf numFmtId="0" fontId="101" fillId="0" borderId="4" xfId="0" applyFont="1" applyBorder="1" applyProtection="1">
      <protection hidden="1"/>
    </xf>
    <xf numFmtId="0" fontId="0" fillId="0" borderId="23" xfId="0" applyBorder="1" applyAlignment="1" applyProtection="1">
      <alignment horizontal="center"/>
      <protection hidden="1"/>
    </xf>
    <xf numFmtId="0" fontId="86" fillId="0" borderId="19" xfId="0" applyFont="1" applyBorder="1" applyAlignment="1" applyProtection="1">
      <alignment horizontal="center"/>
      <protection hidden="1"/>
    </xf>
    <xf numFmtId="0" fontId="0" fillId="0" borderId="19" xfId="0" applyBorder="1" applyAlignment="1" applyProtection="1">
      <alignment horizontal="center"/>
      <protection hidden="1"/>
    </xf>
    <xf numFmtId="0" fontId="0" fillId="0" borderId="0" xfId="0" applyAlignment="1" applyProtection="1">
      <alignment horizontal="center"/>
      <protection hidden="1"/>
    </xf>
    <xf numFmtId="49" fontId="86" fillId="0" borderId="14" xfId="0" applyNumberFormat="1" applyFont="1" applyBorder="1" applyAlignment="1" applyProtection="1">
      <alignment horizontal="right" vertical="center"/>
      <protection hidden="1"/>
    </xf>
    <xf numFmtId="167" fontId="0" fillId="0" borderId="0" xfId="0" applyNumberFormat="1" applyAlignment="1" applyProtection="1">
      <alignment horizontal="right" vertical="center"/>
      <protection hidden="1"/>
    </xf>
    <xf numFmtId="4" fontId="87" fillId="7" borderId="14" xfId="0" applyNumberFormat="1" applyFont="1" applyFill="1" applyBorder="1" applyAlignment="1" applyProtection="1">
      <alignment horizontal="right" vertical="center"/>
      <protection hidden="1"/>
    </xf>
    <xf numFmtId="0" fontId="0" fillId="0" borderId="29" xfId="0" applyBorder="1" applyAlignment="1" applyProtection="1">
      <alignment vertical="center"/>
      <protection hidden="1"/>
    </xf>
    <xf numFmtId="0" fontId="0" fillId="0" borderId="30" xfId="0" applyBorder="1" applyAlignment="1" applyProtection="1">
      <alignment vertical="center"/>
      <protection hidden="1"/>
    </xf>
    <xf numFmtId="167" fontId="86" fillId="0" borderId="0" xfId="0" applyNumberFormat="1" applyFont="1" applyAlignment="1" applyProtection="1">
      <alignment horizontal="right" vertical="center"/>
      <protection hidden="1"/>
    </xf>
    <xf numFmtId="0" fontId="86" fillId="0" borderId="29" xfId="0" applyFont="1" applyBorder="1" applyAlignment="1" applyProtection="1">
      <alignment vertical="center"/>
      <protection hidden="1"/>
    </xf>
    <xf numFmtId="0" fontId="86" fillId="0" borderId="30" xfId="0" applyFont="1" applyBorder="1" applyAlignment="1" applyProtection="1">
      <alignment vertical="center"/>
      <protection hidden="1"/>
    </xf>
    <xf numFmtId="16" fontId="0" fillId="0" borderId="5" xfId="0" applyNumberFormat="1" applyBorder="1" applyAlignment="1" applyProtection="1">
      <alignment vertical="center"/>
      <protection hidden="1"/>
    </xf>
    <xf numFmtId="49" fontId="0" fillId="0" borderId="0" xfId="0" applyNumberFormat="1" applyAlignment="1" applyProtection="1">
      <alignment vertical="center"/>
      <protection hidden="1"/>
    </xf>
    <xf numFmtId="4" fontId="87" fillId="7" borderId="34" xfId="0" applyNumberFormat="1" applyFont="1" applyFill="1" applyBorder="1" applyAlignment="1" applyProtection="1">
      <alignment horizontal="right" vertical="center"/>
      <protection hidden="1"/>
    </xf>
    <xf numFmtId="0" fontId="0" fillId="0" borderId="35" xfId="0" applyBorder="1" applyAlignment="1" applyProtection="1">
      <alignment vertical="center"/>
      <protection hidden="1"/>
    </xf>
    <xf numFmtId="0" fontId="0" fillId="0" borderId="36" xfId="0" applyBorder="1" applyAlignment="1" applyProtection="1">
      <alignment vertical="center"/>
      <protection hidden="1"/>
    </xf>
    <xf numFmtId="0" fontId="81" fillId="2" borderId="0" xfId="0" applyFont="1" applyFill="1" applyProtection="1">
      <protection hidden="1"/>
    </xf>
    <xf numFmtId="0" fontId="74" fillId="0" borderId="23" xfId="0" applyFont="1" applyBorder="1" applyAlignment="1" applyProtection="1">
      <alignment horizontal="center"/>
      <protection hidden="1"/>
    </xf>
    <xf numFmtId="0" fontId="74" fillId="0" borderId="19" xfId="0" applyFont="1" applyBorder="1" applyAlignment="1" applyProtection="1">
      <alignment horizontal="center"/>
      <protection hidden="1"/>
    </xf>
    <xf numFmtId="0" fontId="74" fillId="0" borderId="24" xfId="0" applyFont="1" applyBorder="1" applyAlignment="1" applyProtection="1">
      <alignment horizontal="center"/>
      <protection hidden="1"/>
    </xf>
    <xf numFmtId="16" fontId="86" fillId="0" borderId="14" xfId="0" quotePrefix="1" applyNumberFormat="1" applyFont="1" applyBorder="1" applyAlignment="1" applyProtection="1">
      <alignment horizontal="right"/>
      <protection hidden="1"/>
    </xf>
    <xf numFmtId="3" fontId="0" fillId="0" borderId="0" xfId="0" applyNumberFormat="1" applyAlignment="1" applyProtection="1">
      <alignment horizontal="right" vertical="center"/>
      <protection hidden="1"/>
    </xf>
    <xf numFmtId="4" fontId="87" fillId="7" borderId="12" xfId="0" applyNumberFormat="1" applyFont="1" applyFill="1" applyBorder="1" applyAlignment="1" applyProtection="1">
      <alignment horizontal="right" vertical="center"/>
      <protection hidden="1"/>
    </xf>
    <xf numFmtId="0" fontId="80" fillId="0" borderId="31" xfId="0" applyFont="1" applyBorder="1" applyAlignment="1" applyProtection="1">
      <alignment vertical="center"/>
      <protection hidden="1"/>
    </xf>
    <xf numFmtId="0" fontId="74" fillId="0" borderId="32" xfId="0" applyFont="1" applyBorder="1" applyAlignment="1" applyProtection="1">
      <alignment vertical="center"/>
      <protection hidden="1"/>
    </xf>
    <xf numFmtId="0" fontId="74" fillId="0" borderId="33" xfId="0" applyFont="1" applyBorder="1" applyAlignment="1" applyProtection="1">
      <alignment vertical="center"/>
      <protection hidden="1"/>
    </xf>
    <xf numFmtId="3" fontId="81" fillId="0" borderId="0" xfId="0" applyNumberFormat="1" applyFont="1" applyAlignment="1" applyProtection="1">
      <alignment horizontal="right" vertical="center"/>
      <protection hidden="1"/>
    </xf>
    <xf numFmtId="0" fontId="74" fillId="2" borderId="0" xfId="0" applyFont="1" applyFill="1" applyProtection="1">
      <protection hidden="1"/>
    </xf>
    <xf numFmtId="0" fontId="104" fillId="0" borderId="5" xfId="0" applyFont="1" applyBorder="1" applyAlignment="1" applyProtection="1">
      <alignment horizontal="left" vertical="center" wrapText="1"/>
      <protection hidden="1"/>
    </xf>
    <xf numFmtId="0" fontId="80" fillId="2" borderId="0" xfId="0" applyFont="1" applyFill="1" applyProtection="1">
      <protection hidden="1"/>
    </xf>
    <xf numFmtId="0" fontId="74" fillId="0" borderId="0" xfId="0" quotePrefix="1" applyFont="1" applyAlignment="1" applyProtection="1">
      <alignment horizontal="left"/>
      <protection hidden="1"/>
    </xf>
    <xf numFmtId="2" fontId="86" fillId="7" borderId="7" xfId="0" applyNumberFormat="1" applyFont="1" applyFill="1" applyBorder="1" applyProtection="1">
      <protection hidden="1"/>
    </xf>
    <xf numFmtId="0" fontId="74" fillId="0" borderId="0" xfId="0" applyFont="1" applyAlignment="1" applyProtection="1">
      <alignment vertical="top"/>
      <protection hidden="1"/>
    </xf>
    <xf numFmtId="0" fontId="99" fillId="0" borderId="0" xfId="0" applyFont="1" applyProtection="1">
      <protection hidden="1"/>
    </xf>
    <xf numFmtId="0" fontId="81" fillId="0" borderId="0" xfId="0" applyFont="1" applyAlignment="1" applyProtection="1">
      <alignment horizontal="left"/>
      <protection hidden="1"/>
    </xf>
    <xf numFmtId="0" fontId="74" fillId="0" borderId="13" xfId="0" applyFont="1" applyBorder="1" applyProtection="1">
      <protection hidden="1"/>
    </xf>
    <xf numFmtId="0" fontId="86" fillId="0" borderId="7" xfId="0" applyFont="1" applyBorder="1" applyProtection="1">
      <protection hidden="1"/>
    </xf>
    <xf numFmtId="0" fontId="86" fillId="0" borderId="18" xfId="0" applyFont="1" applyBorder="1" applyProtection="1">
      <protection hidden="1"/>
    </xf>
    <xf numFmtId="0" fontId="74" fillId="0" borderId="18" xfId="0" applyFont="1" applyBorder="1" applyProtection="1">
      <protection hidden="1"/>
    </xf>
    <xf numFmtId="0" fontId="86" fillId="0" borderId="0" xfId="0" applyFont="1" applyAlignment="1" applyProtection="1">
      <alignment horizontal="left"/>
      <protection hidden="1"/>
    </xf>
    <xf numFmtId="0" fontId="93" fillId="0" borderId="0" xfId="0" applyFont="1" applyAlignment="1" applyProtection="1">
      <alignment horizontal="left"/>
      <protection hidden="1"/>
    </xf>
    <xf numFmtId="0" fontId="86" fillId="8" borderId="0" xfId="0" applyFont="1" applyFill="1" applyAlignment="1" applyProtection="1">
      <alignment horizontal="left"/>
      <protection hidden="1"/>
    </xf>
    <xf numFmtId="3" fontId="81" fillId="7" borderId="14" xfId="0" applyNumberFormat="1" applyFont="1" applyFill="1" applyBorder="1" applyAlignment="1" applyProtection="1">
      <alignment horizontal="center"/>
      <protection hidden="1"/>
    </xf>
    <xf numFmtId="0" fontId="74" fillId="8" borderId="0" xfId="0" applyFont="1" applyFill="1" applyProtection="1">
      <protection hidden="1"/>
    </xf>
    <xf numFmtId="0" fontId="80" fillId="7" borderId="14" xfId="0" applyFont="1" applyFill="1" applyBorder="1" applyAlignment="1" applyProtection="1">
      <alignment horizontal="center"/>
      <protection hidden="1"/>
    </xf>
    <xf numFmtId="4" fontId="80" fillId="7" borderId="14" xfId="0" applyNumberFormat="1" applyFont="1" applyFill="1" applyBorder="1" applyAlignment="1" applyProtection="1">
      <alignment horizontal="center"/>
      <protection hidden="1"/>
    </xf>
    <xf numFmtId="0" fontId="86" fillId="8" borderId="0" xfId="0" applyFont="1" applyFill="1" applyAlignment="1" applyProtection="1">
      <alignment horizontal="right"/>
      <protection hidden="1"/>
    </xf>
    <xf numFmtId="0" fontId="0" fillId="8" borderId="0" xfId="0" applyFill="1" applyProtection="1">
      <protection hidden="1"/>
    </xf>
    <xf numFmtId="1" fontId="91" fillId="8" borderId="0" xfId="0" applyNumberFormat="1" applyFont="1" applyFill="1" applyAlignment="1" applyProtection="1">
      <alignment horizontal="center"/>
      <protection hidden="1"/>
    </xf>
    <xf numFmtId="1" fontId="74" fillId="7" borderId="14" xfId="0" applyNumberFormat="1" applyFont="1" applyFill="1" applyBorder="1" applyAlignment="1" applyProtection="1">
      <alignment horizontal="right" indent="1"/>
      <protection hidden="1"/>
    </xf>
    <xf numFmtId="3" fontId="91" fillId="8" borderId="0" xfId="0" applyNumberFormat="1" applyFont="1" applyFill="1" applyAlignment="1" applyProtection="1">
      <alignment horizontal="center"/>
      <protection hidden="1"/>
    </xf>
    <xf numFmtId="4" fontId="74" fillId="7" borderId="14" xfId="0" applyNumberFormat="1" applyFont="1" applyFill="1" applyBorder="1" applyProtection="1">
      <protection hidden="1"/>
    </xf>
    <xf numFmtId="4" fontId="74" fillId="2" borderId="37" xfId="0" applyNumberFormat="1" applyFont="1" applyFill="1" applyBorder="1" applyProtection="1">
      <protection hidden="1"/>
    </xf>
    <xf numFmtId="165" fontId="74" fillId="2" borderId="14" xfId="0" applyNumberFormat="1" applyFont="1" applyFill="1" applyBorder="1" applyProtection="1">
      <protection hidden="1"/>
    </xf>
    <xf numFmtId="3" fontId="0" fillId="8" borderId="0" xfId="0" applyNumberFormat="1" applyFill="1" applyAlignment="1" applyProtection="1">
      <alignment horizontal="center"/>
      <protection hidden="1"/>
    </xf>
    <xf numFmtId="0" fontId="0" fillId="2" borderId="18" xfId="0" applyFill="1" applyBorder="1" applyProtection="1">
      <protection hidden="1"/>
    </xf>
    <xf numFmtId="0" fontId="74" fillId="2" borderId="18" xfId="0" applyFont="1" applyFill="1" applyBorder="1" applyAlignment="1" applyProtection="1">
      <alignment horizontal="right"/>
      <protection hidden="1"/>
    </xf>
    <xf numFmtId="0" fontId="91" fillId="8" borderId="18" xfId="0" applyFont="1" applyFill="1" applyBorder="1" applyAlignment="1" applyProtection="1">
      <alignment horizontal="right"/>
      <protection hidden="1"/>
    </xf>
    <xf numFmtId="0" fontId="74" fillId="2" borderId="12" xfId="0" applyFont="1" applyFill="1" applyBorder="1" applyAlignment="1" applyProtection="1">
      <alignment horizontal="right"/>
      <protection hidden="1"/>
    </xf>
    <xf numFmtId="0" fontId="81" fillId="0" borderId="18" xfId="0" applyFont="1" applyBorder="1" applyAlignment="1" applyProtection="1">
      <alignment horizontal="left"/>
      <protection hidden="1"/>
    </xf>
    <xf numFmtId="170" fontId="91" fillId="8" borderId="18" xfId="0" applyNumberFormat="1" applyFont="1" applyFill="1" applyBorder="1" applyProtection="1">
      <protection hidden="1"/>
    </xf>
    <xf numFmtId="170" fontId="81" fillId="7" borderId="13" xfId="0" applyNumberFormat="1" applyFont="1" applyFill="1" applyBorder="1" applyProtection="1">
      <protection hidden="1"/>
    </xf>
    <xf numFmtId="170" fontId="80" fillId="7" borderId="13" xfId="0" applyNumberFormat="1" applyFont="1" applyFill="1" applyBorder="1" applyProtection="1">
      <protection hidden="1"/>
    </xf>
    <xf numFmtId="170" fontId="0" fillId="0" borderId="0" xfId="0" applyNumberFormat="1" applyProtection="1">
      <protection hidden="1"/>
    </xf>
    <xf numFmtId="170" fontId="74" fillId="7" borderId="13" xfId="0" applyNumberFormat="1" applyFont="1" applyFill="1" applyBorder="1" applyProtection="1">
      <protection hidden="1"/>
    </xf>
    <xf numFmtId="0" fontId="0" fillId="0" borderId="0" xfId="0" applyAlignment="1" applyProtection="1">
      <alignment horizontal="left"/>
      <protection hidden="1"/>
    </xf>
    <xf numFmtId="170" fontId="0" fillId="8" borderId="0" xfId="0" applyNumberFormat="1" applyFill="1" applyAlignment="1" applyProtection="1">
      <alignment horizontal="left"/>
      <protection hidden="1"/>
    </xf>
    <xf numFmtId="170" fontId="74" fillId="0" borderId="0" xfId="0" applyNumberFormat="1" applyFont="1" applyProtection="1">
      <protection hidden="1"/>
    </xf>
    <xf numFmtId="0" fontId="74" fillId="7" borderId="18" xfId="0" applyFont="1" applyFill="1" applyBorder="1" applyAlignment="1" applyProtection="1">
      <alignment horizontal="left"/>
      <protection hidden="1"/>
    </xf>
    <xf numFmtId="170" fontId="74" fillId="8" borderId="18" xfId="0" applyNumberFormat="1" applyFont="1" applyFill="1" applyBorder="1" applyProtection="1">
      <protection hidden="1"/>
    </xf>
    <xf numFmtId="170" fontId="74" fillId="0" borderId="18" xfId="0" applyNumberFormat="1" applyFont="1" applyBorder="1" applyProtection="1">
      <protection hidden="1"/>
    </xf>
    <xf numFmtId="170" fontId="74" fillId="0" borderId="13" xfId="0" applyNumberFormat="1" applyFont="1" applyBorder="1" applyProtection="1">
      <protection hidden="1"/>
    </xf>
    <xf numFmtId="170" fontId="74" fillId="7" borderId="8" xfId="0" applyNumberFormat="1" applyFont="1" applyFill="1" applyBorder="1" applyProtection="1">
      <protection hidden="1"/>
    </xf>
    <xf numFmtId="170" fontId="0" fillId="0" borderId="18" xfId="0" applyNumberFormat="1" applyBorder="1" applyProtection="1">
      <protection hidden="1"/>
    </xf>
    <xf numFmtId="0" fontId="86" fillId="7" borderId="18" xfId="0" applyFont="1" applyFill="1" applyBorder="1" applyAlignment="1" applyProtection="1">
      <alignment horizontal="left" vertical="center"/>
      <protection hidden="1"/>
    </xf>
    <xf numFmtId="0" fontId="107" fillId="7" borderId="18" xfId="0" applyFont="1" applyFill="1" applyBorder="1" applyAlignment="1" applyProtection="1">
      <alignment horizontal="left"/>
      <protection hidden="1"/>
    </xf>
    <xf numFmtId="0" fontId="81" fillId="7" borderId="18" xfId="0" applyFont="1" applyFill="1" applyBorder="1" applyAlignment="1" applyProtection="1">
      <alignment horizontal="left"/>
      <protection hidden="1"/>
    </xf>
    <xf numFmtId="0" fontId="81" fillId="0" borderId="18" xfId="0" applyFont="1" applyBorder="1" applyProtection="1">
      <protection hidden="1"/>
    </xf>
    <xf numFmtId="16" fontId="74" fillId="7" borderId="18" xfId="0" applyNumberFormat="1" applyFont="1" applyFill="1" applyBorder="1" applyProtection="1">
      <protection hidden="1"/>
    </xf>
    <xf numFmtId="16" fontId="74" fillId="7" borderId="18" xfId="0" quotePrefix="1" applyNumberFormat="1" applyFont="1" applyFill="1" applyBorder="1" applyProtection="1">
      <protection hidden="1"/>
    </xf>
    <xf numFmtId="0" fontId="100" fillId="0" borderId="5" xfId="0" applyFont="1" applyBorder="1" applyAlignment="1" applyProtection="1">
      <alignment horizontal="right" indent="1"/>
      <protection hidden="1"/>
    </xf>
    <xf numFmtId="170" fontId="81" fillId="0" borderId="0" xfId="0" applyNumberFormat="1" applyFont="1" applyProtection="1">
      <protection hidden="1"/>
    </xf>
    <xf numFmtId="170" fontId="0" fillId="8" borderId="0" xfId="0" applyNumberFormat="1" applyFill="1" applyProtection="1">
      <protection hidden="1"/>
    </xf>
    <xf numFmtId="170" fontId="0" fillId="0" borderId="0" xfId="0" applyNumberFormat="1" applyAlignment="1" applyProtection="1">
      <alignment horizontal="right" indent="1"/>
      <protection hidden="1"/>
    </xf>
    <xf numFmtId="170" fontId="81" fillId="0" borderId="0" xfId="0" applyNumberFormat="1" applyFont="1" applyAlignment="1" applyProtection="1">
      <alignment horizontal="right" indent="1"/>
      <protection hidden="1"/>
    </xf>
    <xf numFmtId="0" fontId="85" fillId="2" borderId="18" xfId="0" applyFont="1" applyFill="1" applyBorder="1" applyAlignment="1" applyProtection="1">
      <alignment horizontal="left"/>
      <protection hidden="1"/>
    </xf>
    <xf numFmtId="170" fontId="86" fillId="7" borderId="13" xfId="0" applyNumberFormat="1" applyFont="1" applyFill="1" applyBorder="1" applyProtection="1">
      <protection hidden="1"/>
    </xf>
    <xf numFmtId="170" fontId="80" fillId="0" borderId="0" xfId="0" applyNumberFormat="1" applyFont="1" applyAlignment="1" applyProtection="1">
      <alignment horizontal="right"/>
      <protection hidden="1"/>
    </xf>
    <xf numFmtId="0" fontId="85" fillId="0" borderId="0" xfId="0" applyFont="1" applyAlignment="1" applyProtection="1">
      <alignment horizontal="right"/>
      <protection hidden="1"/>
    </xf>
    <xf numFmtId="4" fontId="85" fillId="0" borderId="0" xfId="0" applyNumberFormat="1" applyFont="1" applyAlignment="1" applyProtection="1">
      <alignment horizontal="right"/>
      <protection hidden="1"/>
    </xf>
    <xf numFmtId="0" fontId="74" fillId="8" borderId="0" xfId="0" applyFont="1" applyFill="1" applyAlignment="1" applyProtection="1">
      <alignment horizontal="right"/>
      <protection hidden="1"/>
    </xf>
    <xf numFmtId="165" fontId="81" fillId="7" borderId="15" xfId="0" applyNumberFormat="1" applyFont="1" applyFill="1" applyBorder="1" applyAlignment="1" applyProtection="1">
      <alignment horizontal="right" indent="1"/>
      <protection hidden="1"/>
    </xf>
    <xf numFmtId="0" fontId="85" fillId="8" borderId="0" xfId="0" applyFont="1" applyFill="1" applyAlignment="1" applyProtection="1">
      <alignment horizontal="right"/>
      <protection hidden="1"/>
    </xf>
    <xf numFmtId="0" fontId="87" fillId="0" borderId="0" xfId="0" applyFont="1" applyAlignment="1" applyProtection="1">
      <alignment horizontal="left"/>
      <protection hidden="1"/>
    </xf>
    <xf numFmtId="0" fontId="80" fillId="0" borderId="18" xfId="0" applyFont="1" applyBorder="1" applyProtection="1">
      <protection hidden="1"/>
    </xf>
    <xf numFmtId="0" fontId="88" fillId="0" borderId="0" xfId="2" applyFill="1" applyBorder="1" applyAlignment="1" applyProtection="1">
      <alignment horizontal="center" wrapText="1"/>
      <protection hidden="1"/>
    </xf>
    <xf numFmtId="0" fontId="88" fillId="0" borderId="0" xfId="2" applyFill="1" applyBorder="1" applyAlignment="1" applyProtection="1">
      <protection hidden="1"/>
    </xf>
    <xf numFmtId="0" fontId="75" fillId="0" borderId="4" xfId="0" applyFont="1" applyBorder="1"/>
    <xf numFmtId="0" fontId="101" fillId="0" borderId="0" xfId="0" applyFont="1"/>
    <xf numFmtId="0" fontId="75" fillId="0" borderId="0" xfId="0" applyFont="1"/>
    <xf numFmtId="0" fontId="75" fillId="0" borderId="5" xfId="0" applyFont="1" applyBorder="1"/>
    <xf numFmtId="0" fontId="108" fillId="0" borderId="0" xfId="0" applyFont="1"/>
    <xf numFmtId="0" fontId="79" fillId="0" borderId="0" xfId="0" applyFont="1"/>
    <xf numFmtId="0" fontId="87" fillId="0" borderId="0" xfId="0" applyFont="1"/>
    <xf numFmtId="0" fontId="79" fillId="0" borderId="5" xfId="0" applyFont="1" applyBorder="1"/>
    <xf numFmtId="0" fontId="95" fillId="0" borderId="0" xfId="0" applyFont="1"/>
    <xf numFmtId="0" fontId="75" fillId="0" borderId="38" xfId="0" applyFont="1" applyBorder="1"/>
    <xf numFmtId="0" fontId="75" fillId="0" borderId="39" xfId="0" applyFont="1" applyBorder="1"/>
    <xf numFmtId="0" fontId="79" fillId="0" borderId="39" xfId="0" applyFont="1" applyBorder="1"/>
    <xf numFmtId="0" fontId="86" fillId="0" borderId="39" xfId="0" applyFont="1" applyBorder="1"/>
    <xf numFmtId="0" fontId="86" fillId="0" borderId="40" xfId="0" applyFont="1" applyBorder="1"/>
    <xf numFmtId="0" fontId="102" fillId="0" borderId="0" xfId="0" applyFont="1"/>
    <xf numFmtId="0" fontId="75" fillId="0" borderId="6" xfId="0" applyFont="1" applyBorder="1"/>
    <xf numFmtId="0" fontId="75" fillId="0" borderId="8" xfId="0" applyFont="1" applyBorder="1"/>
    <xf numFmtId="0" fontId="77" fillId="0" borderId="0" xfId="0" applyFont="1"/>
    <xf numFmtId="0" fontId="109" fillId="0" borderId="0" xfId="0" applyFont="1"/>
    <xf numFmtId="0" fontId="0" fillId="7" borderId="0" xfId="0" applyFill="1"/>
    <xf numFmtId="0" fontId="0" fillId="7" borderId="0" xfId="0" applyFill="1" applyAlignment="1">
      <alignment horizontal="center"/>
    </xf>
    <xf numFmtId="9" fontId="95" fillId="7" borderId="0" xfId="0" applyNumberFormat="1" applyFont="1" applyFill="1"/>
    <xf numFmtId="0" fontId="80" fillId="3" borderId="15" xfId="0" applyFont="1" applyFill="1" applyBorder="1" applyAlignment="1" applyProtection="1">
      <alignment horizontal="center"/>
      <protection locked="0"/>
    </xf>
    <xf numFmtId="14" fontId="74" fillId="3" borderId="15" xfId="0" applyNumberFormat="1" applyFont="1" applyFill="1" applyBorder="1" applyAlignment="1" applyProtection="1">
      <alignment horizontal="center" vertical="center"/>
      <protection locked="0"/>
    </xf>
    <xf numFmtId="14" fontId="86" fillId="3" borderId="15" xfId="0" applyNumberFormat="1" applyFont="1" applyFill="1" applyBorder="1" applyAlignment="1" applyProtection="1">
      <alignment horizontal="center" vertical="center"/>
      <protection locked="0"/>
    </xf>
    <xf numFmtId="14" fontId="74" fillId="0" borderId="0" xfId="0" applyNumberFormat="1" applyFont="1" applyAlignment="1">
      <alignment horizontal="center" vertical="top"/>
    </xf>
    <xf numFmtId="14" fontId="74" fillId="0" borderId="0" xfId="0" applyNumberFormat="1" applyFont="1" applyAlignment="1">
      <alignment horizontal="right" vertical="top"/>
    </xf>
    <xf numFmtId="171" fontId="81" fillId="3" borderId="14" xfId="0" applyNumberFormat="1" applyFont="1" applyFill="1" applyBorder="1" applyAlignment="1" applyProtection="1">
      <alignment horizontal="center" vertical="center"/>
      <protection locked="0"/>
    </xf>
    <xf numFmtId="0" fontId="87" fillId="2" borderId="0" xfId="0" applyFont="1" applyFill="1" applyAlignment="1" applyProtection="1">
      <alignment vertical="top"/>
      <protection hidden="1"/>
    </xf>
    <xf numFmtId="0" fontId="0" fillId="2" borderId="0" xfId="0" applyFill="1"/>
    <xf numFmtId="0" fontId="80" fillId="2" borderId="0" xfId="0" applyFont="1" applyFill="1" applyAlignment="1" applyProtection="1">
      <alignment vertical="center"/>
      <protection hidden="1"/>
    </xf>
    <xf numFmtId="3" fontId="74" fillId="3" borderId="20" xfId="0" applyNumberFormat="1" applyFont="1" applyFill="1" applyBorder="1" applyAlignment="1" applyProtection="1">
      <alignment horizontal="center"/>
      <protection locked="0"/>
    </xf>
    <xf numFmtId="3" fontId="74" fillId="3" borderId="21" xfId="0" applyNumberFormat="1" applyFont="1" applyFill="1" applyBorder="1" applyAlignment="1" applyProtection="1">
      <alignment horizontal="center"/>
      <protection locked="0"/>
    </xf>
    <xf numFmtId="3" fontId="74" fillId="3" borderId="22" xfId="0" applyNumberFormat="1" applyFont="1" applyFill="1" applyBorder="1" applyAlignment="1" applyProtection="1">
      <alignment horizontal="center"/>
      <protection locked="0"/>
    </xf>
    <xf numFmtId="0" fontId="74" fillId="2" borderId="24" xfId="0" applyFont="1" applyFill="1" applyBorder="1" applyAlignment="1" applyProtection="1">
      <alignment horizontal="center" vertical="top"/>
      <protection hidden="1"/>
    </xf>
    <xf numFmtId="0" fontId="74" fillId="2" borderId="24" xfId="0" applyFont="1" applyFill="1" applyBorder="1" applyAlignment="1" applyProtection="1">
      <alignment horizontal="center" vertical="top" wrapText="1"/>
      <protection hidden="1"/>
    </xf>
    <xf numFmtId="0" fontId="80" fillId="2" borderId="23" xfId="0" applyFont="1" applyFill="1" applyBorder="1" applyAlignment="1" applyProtection="1">
      <alignment horizontal="center"/>
      <protection hidden="1"/>
    </xf>
    <xf numFmtId="0" fontId="80" fillId="0" borderId="0" xfId="0" applyFont="1" applyAlignment="1" applyProtection="1">
      <alignment horizontal="center"/>
      <protection hidden="1"/>
    </xf>
    <xf numFmtId="0" fontId="74" fillId="2" borderId="12" xfId="0" applyFont="1" applyFill="1" applyBorder="1" applyAlignment="1" applyProtection="1">
      <alignment horizontal="center" wrapText="1"/>
      <protection hidden="1"/>
    </xf>
    <xf numFmtId="170" fontId="100" fillId="0" borderId="0" xfId="0" applyNumberFormat="1" applyFont="1" applyAlignment="1">
      <alignment vertical="top" wrapText="1"/>
    </xf>
    <xf numFmtId="170" fontId="100" fillId="0" borderId="0" xfId="0" applyNumberFormat="1" applyFont="1"/>
    <xf numFmtId="0" fontId="86" fillId="0" borderId="5" xfId="0" applyFont="1" applyBorder="1" applyAlignment="1">
      <alignment horizontal="left" vertical="top"/>
    </xf>
    <xf numFmtId="0" fontId="86" fillId="0" borderId="5" xfId="0" applyFont="1" applyBorder="1" applyAlignment="1">
      <alignment horizontal="left"/>
    </xf>
    <xf numFmtId="0" fontId="80" fillId="0" borderId="0" xfId="0" applyFont="1"/>
    <xf numFmtId="4" fontId="91" fillId="8" borderId="0" xfId="0" applyNumberFormat="1" applyFont="1" applyFill="1" applyAlignment="1" applyProtection="1">
      <alignment horizontal="center"/>
      <protection hidden="1"/>
    </xf>
    <xf numFmtId="171" fontId="80" fillId="7" borderId="14" xfId="0" applyNumberFormat="1" applyFont="1" applyFill="1" applyBorder="1" applyAlignment="1" applyProtection="1">
      <alignment horizontal="center"/>
      <protection hidden="1"/>
    </xf>
    <xf numFmtId="1" fontId="86" fillId="7" borderId="14" xfId="0" applyNumberFormat="1" applyFont="1" applyFill="1" applyBorder="1" applyAlignment="1" applyProtection="1">
      <alignment horizontal="right" indent="1"/>
      <protection hidden="1"/>
    </xf>
    <xf numFmtId="170" fontId="79" fillId="0" borderId="0" xfId="0" applyNumberFormat="1" applyFont="1" applyAlignment="1" applyProtection="1">
      <alignment horizontal="left"/>
      <protection hidden="1"/>
    </xf>
    <xf numFmtId="0" fontId="99" fillId="8" borderId="0" xfId="0" applyFont="1" applyFill="1" applyProtection="1">
      <protection hidden="1"/>
    </xf>
    <xf numFmtId="170" fontId="81" fillId="8" borderId="12" xfId="0" applyNumberFormat="1" applyFont="1" applyFill="1" applyBorder="1" applyProtection="1">
      <protection hidden="1"/>
    </xf>
    <xf numFmtId="170" fontId="86" fillId="8" borderId="12" xfId="0" applyNumberFormat="1" applyFont="1" applyFill="1" applyBorder="1" applyProtection="1">
      <protection hidden="1"/>
    </xf>
    <xf numFmtId="170" fontId="74" fillId="8" borderId="12" xfId="0" applyNumberFormat="1" applyFont="1" applyFill="1" applyBorder="1" applyProtection="1">
      <protection hidden="1"/>
    </xf>
    <xf numFmtId="170" fontId="74" fillId="8" borderId="0" xfId="0" applyNumberFormat="1" applyFont="1" applyFill="1" applyProtection="1">
      <protection hidden="1"/>
    </xf>
    <xf numFmtId="170" fontId="74" fillId="8" borderId="12" xfId="0" quotePrefix="1" applyNumberFormat="1" applyFont="1" applyFill="1" applyBorder="1" applyProtection="1">
      <protection hidden="1"/>
    </xf>
    <xf numFmtId="170" fontId="0" fillId="8" borderId="0" xfId="0" applyNumberFormat="1" applyFill="1" applyAlignment="1" applyProtection="1">
      <alignment horizontal="right" indent="1"/>
      <protection hidden="1"/>
    </xf>
    <xf numFmtId="0" fontId="81" fillId="8" borderId="0" xfId="0" applyFont="1" applyFill="1" applyAlignment="1" applyProtection="1">
      <alignment horizontal="right"/>
      <protection hidden="1"/>
    </xf>
    <xf numFmtId="170" fontId="81" fillId="8" borderId="18" xfId="0" applyNumberFormat="1" applyFont="1" applyFill="1" applyBorder="1" applyProtection="1">
      <protection hidden="1"/>
    </xf>
    <xf numFmtId="170" fontId="81" fillId="8" borderId="0" xfId="0" applyNumberFormat="1" applyFont="1" applyFill="1" applyAlignment="1" applyProtection="1">
      <alignment horizontal="right" indent="1"/>
      <protection hidden="1"/>
    </xf>
    <xf numFmtId="170" fontId="86" fillId="8" borderId="18" xfId="0" applyNumberFormat="1" applyFont="1" applyFill="1" applyBorder="1" applyProtection="1">
      <protection hidden="1"/>
    </xf>
    <xf numFmtId="170" fontId="80" fillId="8" borderId="12" xfId="0" applyNumberFormat="1" applyFont="1" applyFill="1" applyBorder="1" applyProtection="1">
      <protection hidden="1"/>
    </xf>
    <xf numFmtId="170" fontId="74" fillId="8" borderId="0" xfId="0" applyNumberFormat="1" applyFont="1" applyFill="1" applyAlignment="1" applyProtection="1">
      <alignment horizontal="right" indent="1"/>
      <protection hidden="1"/>
    </xf>
    <xf numFmtId="0" fontId="81" fillId="8" borderId="0" xfId="0" applyFont="1" applyFill="1" applyAlignment="1" applyProtection="1">
      <alignment horizontal="right" indent="1"/>
      <protection hidden="1"/>
    </xf>
    <xf numFmtId="170" fontId="74" fillId="8" borderId="6" xfId="0" quotePrefix="1" applyNumberFormat="1" applyFont="1" applyFill="1" applyBorder="1" applyProtection="1">
      <protection hidden="1"/>
    </xf>
    <xf numFmtId="170" fontId="85" fillId="8" borderId="0" xfId="0" applyNumberFormat="1" applyFont="1" applyFill="1" applyAlignment="1" applyProtection="1">
      <alignment horizontal="left"/>
      <protection hidden="1"/>
    </xf>
    <xf numFmtId="170" fontId="0" fillId="8" borderId="2" xfId="0" applyNumberFormat="1" applyFill="1" applyBorder="1" applyProtection="1">
      <protection hidden="1"/>
    </xf>
    <xf numFmtId="170" fontId="0" fillId="8" borderId="4" xfId="0" applyNumberFormat="1" applyFill="1" applyBorder="1" applyProtection="1">
      <protection hidden="1"/>
    </xf>
    <xf numFmtId="170" fontId="87" fillId="8" borderId="4" xfId="0" applyNumberFormat="1" applyFont="1" applyFill="1" applyBorder="1" applyAlignment="1">
      <alignment vertical="top" wrapText="1"/>
    </xf>
    <xf numFmtId="170" fontId="100" fillId="8" borderId="4" xfId="0" applyNumberFormat="1" applyFont="1" applyFill="1" applyBorder="1" applyAlignment="1">
      <alignment vertical="top" wrapText="1"/>
    </xf>
    <xf numFmtId="170" fontId="100" fillId="8" borderId="4" xfId="0" applyNumberFormat="1" applyFont="1" applyFill="1" applyBorder="1"/>
    <xf numFmtId="170" fontId="74" fillId="8" borderId="0" xfId="0" applyNumberFormat="1" applyFont="1" applyFill="1" applyAlignment="1" applyProtection="1">
      <alignment horizontal="right"/>
      <protection hidden="1"/>
    </xf>
    <xf numFmtId="0" fontId="80" fillId="8" borderId="0" xfId="0" applyFont="1" applyFill="1" applyAlignment="1" applyProtection="1">
      <alignment horizontal="right"/>
      <protection hidden="1"/>
    </xf>
    <xf numFmtId="0" fontId="74" fillId="2" borderId="13" xfId="0" applyFont="1" applyFill="1" applyBorder="1" applyAlignment="1" applyProtection="1">
      <alignment horizontal="center" wrapText="1"/>
      <protection hidden="1"/>
    </xf>
    <xf numFmtId="0" fontId="85" fillId="8" borderId="0" xfId="0" applyFont="1" applyFill="1" applyProtection="1">
      <protection hidden="1"/>
    </xf>
    <xf numFmtId="170" fontId="100" fillId="8" borderId="0" xfId="0" applyNumberFormat="1" applyFont="1" applyFill="1" applyAlignment="1">
      <alignment vertical="top" wrapText="1"/>
    </xf>
    <xf numFmtId="170" fontId="100" fillId="8" borderId="0" xfId="0" applyNumberFormat="1" applyFont="1" applyFill="1"/>
    <xf numFmtId="170" fontId="80" fillId="8" borderId="0" xfId="0" applyNumberFormat="1" applyFont="1" applyFill="1" applyAlignment="1" applyProtection="1">
      <alignment horizontal="right"/>
      <protection hidden="1"/>
    </xf>
    <xf numFmtId="49" fontId="74" fillId="0" borderId="18" xfId="0" applyNumberFormat="1" applyFont="1" applyBorder="1" applyProtection="1">
      <protection hidden="1"/>
    </xf>
    <xf numFmtId="170" fontId="80" fillId="8" borderId="0" xfId="0" applyNumberFormat="1" applyFont="1" applyFill="1" applyProtection="1">
      <protection hidden="1"/>
    </xf>
    <xf numFmtId="0" fontId="74" fillId="2" borderId="14" xfId="0" applyFont="1" applyFill="1" applyBorder="1" applyAlignment="1" applyProtection="1">
      <alignment horizontal="center" wrapText="1"/>
      <protection hidden="1"/>
    </xf>
    <xf numFmtId="170" fontId="80" fillId="7" borderId="14" xfId="0" applyNumberFormat="1" applyFont="1" applyFill="1" applyBorder="1" applyProtection="1">
      <protection hidden="1"/>
    </xf>
    <xf numFmtId="0" fontId="80" fillId="0" borderId="1" xfId="0" applyFont="1" applyBorder="1"/>
    <xf numFmtId="2" fontId="74" fillId="3" borderId="8" xfId="0" applyNumberFormat="1" applyFont="1" applyFill="1" applyBorder="1" applyAlignment="1" applyProtection="1">
      <alignment horizontal="center"/>
      <protection locked="0"/>
    </xf>
    <xf numFmtId="2" fontId="74" fillId="3" borderId="13" xfId="0" applyNumberFormat="1" applyFont="1" applyFill="1" applyBorder="1" applyAlignment="1" applyProtection="1">
      <alignment horizontal="center"/>
      <protection locked="0"/>
    </xf>
    <xf numFmtId="2" fontId="74" fillId="0" borderId="17" xfId="0" applyNumberFormat="1" applyFont="1" applyBorder="1" applyAlignment="1" applyProtection="1">
      <alignment horizontal="right"/>
      <protection hidden="1"/>
    </xf>
    <xf numFmtId="2" fontId="74" fillId="3" borderId="7" xfId="0" applyNumberFormat="1" applyFont="1" applyFill="1" applyBorder="1" applyAlignment="1" applyProtection="1">
      <alignment horizontal="center"/>
      <protection locked="0"/>
    </xf>
    <xf numFmtId="14" fontId="74" fillId="3" borderId="14" xfId="0" applyNumberFormat="1" applyFont="1" applyFill="1" applyBorder="1" applyAlignment="1" applyProtection="1">
      <alignment horizontal="center" vertical="center"/>
      <protection locked="0"/>
    </xf>
    <xf numFmtId="14" fontId="80" fillId="3" borderId="14" xfId="0" applyNumberFormat="1" applyFont="1" applyFill="1" applyBorder="1" applyAlignment="1" applyProtection="1">
      <alignment horizontal="center" vertical="center"/>
      <protection locked="0"/>
    </xf>
    <xf numFmtId="14" fontId="80" fillId="7" borderId="14" xfId="0" applyNumberFormat="1" applyFont="1" applyFill="1" applyBorder="1" applyAlignment="1" applyProtection="1">
      <alignment horizontal="center" vertical="center"/>
      <protection hidden="1"/>
    </xf>
    <xf numFmtId="0" fontId="80" fillId="0" borderId="4" xfId="0" applyFont="1" applyBorder="1" applyAlignment="1" applyProtection="1">
      <alignment vertical="center"/>
      <protection hidden="1"/>
    </xf>
    <xf numFmtId="0" fontId="74" fillId="0" borderId="0" xfId="0" applyFont="1" applyAlignment="1" applyProtection="1">
      <alignment horizontal="center" vertical="center"/>
      <protection hidden="1"/>
    </xf>
    <xf numFmtId="3" fontId="80" fillId="7" borderId="15" xfId="0" applyNumberFormat="1" applyFont="1" applyFill="1" applyBorder="1" applyAlignment="1" applyProtection="1">
      <alignment horizontal="center" vertical="center"/>
      <protection hidden="1"/>
    </xf>
    <xf numFmtId="0" fontId="107" fillId="0" borderId="5" xfId="0" applyFont="1" applyBorder="1" applyAlignment="1">
      <alignment vertical="top" wrapText="1"/>
    </xf>
    <xf numFmtId="0" fontId="0" fillId="0" borderId="2" xfId="0" applyBorder="1" applyProtection="1">
      <protection hidden="1"/>
    </xf>
    <xf numFmtId="0" fontId="107" fillId="0" borderId="0" xfId="0" applyFont="1" applyAlignment="1">
      <alignment vertical="top" wrapText="1"/>
    </xf>
    <xf numFmtId="0" fontId="80" fillId="0" borderId="2" xfId="0" applyFont="1" applyBorder="1"/>
    <xf numFmtId="0" fontId="107" fillId="0" borderId="7" xfId="0" applyFont="1" applyBorder="1" applyAlignment="1">
      <alignment vertical="top" wrapText="1"/>
    </xf>
    <xf numFmtId="7" fontId="86" fillId="3" borderId="14" xfId="3" applyNumberFormat="1" applyFont="1" applyFill="1" applyBorder="1" applyAlignment="1" applyProtection="1">
      <alignment horizontal="right"/>
      <protection locked="0"/>
    </xf>
    <xf numFmtId="0" fontId="87" fillId="0" borderId="0" xfId="0" applyFont="1" applyAlignment="1">
      <alignment horizontal="right"/>
    </xf>
    <xf numFmtId="10" fontId="86" fillId="7" borderId="15" xfId="0" applyNumberFormat="1" applyFont="1" applyFill="1" applyBorder="1" applyAlignment="1" applyProtection="1">
      <alignment horizontal="right" vertical="center"/>
      <protection hidden="1"/>
    </xf>
    <xf numFmtId="165" fontId="86" fillId="7" borderId="11" xfId="0" applyNumberFormat="1" applyFont="1" applyFill="1" applyBorder="1" applyAlignment="1" applyProtection="1">
      <alignment horizontal="right" vertical="center"/>
      <protection hidden="1"/>
    </xf>
    <xf numFmtId="165" fontId="86" fillId="7" borderId="15" xfId="0" applyNumberFormat="1" applyFont="1" applyFill="1" applyBorder="1" applyAlignment="1" applyProtection="1">
      <alignment horizontal="right" vertical="center"/>
      <protection hidden="1"/>
    </xf>
    <xf numFmtId="174" fontId="0" fillId="8" borderId="0" xfId="0" applyNumberFormat="1" applyFill="1" applyProtection="1">
      <protection hidden="1"/>
    </xf>
    <xf numFmtId="0" fontId="86" fillId="0" borderId="0" xfId="0" applyFont="1" applyAlignment="1">
      <alignment horizontal="left" vertical="top"/>
    </xf>
    <xf numFmtId="0" fontId="86" fillId="0" borderId="0" xfId="0" applyFont="1" applyAlignment="1">
      <alignment horizontal="left"/>
    </xf>
    <xf numFmtId="0" fontId="75" fillId="6" borderId="0" xfId="0" applyFont="1" applyFill="1" applyAlignment="1">
      <alignment horizontal="center"/>
    </xf>
    <xf numFmtId="0" fontId="74" fillId="2" borderId="19" xfId="0" applyFont="1" applyFill="1" applyBorder="1" applyAlignment="1" applyProtection="1">
      <alignment horizontal="center" vertical="top"/>
      <protection hidden="1"/>
    </xf>
    <xf numFmtId="14" fontId="74" fillId="2" borderId="24" xfId="0" applyNumberFormat="1" applyFont="1" applyFill="1" applyBorder="1" applyAlignment="1" applyProtection="1">
      <alignment horizontal="center" vertical="top"/>
      <protection hidden="1"/>
    </xf>
    <xf numFmtId="0" fontId="101" fillId="0" borderId="4" xfId="0" applyFont="1" applyBorder="1"/>
    <xf numFmtId="0" fontId="101" fillId="9" borderId="15" xfId="0" applyFont="1" applyFill="1" applyBorder="1" applyAlignment="1" applyProtection="1">
      <alignment horizontal="center" vertical="center"/>
      <protection locked="0"/>
    </xf>
    <xf numFmtId="0" fontId="114" fillId="0" borderId="0" xfId="0" applyFont="1"/>
    <xf numFmtId="0" fontId="101" fillId="0" borderId="5" xfId="0" applyFont="1" applyBorder="1"/>
    <xf numFmtId="0" fontId="114" fillId="0" borderId="4" xfId="0" applyFont="1" applyBorder="1"/>
    <xf numFmtId="0" fontId="115" fillId="0" borderId="0" xfId="0" applyFont="1"/>
    <xf numFmtId="0" fontId="114" fillId="0" borderId="5" xfId="0" applyFont="1" applyBorder="1"/>
    <xf numFmtId="0" fontId="78" fillId="9" borderId="15" xfId="0" applyFont="1" applyFill="1" applyBorder="1" applyAlignment="1" applyProtection="1">
      <alignment horizontal="center" vertical="center"/>
      <protection locked="0"/>
    </xf>
    <xf numFmtId="0" fontId="115" fillId="0" borderId="5" xfId="0" applyFont="1" applyBorder="1"/>
    <xf numFmtId="0" fontId="81" fillId="9" borderId="15" xfId="0" applyFont="1" applyFill="1" applyBorder="1" applyAlignment="1" applyProtection="1">
      <alignment horizontal="center" vertical="center"/>
      <protection locked="0"/>
    </xf>
    <xf numFmtId="0" fontId="86" fillId="0" borderId="0" xfId="0" applyFont="1" applyAlignment="1">
      <alignment vertical="top"/>
    </xf>
    <xf numFmtId="0" fontId="0" fillId="0" borderId="7" xfId="0" applyBorder="1"/>
    <xf numFmtId="0" fontId="79" fillId="0" borderId="7" xfId="0" applyFont="1" applyBorder="1"/>
    <xf numFmtId="0" fontId="75" fillId="6" borderId="4" xfId="0" applyFont="1" applyFill="1" applyBorder="1"/>
    <xf numFmtId="0" fontId="75" fillId="6" borderId="0" xfId="0" applyFont="1" applyFill="1"/>
    <xf numFmtId="0" fontId="75" fillId="6" borderId="5" xfId="0" applyFont="1" applyFill="1" applyBorder="1"/>
    <xf numFmtId="0" fontId="81" fillId="6" borderId="4" xfId="0" applyFont="1" applyFill="1" applyBorder="1"/>
    <xf numFmtId="0" fontId="75" fillId="6" borderId="6" xfId="0" applyFont="1" applyFill="1" applyBorder="1"/>
    <xf numFmtId="0" fontId="75" fillId="6" borderId="7" xfId="0" applyFont="1" applyFill="1" applyBorder="1"/>
    <xf numFmtId="0" fontId="75" fillId="6" borderId="8" xfId="0" applyFont="1" applyFill="1" applyBorder="1"/>
    <xf numFmtId="0" fontId="86" fillId="6" borderId="0" xfId="0" applyFont="1" applyFill="1"/>
    <xf numFmtId="0" fontId="86" fillId="6" borderId="5" xfId="0" applyFont="1" applyFill="1" applyBorder="1"/>
    <xf numFmtId="0" fontId="78" fillId="6" borderId="4" xfId="0" applyFont="1" applyFill="1" applyBorder="1"/>
    <xf numFmtId="0" fontId="119" fillId="6" borderId="5" xfId="0" applyFont="1" applyFill="1" applyBorder="1"/>
    <xf numFmtId="0" fontId="86" fillId="6" borderId="0" xfId="0" applyFont="1" applyFill="1" applyProtection="1">
      <protection hidden="1"/>
    </xf>
    <xf numFmtId="0" fontId="0" fillId="6" borderId="4" xfId="0" applyFill="1" applyBorder="1"/>
    <xf numFmtId="0" fontId="74" fillId="0" borderId="0" xfId="0" applyFont="1" applyAlignment="1" applyProtection="1">
      <alignment horizontal="right" vertical="center"/>
      <protection hidden="1"/>
    </xf>
    <xf numFmtId="0" fontId="74" fillId="6" borderId="0" xfId="0" applyFont="1" applyFill="1" applyProtection="1">
      <protection hidden="1"/>
    </xf>
    <xf numFmtId="0" fontId="85" fillId="12" borderId="0" xfId="0" applyFont="1" applyFill="1" applyProtection="1">
      <protection hidden="1"/>
    </xf>
    <xf numFmtId="2" fontId="74" fillId="0" borderId="5" xfId="0" applyNumberFormat="1" applyFont="1" applyBorder="1" applyProtection="1">
      <protection hidden="1"/>
    </xf>
    <xf numFmtId="170" fontId="86" fillId="7" borderId="13" xfId="0" applyNumberFormat="1" applyFont="1" applyFill="1" applyBorder="1" applyAlignment="1" applyProtection="1">
      <alignment horizontal="right" indent="1"/>
      <protection hidden="1"/>
    </xf>
    <xf numFmtId="0" fontId="74" fillId="2" borderId="13" xfId="0" applyFont="1" applyFill="1" applyBorder="1" applyAlignment="1" applyProtection="1">
      <alignment horizontal="right"/>
      <protection hidden="1"/>
    </xf>
    <xf numFmtId="170" fontId="81" fillId="7" borderId="13" xfId="0" applyNumberFormat="1" applyFont="1" applyFill="1" applyBorder="1" applyAlignment="1" applyProtection="1">
      <alignment horizontal="right"/>
      <protection hidden="1"/>
    </xf>
    <xf numFmtId="170" fontId="86" fillId="7" borderId="13" xfId="0" applyNumberFormat="1" applyFont="1" applyFill="1" applyBorder="1" applyAlignment="1" applyProtection="1">
      <alignment horizontal="right"/>
      <protection hidden="1"/>
    </xf>
    <xf numFmtId="167" fontId="74" fillId="3" borderId="14" xfId="1" applyNumberFormat="1" applyFont="1" applyFill="1" applyBorder="1" applyAlignment="1" applyProtection="1">
      <alignment horizontal="right" vertical="center"/>
      <protection locked="0"/>
    </xf>
    <xf numFmtId="167" fontId="81" fillId="7" borderId="34" xfId="1" applyNumberFormat="1" applyFont="1" applyFill="1" applyBorder="1" applyAlignment="1" applyProtection="1">
      <alignment horizontal="right" vertical="center"/>
      <protection hidden="1"/>
    </xf>
    <xf numFmtId="0" fontId="125" fillId="0" borderId="0" xfId="0" applyFont="1"/>
    <xf numFmtId="0" fontId="80" fillId="0" borderId="0" xfId="0" applyFont="1" applyAlignment="1" applyProtection="1">
      <alignment horizontal="left"/>
      <protection hidden="1"/>
    </xf>
    <xf numFmtId="10" fontId="86" fillId="3" borderId="15" xfId="3" applyNumberFormat="1" applyFont="1" applyFill="1" applyBorder="1" applyAlignment="1" applyProtection="1">
      <alignment horizontal="right" vertical="center"/>
      <protection locked="0"/>
    </xf>
    <xf numFmtId="0" fontId="86" fillId="13" borderId="23" xfId="0" applyFont="1" applyFill="1" applyBorder="1" applyAlignment="1">
      <alignment horizontal="center" wrapText="1"/>
    </xf>
    <xf numFmtId="0" fontId="86" fillId="13" borderId="24" xfId="0" applyFont="1" applyFill="1" applyBorder="1" applyAlignment="1">
      <alignment horizontal="center"/>
    </xf>
    <xf numFmtId="0" fontId="86" fillId="14" borderId="23" xfId="0" applyFont="1" applyFill="1" applyBorder="1" applyAlignment="1">
      <alignment horizontal="center" wrapText="1"/>
    </xf>
    <xf numFmtId="0" fontId="126" fillId="0" borderId="0" xfId="0" applyFont="1" applyAlignment="1">
      <alignment vertical="top"/>
    </xf>
    <xf numFmtId="165" fontId="86" fillId="7" borderId="32" xfId="0" applyNumberFormat="1" applyFont="1" applyFill="1" applyBorder="1" applyAlignment="1" applyProtection="1">
      <alignment vertical="center"/>
      <protection hidden="1"/>
    </xf>
    <xf numFmtId="165" fontId="74" fillId="7" borderId="14" xfId="1" applyNumberFormat="1" applyFont="1" applyFill="1" applyBorder="1" applyAlignment="1" applyProtection="1">
      <alignment horizontal="right" vertical="center"/>
      <protection hidden="1"/>
    </xf>
    <xf numFmtId="165" fontId="81" fillId="7" borderId="34" xfId="1" applyNumberFormat="1" applyFont="1" applyFill="1" applyBorder="1" applyAlignment="1" applyProtection="1">
      <alignment horizontal="right" vertical="center"/>
      <protection hidden="1"/>
    </xf>
    <xf numFmtId="0" fontId="100" fillId="0" borderId="0" xfId="0" applyFont="1" applyAlignment="1" applyProtection="1">
      <alignment horizontal="right" vertical="center"/>
      <protection hidden="1"/>
    </xf>
    <xf numFmtId="165" fontId="80" fillId="7" borderId="15" xfId="0" applyNumberFormat="1" applyFont="1" applyFill="1" applyBorder="1" applyAlignment="1" applyProtection="1">
      <alignment horizontal="right" indent="1"/>
      <protection hidden="1"/>
    </xf>
    <xf numFmtId="0" fontId="100" fillId="0" borderId="0" xfId="0" applyFont="1" applyAlignment="1" applyProtection="1">
      <alignment vertical="center"/>
      <protection hidden="1"/>
    </xf>
    <xf numFmtId="10" fontId="74" fillId="3" borderId="14" xfId="1" applyNumberFormat="1" applyFont="1" applyFill="1" applyBorder="1" applyAlignment="1" applyProtection="1">
      <alignment horizontal="right" vertical="center"/>
      <protection locked="0"/>
    </xf>
    <xf numFmtId="0" fontId="86" fillId="11" borderId="56" xfId="0" applyFont="1" applyFill="1" applyBorder="1" applyAlignment="1">
      <alignment vertical="center"/>
    </xf>
    <xf numFmtId="0" fontId="74" fillId="11" borderId="58" xfId="0" applyFont="1" applyFill="1" applyBorder="1"/>
    <xf numFmtId="0" fontId="86" fillId="11" borderId="44" xfId="0" applyFont="1" applyFill="1" applyBorder="1" applyAlignment="1">
      <alignment vertical="center"/>
    </xf>
    <xf numFmtId="0" fontId="86" fillId="11" borderId="0" xfId="0" applyFont="1" applyFill="1" applyAlignment="1">
      <alignment vertical="center"/>
    </xf>
    <xf numFmtId="0" fontId="74" fillId="11" borderId="43" xfId="0" applyFont="1" applyFill="1" applyBorder="1"/>
    <xf numFmtId="0" fontId="81" fillId="11" borderId="44" xfId="0" applyFont="1" applyFill="1" applyBorder="1" applyAlignment="1">
      <alignment vertical="center"/>
    </xf>
    <xf numFmtId="0" fontId="81" fillId="11" borderId="0" xfId="0" applyFont="1" applyFill="1" applyAlignment="1">
      <alignment vertical="center"/>
    </xf>
    <xf numFmtId="0" fontId="79" fillId="11" borderId="0" xfId="5" applyFont="1" applyFill="1" applyBorder="1" applyAlignment="1" applyProtection="1"/>
    <xf numFmtId="14" fontId="79" fillId="11" borderId="0" xfId="5" applyNumberFormat="1" applyFont="1" applyFill="1" applyBorder="1" applyProtection="1"/>
    <xf numFmtId="0" fontId="81" fillId="11" borderId="1" xfId="0" applyFont="1" applyFill="1" applyBorder="1" applyAlignment="1">
      <alignment vertical="center"/>
    </xf>
    <xf numFmtId="0" fontId="81" fillId="11" borderId="2" xfId="0" applyFont="1" applyFill="1" applyBorder="1" applyAlignment="1">
      <alignment vertical="center"/>
    </xf>
    <xf numFmtId="0" fontId="74" fillId="11" borderId="49" xfId="0" applyFont="1" applyFill="1" applyBorder="1"/>
    <xf numFmtId="0" fontId="81" fillId="11" borderId="4" xfId="0" applyFont="1" applyFill="1" applyBorder="1" applyAlignment="1">
      <alignment vertical="center"/>
    </xf>
    <xf numFmtId="0" fontId="81" fillId="11" borderId="6" xfId="0" applyFont="1" applyFill="1" applyBorder="1" applyAlignment="1">
      <alignment vertical="center"/>
    </xf>
    <xf numFmtId="0" fontId="86" fillId="11" borderId="61" xfId="0" applyFont="1" applyFill="1" applyBorder="1" applyAlignment="1">
      <alignment vertical="center"/>
    </xf>
    <xf numFmtId="0" fontId="81" fillId="11" borderId="61" xfId="0" applyFont="1" applyFill="1" applyBorder="1" applyAlignment="1">
      <alignment vertical="center"/>
    </xf>
    <xf numFmtId="0" fontId="74" fillId="11" borderId="62" xfId="0" applyFont="1" applyFill="1" applyBorder="1"/>
    <xf numFmtId="4" fontId="74" fillId="15" borderId="14" xfId="0" applyNumberFormat="1" applyFont="1" applyFill="1" applyBorder="1" applyAlignment="1" applyProtection="1">
      <alignment horizontal="center"/>
      <protection locked="0"/>
    </xf>
    <xf numFmtId="4" fontId="80" fillId="0" borderId="10" xfId="0" applyNumberFormat="1" applyFont="1" applyBorder="1" applyAlignment="1">
      <alignment horizontal="center"/>
    </xf>
    <xf numFmtId="0" fontId="80" fillId="6" borderId="0" xfId="0" applyFont="1" applyFill="1"/>
    <xf numFmtId="0" fontId="74" fillId="6" borderId="0" xfId="0" applyFont="1" applyFill="1"/>
    <xf numFmtId="4" fontId="74" fillId="0" borderId="10" xfId="0" applyNumberFormat="1" applyFont="1" applyBorder="1" applyAlignment="1">
      <alignment horizontal="center"/>
    </xf>
    <xf numFmtId="4" fontId="74" fillId="19" borderId="50" xfId="0" applyNumberFormat="1" applyFont="1" applyFill="1" applyBorder="1" applyAlignment="1">
      <alignment horizontal="center" wrapText="1"/>
    </xf>
    <xf numFmtId="4" fontId="74" fillId="11" borderId="18" xfId="0" applyNumberFormat="1" applyFont="1" applyFill="1" applyBorder="1" applyAlignment="1">
      <alignment horizontal="center"/>
    </xf>
    <xf numFmtId="4" fontId="74" fillId="11" borderId="14" xfId="0" applyNumberFormat="1" applyFont="1" applyFill="1" applyBorder="1" applyAlignment="1">
      <alignment horizontal="center" wrapText="1"/>
    </xf>
    <xf numFmtId="4" fontId="74" fillId="21" borderId="53" xfId="0" applyNumberFormat="1" applyFont="1" applyFill="1" applyBorder="1" applyAlignment="1" applyProtection="1">
      <alignment horizontal="center"/>
      <protection hidden="1"/>
    </xf>
    <xf numFmtId="4" fontId="74" fillId="21" borderId="0" xfId="0" applyNumberFormat="1" applyFont="1" applyFill="1" applyAlignment="1">
      <alignment horizontal="center"/>
    </xf>
    <xf numFmtId="4" fontId="74" fillId="21" borderId="14" xfId="0" applyNumberFormat="1" applyFont="1" applyFill="1" applyBorder="1" applyAlignment="1" applyProtection="1">
      <alignment horizontal="center"/>
      <protection hidden="1"/>
    </xf>
    <xf numFmtId="4" fontId="74" fillId="21" borderId="54" xfId="0" applyNumberFormat="1" applyFont="1" applyFill="1" applyBorder="1" applyAlignment="1" applyProtection="1">
      <alignment horizontal="center"/>
      <protection hidden="1"/>
    </xf>
    <xf numFmtId="4" fontId="80" fillId="0" borderId="10" xfId="0" applyNumberFormat="1" applyFont="1" applyBorder="1" applyAlignment="1" applyProtection="1">
      <alignment horizontal="center"/>
      <protection hidden="1"/>
    </xf>
    <xf numFmtId="4" fontId="80" fillId="20" borderId="15" xfId="0" applyNumberFormat="1" applyFont="1" applyFill="1" applyBorder="1" applyAlignment="1" applyProtection="1">
      <alignment horizontal="center"/>
      <protection hidden="1"/>
    </xf>
    <xf numFmtId="165" fontId="81" fillId="7" borderId="15" xfId="0" applyNumberFormat="1" applyFont="1" applyFill="1" applyBorder="1" applyAlignment="1" applyProtection="1">
      <alignment horizontal="right" vertical="center"/>
      <protection hidden="1"/>
    </xf>
    <xf numFmtId="3" fontId="80" fillId="6" borderId="0" xfId="0" applyNumberFormat="1" applyFont="1" applyFill="1" applyAlignment="1" applyProtection="1">
      <alignment horizontal="center" vertical="center"/>
      <protection hidden="1"/>
    </xf>
    <xf numFmtId="0" fontId="138" fillId="0" borderId="0" xfId="0" applyFont="1"/>
    <xf numFmtId="0" fontId="139" fillId="0" borderId="0" xfId="0" applyFont="1"/>
    <xf numFmtId="0" fontId="138" fillId="0" borderId="0" xfId="0" applyFont="1" applyProtection="1">
      <protection hidden="1"/>
    </xf>
    <xf numFmtId="2" fontId="86" fillId="6" borderId="0" xfId="0" applyNumberFormat="1" applyFont="1" applyFill="1" applyProtection="1">
      <protection hidden="1"/>
    </xf>
    <xf numFmtId="165" fontId="81" fillId="8" borderId="10" xfId="0" applyNumberFormat="1" applyFont="1" applyFill="1" applyBorder="1" applyAlignment="1" applyProtection="1">
      <alignment horizontal="right"/>
      <protection hidden="1"/>
    </xf>
    <xf numFmtId="165" fontId="142" fillId="0" borderId="0" xfId="0" applyNumberFormat="1" applyFont="1" applyAlignment="1" applyProtection="1">
      <alignment horizontal="right" indent="1"/>
      <protection hidden="1"/>
    </xf>
    <xf numFmtId="14" fontId="126" fillId="0" borderId="0" xfId="0" applyNumberFormat="1" applyFont="1"/>
    <xf numFmtId="7" fontId="86" fillId="6" borderId="0" xfId="3" applyNumberFormat="1" applyFont="1" applyFill="1" applyBorder="1" applyAlignment="1" applyProtection="1">
      <alignment horizontal="right"/>
      <protection hidden="1"/>
    </xf>
    <xf numFmtId="0" fontId="80" fillId="0" borderId="7" xfId="0" applyFont="1" applyBorder="1" applyAlignment="1" applyProtection="1">
      <alignment horizontal="right"/>
      <protection hidden="1"/>
    </xf>
    <xf numFmtId="0" fontId="143" fillId="0" borderId="0" xfId="0" applyFont="1"/>
    <xf numFmtId="0" fontId="144" fillId="0" borderId="0" xfId="0" applyFont="1"/>
    <xf numFmtId="0" fontId="145" fillId="0" borderId="0" xfId="0" applyFont="1"/>
    <xf numFmtId="0" fontId="75" fillId="6" borderId="0" xfId="0" applyFont="1" applyFill="1" applyAlignment="1">
      <alignment horizontal="left"/>
    </xf>
    <xf numFmtId="0" fontId="86" fillId="11" borderId="57" xfId="0" applyFont="1" applyFill="1" applyBorder="1" applyAlignment="1">
      <alignment vertical="center"/>
    </xf>
    <xf numFmtId="0" fontId="74" fillId="11" borderId="44" xfId="0" applyFont="1" applyFill="1" applyBorder="1"/>
    <xf numFmtId="0" fontId="81" fillId="11" borderId="44" xfId="0" applyFont="1" applyFill="1" applyBorder="1" applyAlignment="1">
      <alignment horizontal="center" vertical="center"/>
    </xf>
    <xf numFmtId="4" fontId="74" fillId="11" borderId="18" xfId="0" applyNumberFormat="1" applyFont="1" applyFill="1" applyBorder="1" applyAlignment="1">
      <alignment horizontal="center" wrapText="1"/>
    </xf>
    <xf numFmtId="0" fontId="88" fillId="0" borderId="0" xfId="2" applyBorder="1" applyAlignment="1" applyProtection="1"/>
    <xf numFmtId="0" fontId="85" fillId="6" borderId="7" xfId="0" applyFont="1" applyFill="1" applyBorder="1"/>
    <xf numFmtId="0" fontId="136" fillId="0" borderId="0" xfId="0" applyFont="1"/>
    <xf numFmtId="0" fontId="85" fillId="6" borderId="0" xfId="0" applyFont="1" applyFill="1" applyProtection="1">
      <protection hidden="1"/>
    </xf>
    <xf numFmtId="0" fontId="74" fillId="6" borderId="0" xfId="0" applyFont="1" applyFill="1" applyAlignment="1" applyProtection="1">
      <alignment horizontal="center"/>
      <protection hidden="1"/>
    </xf>
    <xf numFmtId="0" fontId="81" fillId="11" borderId="60" xfId="0" applyFont="1" applyFill="1" applyBorder="1" applyAlignment="1">
      <alignment vertical="center"/>
    </xf>
    <xf numFmtId="0" fontId="81" fillId="11" borderId="0" xfId="0" applyFont="1" applyFill="1"/>
    <xf numFmtId="0" fontId="81" fillId="11" borderId="61" xfId="0" applyFont="1" applyFill="1" applyBorder="1"/>
    <xf numFmtId="0" fontId="115" fillId="0" borderId="60" xfId="0" applyFont="1" applyBorder="1" applyAlignment="1">
      <alignment vertical="center"/>
    </xf>
    <xf numFmtId="0" fontId="149" fillId="0" borderId="0" xfId="0" applyFont="1" applyProtection="1">
      <protection hidden="1"/>
    </xf>
    <xf numFmtId="0" fontId="70" fillId="6" borderId="0" xfId="0" applyFont="1" applyFill="1" applyProtection="1">
      <protection hidden="1"/>
    </xf>
    <xf numFmtId="0" fontId="74" fillId="0" borderId="12" xfId="0" applyFont="1" applyBorder="1" applyAlignment="1" applyProtection="1">
      <alignment horizontal="left" vertical="center"/>
      <protection hidden="1"/>
    </xf>
    <xf numFmtId="0" fontId="74" fillId="0" borderId="18" xfId="0" applyFont="1" applyBorder="1" applyAlignment="1" applyProtection="1">
      <alignment horizontal="left" vertical="center"/>
      <protection hidden="1"/>
    </xf>
    <xf numFmtId="0" fontId="74" fillId="0" borderId="13" xfId="0" applyFont="1" applyBorder="1" applyAlignment="1" applyProtection="1">
      <alignment horizontal="left" vertical="center"/>
      <protection hidden="1"/>
    </xf>
    <xf numFmtId="0" fontId="74" fillId="0" borderId="12" xfId="0" applyFont="1" applyBorder="1" applyAlignment="1" applyProtection="1">
      <alignment vertical="center"/>
      <protection hidden="1"/>
    </xf>
    <xf numFmtId="0" fontId="74" fillId="0" borderId="18" xfId="0" applyFont="1" applyBorder="1" applyAlignment="1" applyProtection="1">
      <alignment vertical="center"/>
      <protection hidden="1"/>
    </xf>
    <xf numFmtId="0" fontId="85" fillId="6" borderId="0" xfId="0" applyFont="1" applyFill="1" applyAlignment="1" applyProtection="1">
      <alignment horizontal="left"/>
      <protection hidden="1"/>
    </xf>
    <xf numFmtId="0" fontId="157" fillId="6" borderId="0" xfId="0" applyFont="1" applyFill="1" applyProtection="1">
      <protection hidden="1"/>
    </xf>
    <xf numFmtId="0" fontId="164" fillId="6" borderId="0" xfId="0" applyFont="1" applyFill="1" applyProtection="1">
      <protection hidden="1"/>
    </xf>
    <xf numFmtId="0" fontId="166" fillId="6" borderId="0" xfId="0" applyFont="1" applyFill="1" applyProtection="1">
      <protection hidden="1"/>
    </xf>
    <xf numFmtId="165" fontId="74" fillId="3" borderId="14" xfId="0" applyNumberFormat="1" applyFont="1" applyFill="1" applyBorder="1" applyAlignment="1" applyProtection="1">
      <alignment horizontal="center"/>
      <protection locked="0"/>
    </xf>
    <xf numFmtId="0" fontId="82" fillId="0" borderId="0" xfId="0" applyFont="1" applyAlignment="1" applyProtection="1">
      <alignment horizontal="right"/>
      <protection hidden="1"/>
    </xf>
    <xf numFmtId="0" fontId="82" fillId="0" borderId="0" xfId="0" applyFont="1" applyProtection="1">
      <protection hidden="1"/>
    </xf>
    <xf numFmtId="178" fontId="74" fillId="20" borderId="9" xfId="0" applyNumberFormat="1" applyFont="1" applyFill="1" applyBorder="1" applyAlignment="1">
      <alignment horizontal="center"/>
    </xf>
    <xf numFmtId="165" fontId="74" fillId="20" borderId="9" xfId="0" applyNumberFormat="1" applyFont="1" applyFill="1" applyBorder="1" applyAlignment="1">
      <alignment horizontal="center"/>
    </xf>
    <xf numFmtId="178" fontId="74" fillId="20" borderId="9" xfId="0" applyNumberFormat="1" applyFont="1" applyFill="1" applyBorder="1" applyAlignment="1">
      <alignment horizontal="center" wrapText="1"/>
    </xf>
    <xf numFmtId="178" fontId="80" fillId="20" borderId="15" xfId="0" applyNumberFormat="1" applyFont="1" applyFill="1" applyBorder="1" applyAlignment="1">
      <alignment horizontal="center"/>
    </xf>
    <xf numFmtId="0" fontId="83" fillId="6" borderId="0" xfId="0" applyFont="1" applyFill="1" applyProtection="1">
      <protection hidden="1"/>
    </xf>
    <xf numFmtId="0" fontId="171" fillId="23" borderId="0" xfId="19" applyFill="1" applyAlignment="1">
      <alignment vertical="center" wrapText="1"/>
    </xf>
    <xf numFmtId="0" fontId="81" fillId="0" borderId="14" xfId="19" applyFont="1" applyBorder="1" applyAlignment="1">
      <alignment horizontal="center" vertical="center" wrapText="1"/>
    </xf>
    <xf numFmtId="0" fontId="66" fillId="0" borderId="0" xfId="0" applyFont="1" applyAlignment="1" applyProtection="1">
      <alignment vertical="center"/>
      <protection hidden="1"/>
    </xf>
    <xf numFmtId="0" fontId="74" fillId="6" borderId="4" xfId="0" applyFont="1" applyFill="1" applyBorder="1" applyProtection="1">
      <protection hidden="1"/>
    </xf>
    <xf numFmtId="0" fontId="0" fillId="0" borderId="12" xfId="0" applyBorder="1"/>
    <xf numFmtId="0" fontId="0" fillId="0" borderId="13" xfId="0" applyBorder="1"/>
    <xf numFmtId="0" fontId="65" fillId="0" borderId="0" xfId="0" applyFont="1" applyAlignment="1" applyProtection="1">
      <alignment vertical="center"/>
      <protection hidden="1"/>
    </xf>
    <xf numFmtId="0" fontId="79" fillId="2" borderId="6" xfId="0" applyFont="1" applyFill="1" applyBorder="1" applyProtection="1">
      <protection hidden="1"/>
    </xf>
    <xf numFmtId="0" fontId="79" fillId="2" borderId="7" xfId="0" applyFont="1" applyFill="1" applyBorder="1" applyProtection="1">
      <protection hidden="1"/>
    </xf>
    <xf numFmtId="0" fontId="79" fillId="2" borderId="8" xfId="0" applyFont="1" applyFill="1" applyBorder="1" applyProtection="1">
      <protection hidden="1"/>
    </xf>
    <xf numFmtId="0" fontId="79" fillId="2" borderId="7" xfId="0" applyFont="1" applyFill="1" applyBorder="1" applyAlignment="1" applyProtection="1">
      <alignment horizontal="right"/>
      <protection hidden="1"/>
    </xf>
    <xf numFmtId="14" fontId="79" fillId="2" borderId="7" xfId="0" applyNumberFormat="1" applyFont="1" applyFill="1" applyBorder="1" applyProtection="1">
      <protection hidden="1"/>
    </xf>
    <xf numFmtId="0" fontId="78" fillId="2" borderId="7" xfId="0" applyFont="1" applyFill="1" applyBorder="1" applyProtection="1">
      <protection hidden="1"/>
    </xf>
    <xf numFmtId="0" fontId="79" fillId="2" borderId="7" xfId="0" applyFont="1" applyFill="1" applyBorder="1" applyAlignment="1" applyProtection="1">
      <alignment horizontal="left"/>
      <protection hidden="1"/>
    </xf>
    <xf numFmtId="14" fontId="79" fillId="2" borderId="7" xfId="0" applyNumberFormat="1" applyFont="1" applyFill="1" applyBorder="1" applyAlignment="1" applyProtection="1">
      <alignment horizontal="left"/>
      <protection hidden="1"/>
    </xf>
    <xf numFmtId="14" fontId="86" fillId="11" borderId="61" xfId="0" applyNumberFormat="1" applyFont="1" applyFill="1" applyBorder="1" applyAlignment="1">
      <alignment horizontal="left" vertical="center"/>
    </xf>
    <xf numFmtId="0" fontId="79" fillId="2" borderId="4" xfId="0" applyFont="1" applyFill="1" applyBorder="1" applyProtection="1">
      <protection hidden="1"/>
    </xf>
    <xf numFmtId="0" fontId="79" fillId="2" borderId="0" xfId="0" applyFont="1" applyFill="1" applyProtection="1">
      <protection hidden="1"/>
    </xf>
    <xf numFmtId="0" fontId="79" fillId="2" borderId="5" xfId="0" applyFont="1" applyFill="1" applyBorder="1" applyProtection="1">
      <protection hidden="1"/>
    </xf>
    <xf numFmtId="0" fontId="65" fillId="0" borderId="0" xfId="0" applyFont="1" applyAlignment="1" applyProtection="1">
      <alignment horizontal="center"/>
      <protection hidden="1"/>
    </xf>
    <xf numFmtId="14" fontId="79" fillId="2" borderId="0" xfId="0" applyNumberFormat="1" applyFont="1" applyFill="1" applyAlignment="1" applyProtection="1">
      <alignment horizontal="left"/>
      <protection hidden="1"/>
    </xf>
    <xf numFmtId="0" fontId="79" fillId="2" borderId="0" xfId="0" applyFont="1" applyFill="1" applyAlignment="1" applyProtection="1">
      <alignment horizontal="right"/>
      <protection hidden="1"/>
    </xf>
    <xf numFmtId="0" fontId="113" fillId="2" borderId="4" xfId="0" applyFont="1" applyFill="1" applyBorder="1"/>
    <xf numFmtId="0" fontId="113" fillId="2" borderId="0" xfId="0" applyFont="1" applyFill="1"/>
    <xf numFmtId="0" fontId="113" fillId="2" borderId="5" xfId="0" applyFont="1" applyFill="1" applyBorder="1"/>
    <xf numFmtId="0" fontId="0" fillId="2" borderId="0" xfId="0" applyFill="1" applyAlignment="1">
      <alignment horizontal="right"/>
    </xf>
    <xf numFmtId="14" fontId="0" fillId="2" borderId="0" xfId="0" applyNumberFormat="1" applyFill="1" applyAlignment="1">
      <alignment horizontal="left"/>
    </xf>
    <xf numFmtId="0" fontId="86" fillId="11" borderId="61" xfId="0" applyFont="1" applyFill="1" applyBorder="1" applyAlignment="1">
      <alignment horizontal="left" vertical="top"/>
    </xf>
    <xf numFmtId="0" fontId="81" fillId="11" borderId="61" xfId="0" applyFont="1" applyFill="1" applyBorder="1" applyAlignment="1">
      <alignment horizontal="left" vertical="top"/>
    </xf>
    <xf numFmtId="178" fontId="74" fillId="6" borderId="9" xfId="0" applyNumberFormat="1" applyFont="1" applyFill="1" applyBorder="1" applyAlignment="1">
      <alignment horizontal="center"/>
    </xf>
    <xf numFmtId="0" fontId="81" fillId="0" borderId="0" xfId="0" applyFont="1" applyAlignment="1">
      <alignment horizontal="left"/>
    </xf>
    <xf numFmtId="0" fontId="80" fillId="0" borderId="56" xfId="0" applyFont="1" applyBorder="1" applyAlignment="1">
      <alignment horizontal="right"/>
    </xf>
    <xf numFmtId="0" fontId="74" fillId="0" borderId="61" xfId="0" applyFont="1" applyBorder="1"/>
    <xf numFmtId="0" fontId="74" fillId="0" borderId="62" xfId="0" applyFont="1" applyBorder="1"/>
    <xf numFmtId="0" fontId="80" fillId="0" borderId="56" xfId="0" applyFont="1" applyBorder="1" applyAlignment="1">
      <alignment horizontal="center"/>
    </xf>
    <xf numFmtId="0" fontId="101" fillId="0" borderId="57" xfId="0" applyFont="1" applyBorder="1" applyAlignment="1">
      <alignment vertical="center"/>
    </xf>
    <xf numFmtId="0" fontId="115" fillId="0" borderId="56" xfId="0" applyFont="1" applyBorder="1" applyAlignment="1">
      <alignment vertical="center"/>
    </xf>
    <xf numFmtId="0" fontId="74" fillId="0" borderId="43" xfId="0" applyFont="1" applyBorder="1"/>
    <xf numFmtId="0" fontId="81" fillId="11" borderId="60" xfId="0" applyFont="1" applyFill="1" applyBorder="1" applyAlignment="1">
      <alignment horizontal="left" vertical="center"/>
    </xf>
    <xf numFmtId="0" fontId="74" fillId="0" borderId="44" xfId="0" applyFont="1" applyBorder="1"/>
    <xf numFmtId="10" fontId="74" fillId="0" borderId="58" xfId="0" applyNumberFormat="1" applyFont="1" applyBorder="1" applyAlignment="1">
      <alignment horizontal="center"/>
    </xf>
    <xf numFmtId="0" fontId="150" fillId="0" borderId="0" xfId="0" applyFont="1"/>
    <xf numFmtId="0" fontId="93" fillId="0" borderId="0" xfId="0" applyFont="1"/>
    <xf numFmtId="0" fontId="93" fillId="0" borderId="43" xfId="0" applyFont="1" applyBorder="1"/>
    <xf numFmtId="0" fontId="80" fillId="6" borderId="44" xfId="0" applyFont="1" applyFill="1" applyBorder="1"/>
    <xf numFmtId="10" fontId="80" fillId="0" borderId="58" xfId="4" applyNumberFormat="1" applyFont="1" applyBorder="1" applyAlignment="1" applyProtection="1">
      <alignment horizontal="center"/>
    </xf>
    <xf numFmtId="10" fontId="74" fillId="0" borderId="58" xfId="4" applyNumberFormat="1" applyFont="1" applyBorder="1" applyAlignment="1" applyProtection="1">
      <alignment horizontal="center"/>
    </xf>
    <xf numFmtId="0" fontId="80" fillId="0" borderId="44" xfId="0" applyFont="1" applyBorder="1"/>
    <xf numFmtId="0" fontId="80" fillId="0" borderId="9" xfId="0" applyFont="1" applyBorder="1" applyAlignment="1">
      <alignment horizontal="left"/>
    </xf>
    <xf numFmtId="4" fontId="80" fillId="11" borderId="72" xfId="0" applyNumberFormat="1" applyFont="1" applyFill="1" applyBorder="1" applyAlignment="1">
      <alignment horizontal="left" wrapText="1"/>
    </xf>
    <xf numFmtId="4" fontId="80" fillId="21" borderId="44" xfId="0" applyNumberFormat="1" applyFont="1" applyFill="1" applyBorder="1" applyAlignment="1" applyProtection="1">
      <alignment horizontal="left"/>
      <protection hidden="1"/>
    </xf>
    <xf numFmtId="4" fontId="80" fillId="0" borderId="9" xfId="0" applyNumberFormat="1" applyFont="1" applyBorder="1" applyAlignment="1" applyProtection="1">
      <alignment horizontal="left"/>
      <protection hidden="1"/>
    </xf>
    <xf numFmtId="3" fontId="74" fillId="15" borderId="14" xfId="0" applyNumberFormat="1" applyFont="1" applyFill="1" applyBorder="1" applyAlignment="1" applyProtection="1">
      <alignment horizontal="center"/>
      <protection locked="0"/>
    </xf>
    <xf numFmtId="3" fontId="74" fillId="15" borderId="23" xfId="0" applyNumberFormat="1" applyFont="1" applyFill="1" applyBorder="1" applyAlignment="1" applyProtection="1">
      <alignment horizontal="center"/>
      <protection locked="0"/>
    </xf>
    <xf numFmtId="3" fontId="80" fillId="20" borderId="15" xfId="0" applyNumberFormat="1" applyFont="1" applyFill="1" applyBorder="1" applyAlignment="1">
      <alignment horizontal="center"/>
    </xf>
    <xf numFmtId="0" fontId="64" fillId="0" borderId="0" xfId="0" applyFont="1" applyAlignment="1" applyProtection="1">
      <alignment vertical="center"/>
      <protection hidden="1"/>
    </xf>
    <xf numFmtId="0" fontId="80" fillId="0" borderId="0" xfId="0" applyFont="1" applyAlignment="1">
      <alignment vertical="center"/>
    </xf>
    <xf numFmtId="0" fontId="0" fillId="0" borderId="14" xfId="0" applyBorder="1"/>
    <xf numFmtId="168" fontId="81" fillId="15" borderId="14" xfId="0" applyNumberFormat="1" applyFont="1" applyFill="1" applyBorder="1" applyAlignment="1" applyProtection="1">
      <alignment vertical="center"/>
      <protection locked="0"/>
    </xf>
    <xf numFmtId="0" fontId="0" fillId="0" borderId="24" xfId="0" applyBorder="1"/>
    <xf numFmtId="0" fontId="0" fillId="20" borderId="14" xfId="0" applyFill="1" applyBorder="1"/>
    <xf numFmtId="0" fontId="166" fillId="0" borderId="0" xfId="0" applyFont="1" applyProtection="1">
      <protection hidden="1"/>
    </xf>
    <xf numFmtId="4" fontId="81" fillId="0" borderId="0" xfId="0" applyNumberFormat="1" applyFont="1" applyAlignment="1" applyProtection="1">
      <alignment horizontal="right" indent="1"/>
      <protection hidden="1"/>
    </xf>
    <xf numFmtId="0" fontId="81" fillId="0" borderId="14" xfId="0" applyFont="1" applyBorder="1" applyAlignment="1" applyProtection="1">
      <alignment horizontal="center" vertical="center"/>
      <protection hidden="1"/>
    </xf>
    <xf numFmtId="7" fontId="86" fillId="26" borderId="14" xfId="3" applyNumberFormat="1" applyFont="1" applyFill="1" applyBorder="1" applyAlignment="1" applyProtection="1">
      <alignment horizontal="right" vertical="center"/>
      <protection hidden="1"/>
    </xf>
    <xf numFmtId="165" fontId="86" fillId="26" borderId="15" xfId="0" applyNumberFormat="1" applyFont="1" applyFill="1" applyBorder="1" applyAlignment="1" applyProtection="1">
      <alignment horizontal="right" vertical="center"/>
      <protection hidden="1"/>
    </xf>
    <xf numFmtId="0" fontId="81" fillId="6" borderId="0" xfId="0" applyFont="1" applyFill="1" applyProtection="1">
      <protection hidden="1"/>
    </xf>
    <xf numFmtId="167" fontId="86" fillId="26" borderId="15" xfId="0" applyNumberFormat="1" applyFont="1" applyFill="1" applyBorder="1" applyAlignment="1" applyProtection="1">
      <alignment horizontal="right"/>
      <protection hidden="1"/>
    </xf>
    <xf numFmtId="165" fontId="86" fillId="27" borderId="15" xfId="0" applyNumberFormat="1" applyFont="1" applyFill="1" applyBorder="1" applyAlignment="1" applyProtection="1">
      <alignment horizontal="right" vertical="center"/>
      <protection locked="0"/>
    </xf>
    <xf numFmtId="0" fontId="61" fillId="0" borderId="0" xfId="0" applyFont="1"/>
    <xf numFmtId="0" fontId="101" fillId="0" borderId="56" xfId="0" applyFont="1" applyBorder="1" applyAlignment="1">
      <alignment vertical="center"/>
    </xf>
    <xf numFmtId="0" fontId="81" fillId="11" borderId="56" xfId="0" applyFont="1" applyFill="1" applyBorder="1" applyAlignment="1">
      <alignment vertical="center"/>
    </xf>
    <xf numFmtId="0" fontId="81" fillId="11" borderId="61" xfId="0" applyFont="1" applyFill="1" applyBorder="1" applyAlignment="1">
      <alignment horizontal="left" vertical="center"/>
    </xf>
    <xf numFmtId="0" fontId="80" fillId="0" borderId="10" xfId="0" applyFont="1" applyBorder="1" applyAlignment="1">
      <alignment horizontal="left"/>
    </xf>
    <xf numFmtId="4" fontId="80" fillId="11" borderId="18" xfId="0" applyNumberFormat="1" applyFont="1" applyFill="1" applyBorder="1" applyAlignment="1">
      <alignment horizontal="left" wrapText="1"/>
    </xf>
    <xf numFmtId="4" fontId="80" fillId="21" borderId="0" xfId="0" applyNumberFormat="1" applyFont="1" applyFill="1" applyAlignment="1" applyProtection="1">
      <alignment horizontal="left"/>
      <protection hidden="1"/>
    </xf>
    <xf numFmtId="4" fontId="80" fillId="0" borderId="10" xfId="0" applyNumberFormat="1" applyFont="1" applyBorder="1" applyAlignment="1" applyProtection="1">
      <alignment horizontal="left"/>
      <protection hidden="1"/>
    </xf>
    <xf numFmtId="0" fontId="81" fillId="28" borderId="76" xfId="0" applyFont="1" applyFill="1" applyBorder="1" applyAlignment="1">
      <alignment horizontal="center" vertical="top" wrapText="1"/>
    </xf>
    <xf numFmtId="0" fontId="150" fillId="6" borderId="0" xfId="0" applyFont="1" applyFill="1" applyAlignment="1">
      <alignment horizontal="left"/>
    </xf>
    <xf numFmtId="178" fontId="80" fillId="20" borderId="0" xfId="0" applyNumberFormat="1" applyFont="1" applyFill="1" applyAlignment="1">
      <alignment horizontal="center"/>
    </xf>
    <xf numFmtId="10" fontId="74" fillId="0" borderId="0" xfId="4" applyNumberFormat="1" applyFont="1" applyBorder="1" applyAlignment="1" applyProtection="1">
      <alignment horizontal="center"/>
    </xf>
    <xf numFmtId="178" fontId="67" fillId="20" borderId="0" xfId="0" applyNumberFormat="1" applyFont="1" applyFill="1" applyAlignment="1">
      <alignment horizontal="center"/>
    </xf>
    <xf numFmtId="4" fontId="74" fillId="19" borderId="0" xfId="0" applyNumberFormat="1" applyFont="1" applyFill="1" applyAlignment="1">
      <alignment horizontal="center" wrapText="1"/>
    </xf>
    <xf numFmtId="4" fontId="74" fillId="21" borderId="0" xfId="0" applyNumberFormat="1" applyFont="1" applyFill="1" applyAlignment="1" applyProtection="1">
      <alignment horizontal="center"/>
      <protection hidden="1"/>
    </xf>
    <xf numFmtId="4" fontId="80" fillId="20" borderId="0" xfId="0" applyNumberFormat="1" applyFont="1" applyFill="1" applyAlignment="1" applyProtection="1">
      <alignment horizontal="center"/>
      <protection hidden="1"/>
    </xf>
    <xf numFmtId="0" fontId="88" fillId="20" borderId="0" xfId="2" applyFill="1" applyBorder="1" applyAlignment="1" applyProtection="1">
      <alignment horizontal="center"/>
    </xf>
    <xf numFmtId="0" fontId="74" fillId="15" borderId="0" xfId="0" applyFont="1" applyFill="1"/>
    <xf numFmtId="0" fontId="0" fillId="15" borderId="0" xfId="0" applyFill="1" applyAlignment="1">
      <alignment vertical="center"/>
    </xf>
    <xf numFmtId="0" fontId="0" fillId="15" borderId="0" xfId="0" applyFill="1" applyAlignment="1">
      <alignment horizontal="left" vertical="center"/>
    </xf>
    <xf numFmtId="0" fontId="81" fillId="15" borderId="0" xfId="0" applyFont="1" applyFill="1" applyAlignment="1">
      <alignment horizontal="center" vertical="center" wrapText="1"/>
    </xf>
    <xf numFmtId="0" fontId="74" fillId="0" borderId="56" xfId="0" applyFont="1" applyBorder="1" applyAlignment="1">
      <alignment horizontal="center"/>
    </xf>
    <xf numFmtId="0" fontId="60" fillId="20" borderId="81" xfId="0" applyFont="1" applyFill="1" applyBorder="1" applyAlignment="1">
      <alignment horizontal="center"/>
    </xf>
    <xf numFmtId="4" fontId="80" fillId="20" borderId="53" xfId="0" applyNumberFormat="1" applyFont="1" applyFill="1" applyBorder="1" applyAlignment="1" applyProtection="1">
      <alignment horizontal="left"/>
      <protection hidden="1"/>
    </xf>
    <xf numFmtId="4" fontId="80" fillId="20" borderId="55" xfId="0" applyNumberFormat="1" applyFont="1" applyFill="1" applyBorder="1" applyAlignment="1" applyProtection="1">
      <alignment horizontal="left"/>
      <protection hidden="1"/>
    </xf>
    <xf numFmtId="184" fontId="101" fillId="6" borderId="0" xfId="0" applyNumberFormat="1" applyFont="1" applyFill="1" applyAlignment="1">
      <alignment horizontal="center"/>
    </xf>
    <xf numFmtId="4" fontId="85" fillId="20" borderId="14" xfId="0" applyNumberFormat="1" applyFont="1" applyFill="1" applyBorder="1" applyAlignment="1">
      <alignment horizontal="center"/>
    </xf>
    <xf numFmtId="4" fontId="91" fillId="20" borderId="14" xfId="0" applyNumberFormat="1" applyFont="1" applyFill="1" applyBorder="1" applyAlignment="1">
      <alignment horizontal="center"/>
    </xf>
    <xf numFmtId="4" fontId="60" fillId="20" borderId="0" xfId="0" applyNumberFormat="1" applyFont="1" applyFill="1" applyAlignment="1">
      <alignment horizontal="center"/>
    </xf>
    <xf numFmtId="0" fontId="74" fillId="0" borderId="0" xfId="0" applyFont="1" applyAlignment="1">
      <alignment horizontal="center"/>
    </xf>
    <xf numFmtId="0" fontId="81" fillId="6" borderId="44" xfId="0" applyFont="1" applyFill="1" applyBorder="1" applyAlignment="1">
      <alignment horizontal="left" wrapText="1"/>
    </xf>
    <xf numFmtId="0" fontId="193" fillId="30" borderId="48" xfId="0" applyFont="1" applyFill="1" applyBorder="1" applyAlignment="1">
      <alignment horizontal="left" wrapText="1"/>
    </xf>
    <xf numFmtId="0" fontId="113" fillId="20" borderId="0" xfId="0" applyFont="1" applyFill="1" applyAlignment="1">
      <alignment horizontal="center"/>
    </xf>
    <xf numFmtId="0" fontId="74" fillId="20" borderId="0" xfId="0" applyFont="1" applyFill="1"/>
    <xf numFmtId="0" fontId="195" fillId="20" borderId="0" xfId="0" applyFont="1" applyFill="1" applyAlignment="1">
      <alignment horizontal="left"/>
    </xf>
    <xf numFmtId="4" fontId="74" fillId="20" borderId="0" xfId="0" applyNumberFormat="1" applyFont="1" applyFill="1" applyAlignment="1">
      <alignment horizontal="center"/>
    </xf>
    <xf numFmtId="10" fontId="74" fillId="20" borderId="0" xfId="0" applyNumberFormat="1" applyFont="1" applyFill="1" applyAlignment="1">
      <alignment horizontal="center"/>
    </xf>
    <xf numFmtId="0" fontId="93" fillId="20" borderId="0" xfId="0" applyFont="1" applyFill="1"/>
    <xf numFmtId="10" fontId="80" fillId="20" borderId="0" xfId="4" applyNumberFormat="1" applyFont="1" applyFill="1" applyBorder="1" applyAlignment="1" applyProtection="1">
      <alignment horizontal="center"/>
    </xf>
    <xf numFmtId="0" fontId="150" fillId="20" borderId="0" xfId="0" applyFont="1" applyFill="1" applyAlignment="1">
      <alignment horizontal="left"/>
    </xf>
    <xf numFmtId="10" fontId="74" fillId="20" borderId="0" xfId="4" applyNumberFormat="1" applyFont="1" applyFill="1" applyBorder="1" applyAlignment="1" applyProtection="1">
      <alignment horizontal="center"/>
    </xf>
    <xf numFmtId="4" fontId="74" fillId="20" borderId="0" xfId="0" applyNumberFormat="1" applyFont="1" applyFill="1" applyAlignment="1">
      <alignment horizontal="center" wrapText="1"/>
    </xf>
    <xf numFmtId="4" fontId="74" fillId="20" borderId="0" xfId="0" applyNumberFormat="1" applyFont="1" applyFill="1" applyAlignment="1" applyProtection="1">
      <alignment horizontal="center"/>
      <protection hidden="1"/>
    </xf>
    <xf numFmtId="4" fontId="59" fillId="20" borderId="0" xfId="0" applyNumberFormat="1" applyFont="1" applyFill="1"/>
    <xf numFmtId="178" fontId="59" fillId="20" borderId="9" xfId="0" applyNumberFormat="1" applyFont="1" applyFill="1" applyBorder="1" applyAlignment="1">
      <alignment horizontal="center"/>
    </xf>
    <xf numFmtId="0" fontId="0" fillId="6" borderId="0" xfId="0" applyFill="1"/>
    <xf numFmtId="49" fontId="74" fillId="20" borderId="13" xfId="0" applyNumberFormat="1" applyFont="1" applyFill="1" applyBorder="1" applyAlignment="1" applyProtection="1">
      <alignment horizontal="center"/>
      <protection locked="0"/>
    </xf>
    <xf numFmtId="1" fontId="81" fillId="11" borderId="0" xfId="0" applyNumberFormat="1" applyFont="1" applyFill="1" applyAlignment="1">
      <alignment vertical="center"/>
    </xf>
    <xf numFmtId="1" fontId="81" fillId="11" borderId="61" xfId="0" applyNumberFormat="1" applyFont="1" applyFill="1" applyBorder="1" applyAlignment="1">
      <alignment vertical="center"/>
    </xf>
    <xf numFmtId="0" fontId="81" fillId="11" borderId="61" xfId="0" applyFont="1" applyFill="1" applyBorder="1" applyAlignment="1">
      <alignment horizontal="right"/>
    </xf>
    <xf numFmtId="0" fontId="79" fillId="11" borderId="0" xfId="5" applyFont="1" applyFill="1" applyBorder="1" applyAlignment="1" applyProtection="1">
      <protection hidden="1"/>
    </xf>
    <xf numFmtId="14" fontId="79" fillId="11" borderId="0" xfId="5" applyNumberFormat="1" applyFont="1" applyFill="1" applyBorder="1" applyProtection="1">
      <protection hidden="1"/>
    </xf>
    <xf numFmtId="0" fontId="74" fillId="11" borderId="43" xfId="0" applyFont="1" applyFill="1" applyBorder="1" applyProtection="1">
      <protection hidden="1"/>
    </xf>
    <xf numFmtId="0" fontId="74" fillId="15" borderId="0" xfId="0" applyFont="1" applyFill="1" applyProtection="1">
      <protection hidden="1"/>
    </xf>
    <xf numFmtId="2" fontId="74" fillId="15" borderId="0" xfId="0" applyNumberFormat="1" applyFont="1" applyFill="1" applyProtection="1">
      <protection hidden="1"/>
    </xf>
    <xf numFmtId="0" fontId="83" fillId="12" borderId="0" xfId="0" applyFont="1" applyFill="1" applyProtection="1">
      <protection hidden="1"/>
    </xf>
    <xf numFmtId="0" fontId="83" fillId="34" borderId="0" xfId="0" applyFont="1" applyFill="1" applyProtection="1">
      <protection hidden="1"/>
    </xf>
    <xf numFmtId="165" fontId="80" fillId="35" borderId="9" xfId="3" applyNumberFormat="1" applyFont="1" applyFill="1" applyBorder="1" applyAlignment="1" applyProtection="1">
      <alignment horizontal="center" vertical="center"/>
    </xf>
    <xf numFmtId="0" fontId="80" fillId="35" borderId="15" xfId="0" applyFont="1" applyFill="1" applyBorder="1" applyAlignment="1">
      <alignment horizontal="left" wrapText="1"/>
    </xf>
    <xf numFmtId="0" fontId="197" fillId="0" borderId="8" xfId="0" applyFont="1" applyBorder="1" applyAlignment="1" applyProtection="1">
      <alignment horizontal="right"/>
      <protection hidden="1"/>
    </xf>
    <xf numFmtId="0" fontId="0" fillId="34" borderId="5" xfId="0" applyFill="1" applyBorder="1" applyProtection="1">
      <protection hidden="1"/>
    </xf>
    <xf numFmtId="0" fontId="156" fillId="0" borderId="0" xfId="0" applyFont="1"/>
    <xf numFmtId="0" fontId="91" fillId="0" borderId="0" xfId="0" applyFont="1"/>
    <xf numFmtId="14" fontId="181" fillId="0" borderId="0" xfId="0" applyNumberFormat="1" applyFont="1"/>
    <xf numFmtId="0" fontId="168" fillId="0" borderId="0" xfId="0" applyFont="1"/>
    <xf numFmtId="0" fontId="179" fillId="0" borderId="0" xfId="0" applyFont="1"/>
    <xf numFmtId="14" fontId="79" fillId="0" borderId="0" xfId="0" applyNumberFormat="1" applyFont="1"/>
    <xf numFmtId="14" fontId="184" fillId="0" borderId="0" xfId="0" applyNumberFormat="1" applyFont="1"/>
    <xf numFmtId="14" fontId="176" fillId="0" borderId="0" xfId="0" applyNumberFormat="1" applyFont="1"/>
    <xf numFmtId="14" fontId="186" fillId="0" borderId="0" xfId="0" applyNumberFormat="1" applyFont="1"/>
    <xf numFmtId="14" fontId="91" fillId="0" borderId="0" xfId="0" applyNumberFormat="1" applyFont="1"/>
    <xf numFmtId="14" fontId="189" fillId="0" borderId="0" xfId="0" applyNumberFormat="1" applyFont="1" applyProtection="1">
      <protection hidden="1"/>
    </xf>
    <xf numFmtId="0" fontId="149" fillId="0" borderId="0" xfId="0" applyFont="1"/>
    <xf numFmtId="0" fontId="129" fillId="0" borderId="0" xfId="0" applyFont="1"/>
    <xf numFmtId="0" fontId="175" fillId="0" borderId="0" xfId="0" applyFont="1"/>
    <xf numFmtId="0" fontId="140" fillId="0" borderId="0" xfId="0" applyFont="1" applyProtection="1">
      <protection hidden="1"/>
    </xf>
    <xf numFmtId="2" fontId="138" fillId="0" borderId="0" xfId="0" applyNumberFormat="1" applyFont="1" applyProtection="1">
      <protection hidden="1"/>
    </xf>
    <xf numFmtId="2" fontId="0" fillId="0" borderId="0" xfId="0" applyNumberFormat="1" applyProtection="1">
      <protection hidden="1"/>
    </xf>
    <xf numFmtId="0" fontId="174" fillId="0" borderId="0" xfId="0" applyFont="1" applyProtection="1">
      <protection hidden="1"/>
    </xf>
    <xf numFmtId="0" fontId="168" fillId="0" borderId="0" xfId="0" applyFont="1" applyAlignment="1" applyProtection="1">
      <alignment vertical="center"/>
      <protection hidden="1"/>
    </xf>
    <xf numFmtId="0" fontId="175" fillId="0" borderId="0" xfId="0" applyFont="1" applyProtection="1">
      <protection hidden="1"/>
    </xf>
    <xf numFmtId="14" fontId="156" fillId="0" borderId="0" xfId="0" applyNumberFormat="1" applyFont="1" applyAlignment="1">
      <alignment horizontal="left"/>
    </xf>
    <xf numFmtId="14" fontId="187" fillId="0" borderId="0" xfId="0" applyNumberFormat="1" applyFont="1" applyProtection="1">
      <protection hidden="1"/>
    </xf>
    <xf numFmtId="14" fontId="168" fillId="0" borderId="0" xfId="0" applyNumberFormat="1" applyFont="1" applyAlignment="1">
      <alignment horizontal="left"/>
    </xf>
    <xf numFmtId="0" fontId="90" fillId="0" borderId="0" xfId="0" applyFont="1" applyProtection="1">
      <protection hidden="1"/>
    </xf>
    <xf numFmtId="14" fontId="174" fillId="0" borderId="0" xfId="0" applyNumberFormat="1" applyFont="1" applyProtection="1">
      <protection hidden="1"/>
    </xf>
    <xf numFmtId="0" fontId="148" fillId="0" borderId="0" xfId="0" applyFont="1" applyAlignment="1" applyProtection="1">
      <alignment vertical="center"/>
      <protection hidden="1"/>
    </xf>
    <xf numFmtId="0" fontId="148" fillId="0" borderId="0" xfId="0" applyFont="1" applyProtection="1">
      <protection hidden="1"/>
    </xf>
    <xf numFmtId="0" fontId="98" fillId="0" borderId="0" xfId="0" applyFont="1" applyProtection="1">
      <protection hidden="1"/>
    </xf>
    <xf numFmtId="0" fontId="137" fillId="0" borderId="0" xfId="0" applyFont="1" applyProtection="1">
      <protection hidden="1"/>
    </xf>
    <xf numFmtId="0" fontId="128" fillId="0" borderId="0" xfId="0" applyFont="1" applyProtection="1">
      <protection hidden="1"/>
    </xf>
    <xf numFmtId="0" fontId="97" fillId="0" borderId="0" xfId="0" applyFont="1" applyAlignment="1" applyProtection="1">
      <alignment vertical="center"/>
      <protection hidden="1"/>
    </xf>
    <xf numFmtId="0" fontId="126" fillId="0" borderId="0" xfId="0" applyFont="1" applyAlignment="1" applyProtection="1">
      <alignment vertical="center"/>
      <protection hidden="1"/>
    </xf>
    <xf numFmtId="0" fontId="97" fillId="0" borderId="0" xfId="0" applyFont="1" applyAlignment="1" applyProtection="1">
      <alignment horizontal="left"/>
      <protection hidden="1"/>
    </xf>
    <xf numFmtId="0" fontId="128" fillId="0" borderId="0" xfId="0" applyFont="1" applyAlignment="1" applyProtection="1">
      <alignment vertical="center"/>
      <protection hidden="1"/>
    </xf>
    <xf numFmtId="0" fontId="126" fillId="0" borderId="0" xfId="0" applyFont="1" applyProtection="1">
      <protection hidden="1"/>
    </xf>
    <xf numFmtId="14" fontId="148" fillId="0" borderId="0" xfId="0" applyNumberFormat="1" applyFont="1"/>
    <xf numFmtId="14" fontId="128" fillId="0" borderId="0" xfId="0" applyNumberFormat="1" applyFont="1"/>
    <xf numFmtId="0" fontId="146" fillId="0" borderId="0" xfId="0" applyFont="1"/>
    <xf numFmtId="14" fontId="182" fillId="0" borderId="0" xfId="0" applyNumberFormat="1" applyFont="1"/>
    <xf numFmtId="14" fontId="74" fillId="0" borderId="0" xfId="0" applyNumberFormat="1" applyFont="1"/>
    <xf numFmtId="14" fontId="174" fillId="0" borderId="0" xfId="0" applyNumberFormat="1" applyFont="1"/>
    <xf numFmtId="0" fontId="126" fillId="0" borderId="0" xfId="0" applyFont="1"/>
    <xf numFmtId="9" fontId="148" fillId="0" borderId="0" xfId="4" applyFont="1" applyFill="1"/>
    <xf numFmtId="0" fontId="148" fillId="0" borderId="0" xfId="0" applyFont="1"/>
    <xf numFmtId="0" fontId="174" fillId="0" borderId="0" xfId="0" applyFont="1"/>
    <xf numFmtId="1" fontId="74" fillId="0" borderId="0" xfId="4" applyNumberFormat="1" applyFont="1" applyFill="1"/>
    <xf numFmtId="9" fontId="91" fillId="0" borderId="0" xfId="4" applyFont="1" applyFill="1"/>
    <xf numFmtId="0" fontId="97" fillId="0" borderId="0" xfId="0" applyFont="1"/>
    <xf numFmtId="0" fontId="128" fillId="0" borderId="0" xfId="0" applyFont="1"/>
    <xf numFmtId="9" fontId="74" fillId="0" borderId="0" xfId="4" applyFont="1" applyFill="1"/>
    <xf numFmtId="0" fontId="182" fillId="0" borderId="0" xfId="0" applyFont="1"/>
    <xf numFmtId="0" fontId="62" fillId="0" borderId="0" xfId="0" applyFont="1"/>
    <xf numFmtId="0" fontId="148" fillId="0" borderId="0" xfId="0" applyFont="1" applyAlignment="1">
      <alignment horizontal="left"/>
    </xf>
    <xf numFmtId="14" fontId="148" fillId="0" borderId="0" xfId="0" applyNumberFormat="1" applyFont="1" applyAlignment="1">
      <alignment horizontal="left"/>
    </xf>
    <xf numFmtId="14" fontId="175" fillId="0" borderId="0" xfId="0" applyNumberFormat="1" applyFont="1"/>
    <xf numFmtId="0" fontId="125" fillId="0" borderId="0" xfId="0" applyFont="1" applyProtection="1">
      <protection hidden="1"/>
    </xf>
    <xf numFmtId="0" fontId="89" fillId="0" borderId="0" xfId="0" applyFont="1" applyProtection="1">
      <protection hidden="1"/>
    </xf>
    <xf numFmtId="0" fontId="0" fillId="0" borderId="0" xfId="0" applyAlignment="1" applyProtection="1">
      <alignment horizontal="center" vertical="center"/>
      <protection hidden="1"/>
    </xf>
    <xf numFmtId="0" fontId="99" fillId="0" borderId="0" xfId="0" applyFont="1" applyAlignment="1" applyProtection="1">
      <alignment vertical="center"/>
      <protection hidden="1"/>
    </xf>
    <xf numFmtId="0" fontId="95" fillId="0" borderId="0" xfId="0" applyFont="1" applyProtection="1">
      <protection hidden="1"/>
    </xf>
    <xf numFmtId="14" fontId="175" fillId="0" borderId="0" xfId="0" applyNumberFormat="1" applyFont="1" applyAlignment="1">
      <alignment horizontal="left"/>
    </xf>
    <xf numFmtId="14" fontId="175" fillId="0" borderId="0" xfId="0" applyNumberFormat="1" applyFont="1" applyAlignment="1" applyProtection="1">
      <alignment horizontal="left"/>
      <protection hidden="1"/>
    </xf>
    <xf numFmtId="0" fontId="116" fillId="0" borderId="0" xfId="0" applyFont="1"/>
    <xf numFmtId="0" fontId="90" fillId="0" borderId="0" xfId="0" applyFont="1"/>
    <xf numFmtId="0" fontId="75" fillId="0" borderId="0" xfId="0" applyFont="1" applyAlignment="1">
      <alignment horizontal="left"/>
    </xf>
    <xf numFmtId="0" fontId="147" fillId="0" borderId="0" xfId="2" applyFont="1" applyFill="1" applyAlignment="1" applyProtection="1"/>
    <xf numFmtId="0" fontId="156" fillId="0" borderId="0" xfId="0" applyFont="1" applyProtection="1">
      <protection hidden="1"/>
    </xf>
    <xf numFmtId="14" fontId="180" fillId="0" borderId="0" xfId="0" applyNumberFormat="1" applyFont="1" applyProtection="1">
      <protection hidden="1"/>
    </xf>
    <xf numFmtId="14" fontId="184" fillId="0" borderId="0" xfId="0" applyNumberFormat="1" applyFont="1" applyProtection="1">
      <protection hidden="1"/>
    </xf>
    <xf numFmtId="14" fontId="97" fillId="0" borderId="0" xfId="0" applyNumberFormat="1" applyFont="1" applyProtection="1">
      <protection hidden="1"/>
    </xf>
    <xf numFmtId="0" fontId="179" fillId="0" borderId="0" xfId="0" applyFont="1" applyProtection="1">
      <protection hidden="1"/>
    </xf>
    <xf numFmtId="0" fontId="185" fillId="0" borderId="0" xfId="0" applyFont="1" applyProtection="1">
      <protection hidden="1"/>
    </xf>
    <xf numFmtId="0" fontId="107" fillId="0" borderId="0" xfId="0" applyFont="1" applyProtection="1">
      <protection hidden="1"/>
    </xf>
    <xf numFmtId="2" fontId="85" fillId="12" borderId="0" xfId="0" applyNumberFormat="1" applyFont="1" applyFill="1" applyAlignment="1" applyProtection="1">
      <alignment horizontal="right"/>
      <protection hidden="1"/>
    </xf>
    <xf numFmtId="0" fontId="68" fillId="7" borderId="48" xfId="0" applyFont="1" applyFill="1" applyBorder="1" applyAlignment="1">
      <alignment horizontal="center"/>
    </xf>
    <xf numFmtId="0" fontId="56" fillId="2" borderId="13" xfId="0" applyFont="1" applyFill="1" applyBorder="1" applyAlignment="1" applyProtection="1">
      <alignment horizontal="center"/>
      <protection hidden="1"/>
    </xf>
    <xf numFmtId="0" fontId="56" fillId="2" borderId="18" xfId="0" applyFont="1" applyFill="1" applyBorder="1" applyAlignment="1" applyProtection="1">
      <alignment horizontal="center"/>
      <protection hidden="1"/>
    </xf>
    <xf numFmtId="2" fontId="74" fillId="0" borderId="19" xfId="0" applyNumberFormat="1" applyFont="1" applyBorder="1" applyAlignment="1">
      <alignment horizontal="center"/>
    </xf>
    <xf numFmtId="10" fontId="74" fillId="26" borderId="77" xfId="4" applyNumberFormat="1" applyFont="1" applyFill="1" applyBorder="1" applyAlignment="1" applyProtection="1">
      <alignment horizontal="center"/>
    </xf>
    <xf numFmtId="165" fontId="60" fillId="6" borderId="14" xfId="3" applyNumberFormat="1" applyFont="1" applyFill="1" applyBorder="1" applyAlignment="1" applyProtection="1">
      <alignment horizontal="center" vertical="center"/>
    </xf>
    <xf numFmtId="4" fontId="59" fillId="26" borderId="82" xfId="0" applyNumberFormat="1" applyFont="1" applyFill="1" applyBorder="1" applyAlignment="1">
      <alignment horizontal="left"/>
    </xf>
    <xf numFmtId="4" fontId="80" fillId="35" borderId="15" xfId="0" applyNumberFormat="1" applyFont="1" applyFill="1" applyBorder="1" applyAlignment="1">
      <alignment horizontal="left" wrapText="1"/>
    </xf>
    <xf numFmtId="4" fontId="86" fillId="26" borderId="48" xfId="0" applyNumberFormat="1" applyFont="1" applyFill="1" applyBorder="1" applyAlignment="1">
      <alignment horizontal="left" wrapText="1"/>
    </xf>
    <xf numFmtId="4" fontId="60" fillId="26" borderId="82" xfId="0" applyNumberFormat="1" applyFont="1" applyFill="1" applyBorder="1" applyAlignment="1">
      <alignment horizontal="left"/>
    </xf>
    <xf numFmtId="4" fontId="80" fillId="26" borderId="15" xfId="0" applyNumberFormat="1" applyFont="1" applyFill="1" applyBorder="1" applyAlignment="1">
      <alignment horizontal="left" wrapText="1"/>
    </xf>
    <xf numFmtId="185" fontId="193" fillId="30" borderId="14" xfId="3" applyNumberFormat="1" applyFont="1" applyFill="1" applyBorder="1" applyAlignment="1" applyProtection="1">
      <alignment horizontal="center" vertical="center"/>
    </xf>
    <xf numFmtId="0" fontId="55" fillId="0" borderId="0" xfId="0" applyFont="1"/>
    <xf numFmtId="14" fontId="86" fillId="3" borderId="14" xfId="0" applyNumberFormat="1" applyFont="1" applyFill="1" applyBorder="1" applyAlignment="1" applyProtection="1">
      <alignment horizontal="center" vertical="center"/>
      <protection locked="0"/>
    </xf>
    <xf numFmtId="0" fontId="188" fillId="0" borderId="0" xfId="0" applyFont="1" applyAlignment="1" applyProtection="1">
      <alignment horizontal="left" vertical="center"/>
      <protection hidden="1"/>
    </xf>
    <xf numFmtId="0" fontId="190" fillId="15" borderId="0" xfId="0" applyFont="1" applyFill="1" applyAlignment="1">
      <alignment horizontal="center" vertical="center" wrapText="1"/>
    </xf>
    <xf numFmtId="0" fontId="54" fillId="0" borderId="12" xfId="0" applyFont="1" applyBorder="1" applyProtection="1">
      <protection hidden="1"/>
    </xf>
    <xf numFmtId="0" fontId="87" fillId="6" borderId="0" xfId="0" applyFont="1" applyFill="1" applyProtection="1">
      <protection hidden="1"/>
    </xf>
    <xf numFmtId="0" fontId="0" fillId="0" borderId="31" xfId="0" applyBorder="1"/>
    <xf numFmtId="0" fontId="54" fillId="20" borderId="12" xfId="0" applyFont="1" applyFill="1" applyBorder="1" applyAlignment="1">
      <alignment wrapText="1"/>
    </xf>
    <xf numFmtId="0" fontId="80" fillId="20" borderId="14" xfId="0" applyFont="1" applyFill="1" applyBorder="1" applyAlignment="1">
      <alignment wrapText="1"/>
    </xf>
    <xf numFmtId="0" fontId="77" fillId="0" borderId="14" xfId="0" applyFont="1" applyBorder="1"/>
    <xf numFmtId="0" fontId="77" fillId="0" borderId="33" xfId="0" applyFont="1" applyBorder="1"/>
    <xf numFmtId="0" fontId="141" fillId="0" borderId="31" xfId="0" applyFont="1" applyBorder="1" applyAlignment="1">
      <alignment wrapText="1"/>
    </xf>
    <xf numFmtId="0" fontId="74" fillId="37" borderId="57" xfId="0" applyFont="1" applyFill="1" applyBorder="1"/>
    <xf numFmtId="0" fontId="74" fillId="37" borderId="56" xfId="0" applyFont="1" applyFill="1" applyBorder="1"/>
    <xf numFmtId="0" fontId="74" fillId="37" borderId="58" xfId="0" applyFont="1" applyFill="1" applyBorder="1"/>
    <xf numFmtId="0" fontId="74" fillId="37" borderId="0" xfId="0" applyFont="1" applyFill="1"/>
    <xf numFmtId="0" fontId="74" fillId="37" borderId="43" xfId="0" applyFont="1" applyFill="1" applyBorder="1"/>
    <xf numFmtId="0" fontId="74" fillId="37" borderId="44" xfId="0" applyFont="1" applyFill="1" applyBorder="1"/>
    <xf numFmtId="0" fontId="54" fillId="37" borderId="0" xfId="0" applyFont="1" applyFill="1"/>
    <xf numFmtId="0" fontId="74" fillId="37" borderId="60" xfId="0" applyFont="1" applyFill="1" applyBorder="1"/>
    <xf numFmtId="0" fontId="74" fillId="37" borderId="61" xfId="0" applyFont="1" applyFill="1" applyBorder="1"/>
    <xf numFmtId="0" fontId="74" fillId="37" borderId="62" xfId="0" applyFont="1" applyFill="1" applyBorder="1"/>
    <xf numFmtId="0" fontId="74" fillId="6" borderId="23" xfId="0" applyFont="1" applyFill="1" applyBorder="1"/>
    <xf numFmtId="0" fontId="74" fillId="6" borderId="19" xfId="0" applyFont="1" applyFill="1" applyBorder="1"/>
    <xf numFmtId="4" fontId="74" fillId="20" borderId="14" xfId="0" applyNumberFormat="1" applyFont="1" applyFill="1" applyBorder="1"/>
    <xf numFmtId="178" fontId="54" fillId="20" borderId="9" xfId="0" applyNumberFormat="1" applyFont="1" applyFill="1" applyBorder="1" applyAlignment="1">
      <alignment horizontal="center"/>
    </xf>
    <xf numFmtId="0" fontId="68" fillId="7" borderId="82" xfId="0" applyFont="1" applyFill="1" applyBorder="1" applyAlignment="1">
      <alignment horizontal="center"/>
    </xf>
    <xf numFmtId="4" fontId="74" fillId="20" borderId="23" xfId="0" applyNumberFormat="1" applyFont="1" applyFill="1" applyBorder="1"/>
    <xf numFmtId="178" fontId="54" fillId="20" borderId="15" xfId="0" applyNumberFormat="1" applyFont="1" applyFill="1" applyBorder="1" applyAlignment="1">
      <alignment horizontal="center"/>
    </xf>
    <xf numFmtId="44" fontId="54" fillId="20" borderId="15" xfId="3" applyFont="1" applyFill="1" applyBorder="1"/>
    <xf numFmtId="0" fontId="74" fillId="0" borderId="10" xfId="0" applyFont="1" applyBorder="1"/>
    <xf numFmtId="0" fontId="80" fillId="0" borderId="0" xfId="0" applyFont="1" applyAlignment="1">
      <alignment horizontal="center"/>
    </xf>
    <xf numFmtId="0" fontId="80" fillId="20" borderId="49" xfId="0" applyFont="1" applyFill="1" applyBorder="1" applyAlignment="1">
      <alignment horizontal="center" wrapText="1"/>
    </xf>
    <xf numFmtId="0" fontId="77" fillId="0" borderId="91" xfId="0" applyFont="1" applyBorder="1"/>
    <xf numFmtId="0" fontId="0" fillId="0" borderId="44" xfId="0" applyBorder="1"/>
    <xf numFmtId="0" fontId="0" fillId="0" borderId="43" xfId="0" applyBorder="1"/>
    <xf numFmtId="0" fontId="0" fillId="0" borderId="60" xfId="0" applyBorder="1"/>
    <xf numFmtId="0" fontId="0" fillId="0" borderId="61" xfId="0" applyBorder="1"/>
    <xf numFmtId="0" fontId="0" fillId="0" borderId="62" xfId="0" applyBorder="1"/>
    <xf numFmtId="0" fontId="0" fillId="7" borderId="48" xfId="0" applyFill="1" applyBorder="1"/>
    <xf numFmtId="0" fontId="0" fillId="7" borderId="93" xfId="0" applyFill="1" applyBorder="1" applyAlignment="1">
      <alignment wrapText="1"/>
    </xf>
    <xf numFmtId="0" fontId="80" fillId="20" borderId="44" xfId="0" applyFont="1" applyFill="1" applyBorder="1" applyAlignment="1">
      <alignment horizontal="center" wrapText="1"/>
    </xf>
    <xf numFmtId="1" fontId="0" fillId="0" borderId="48" xfId="0" applyNumberFormat="1" applyBorder="1"/>
    <xf numFmtId="0" fontId="0" fillId="0" borderId="93" xfId="0" applyBorder="1"/>
    <xf numFmtId="10" fontId="74" fillId="0" borderId="43" xfId="4" applyNumberFormat="1" applyFont="1" applyBorder="1" applyAlignment="1" applyProtection="1">
      <alignment horizontal="center"/>
    </xf>
    <xf numFmtId="0" fontId="86" fillId="7" borderId="0" xfId="0" applyFont="1" applyFill="1"/>
    <xf numFmtId="0" fontId="131" fillId="7" borderId="0" xfId="0" applyFont="1" applyFill="1" applyAlignment="1">
      <alignment horizontal="left"/>
    </xf>
    <xf numFmtId="4" fontId="81" fillId="7" borderId="0" xfId="0" applyNumberFormat="1" applyFont="1" applyFill="1" applyAlignment="1">
      <alignment horizontal="center"/>
    </xf>
    <xf numFmtId="4" fontId="86" fillId="7" borderId="0" xfId="0" applyNumberFormat="1" applyFont="1" applyFill="1" applyAlignment="1">
      <alignment horizontal="center"/>
    </xf>
    <xf numFmtId="178" fontId="81" fillId="7" borderId="0" xfId="0" applyNumberFormat="1" applyFont="1" applyFill="1" applyAlignment="1">
      <alignment horizontal="center"/>
    </xf>
    <xf numFmtId="10" fontId="86" fillId="7" borderId="0" xfId="0" applyNumberFormat="1" applyFont="1" applyFill="1" applyAlignment="1">
      <alignment horizontal="center"/>
    </xf>
    <xf numFmtId="0" fontId="81" fillId="7" borderId="0" xfId="0" applyFont="1" applyFill="1"/>
    <xf numFmtId="10" fontId="81" fillId="7" borderId="0" xfId="4" applyNumberFormat="1" applyFont="1" applyFill="1" applyBorder="1" applyAlignment="1" applyProtection="1">
      <alignment horizontal="center"/>
    </xf>
    <xf numFmtId="10" fontId="86" fillId="7" borderId="0" xfId="4" applyNumberFormat="1" applyFont="1" applyFill="1" applyBorder="1" applyAlignment="1" applyProtection="1">
      <alignment horizontal="center"/>
    </xf>
    <xf numFmtId="178" fontId="86" fillId="7" borderId="0" xfId="0" applyNumberFormat="1" applyFont="1" applyFill="1" applyAlignment="1">
      <alignment horizontal="center"/>
    </xf>
    <xf numFmtId="4" fontId="86" fillId="7" borderId="0" xfId="0" applyNumberFormat="1" applyFont="1" applyFill="1" applyAlignment="1">
      <alignment horizontal="center" wrapText="1"/>
    </xf>
    <xf numFmtId="4" fontId="86" fillId="7" borderId="0" xfId="0" applyNumberFormat="1" applyFont="1" applyFill="1" applyAlignment="1" applyProtection="1">
      <alignment horizontal="center"/>
      <protection hidden="1"/>
    </xf>
    <xf numFmtId="4" fontId="81" fillId="7" borderId="0" xfId="0" applyNumberFormat="1" applyFont="1" applyFill="1" applyAlignment="1" applyProtection="1">
      <alignment horizontal="center"/>
      <protection hidden="1"/>
    </xf>
    <xf numFmtId="0" fontId="74" fillId="7" borderId="0" xfId="0" applyFont="1" applyFill="1"/>
    <xf numFmtId="4" fontId="80" fillId="7" borderId="0" xfId="0" applyNumberFormat="1" applyFont="1" applyFill="1" applyAlignment="1">
      <alignment horizontal="center"/>
    </xf>
    <xf numFmtId="4" fontId="74" fillId="7" borderId="0" xfId="0" applyNumberFormat="1" applyFont="1" applyFill="1" applyAlignment="1">
      <alignment horizontal="center"/>
    </xf>
    <xf numFmtId="178" fontId="80" fillId="7" borderId="0" xfId="0" applyNumberFormat="1" applyFont="1" applyFill="1" applyAlignment="1">
      <alignment horizontal="center"/>
    </xf>
    <xf numFmtId="10" fontId="74" fillId="7" borderId="0" xfId="0" applyNumberFormat="1" applyFont="1" applyFill="1" applyAlignment="1">
      <alignment horizontal="center"/>
    </xf>
    <xf numFmtId="0" fontId="93" fillId="7" borderId="0" xfId="0" applyFont="1" applyFill="1"/>
    <xf numFmtId="10" fontId="80" fillId="7" borderId="0" xfId="4" applyNumberFormat="1" applyFont="1" applyFill="1" applyBorder="1" applyAlignment="1" applyProtection="1">
      <alignment horizontal="center"/>
    </xf>
    <xf numFmtId="0" fontId="150" fillId="7" borderId="0" xfId="0" applyFont="1" applyFill="1" applyAlignment="1">
      <alignment horizontal="left"/>
    </xf>
    <xf numFmtId="10" fontId="74" fillId="7" borderId="0" xfId="4" applyNumberFormat="1" applyFont="1" applyFill="1" applyBorder="1" applyAlignment="1" applyProtection="1">
      <alignment horizontal="center"/>
    </xf>
    <xf numFmtId="178" fontId="67" fillId="7" borderId="0" xfId="0" applyNumberFormat="1" applyFont="1" applyFill="1" applyAlignment="1">
      <alignment horizontal="center"/>
    </xf>
    <xf numFmtId="4" fontId="74" fillId="7" borderId="0" xfId="0" applyNumberFormat="1" applyFont="1" applyFill="1" applyAlignment="1">
      <alignment horizontal="center" wrapText="1"/>
    </xf>
    <xf numFmtId="4" fontId="74" fillId="7" borderId="0" xfId="0" applyNumberFormat="1" applyFont="1" applyFill="1" applyAlignment="1" applyProtection="1">
      <alignment horizontal="center"/>
      <protection hidden="1"/>
    </xf>
    <xf numFmtId="4" fontId="80" fillId="7" borderId="0" xfId="0" applyNumberFormat="1" applyFont="1" applyFill="1" applyAlignment="1" applyProtection="1">
      <alignment horizontal="center"/>
      <protection hidden="1"/>
    </xf>
    <xf numFmtId="4" fontId="98" fillId="7" borderId="0" xfId="0" applyNumberFormat="1" applyFont="1" applyFill="1" applyAlignment="1">
      <alignment horizontal="center"/>
    </xf>
    <xf numFmtId="0" fontId="80" fillId="7" borderId="0" xfId="0" applyFont="1" applyFill="1"/>
    <xf numFmtId="0" fontId="81" fillId="6" borderId="0" xfId="0" applyFont="1" applyFill="1" applyAlignment="1">
      <alignment horizontal="center" vertical="center" wrapText="1"/>
    </xf>
    <xf numFmtId="0" fontId="192" fillId="6" borderId="0" xfId="0" applyFont="1" applyFill="1" applyAlignment="1">
      <alignment horizontal="center" wrapText="1"/>
    </xf>
    <xf numFmtId="4" fontId="80" fillId="6" borderId="0" xfId="0" applyNumberFormat="1" applyFont="1" applyFill="1" applyAlignment="1">
      <alignment horizontal="center"/>
    </xf>
    <xf numFmtId="4" fontId="74" fillId="6" borderId="0" xfId="0" applyNumberFormat="1" applyFont="1" applyFill="1" applyAlignment="1">
      <alignment horizontal="center"/>
    </xf>
    <xf numFmtId="178" fontId="80" fillId="6" borderId="0" xfId="0" applyNumberFormat="1" applyFont="1" applyFill="1" applyAlignment="1">
      <alignment horizontal="center"/>
    </xf>
    <xf numFmtId="10" fontId="74" fillId="6" borderId="0" xfId="0" applyNumberFormat="1" applyFont="1" applyFill="1" applyAlignment="1">
      <alignment horizontal="center"/>
    </xf>
    <xf numFmtId="0" fontId="93" fillId="6" borderId="0" xfId="0" applyFont="1" applyFill="1"/>
    <xf numFmtId="10" fontId="80" fillId="6" borderId="0" xfId="4" applyNumberFormat="1" applyFont="1" applyFill="1" applyBorder="1" applyAlignment="1" applyProtection="1">
      <alignment horizontal="center"/>
    </xf>
    <xf numFmtId="10" fontId="74" fillId="6" borderId="0" xfId="4" applyNumberFormat="1" applyFont="1" applyFill="1" applyBorder="1" applyAlignment="1" applyProtection="1">
      <alignment horizontal="center"/>
    </xf>
    <xf numFmtId="178" fontId="67" fillId="6" borderId="0" xfId="0" applyNumberFormat="1" applyFont="1" applyFill="1" applyAlignment="1">
      <alignment horizontal="center"/>
    </xf>
    <xf numFmtId="4" fontId="74" fillId="6" borderId="0" xfId="0" applyNumberFormat="1" applyFont="1" applyFill="1" applyAlignment="1">
      <alignment horizontal="center" wrapText="1"/>
    </xf>
    <xf numFmtId="4" fontId="74" fillId="6" borderId="0" xfId="0" applyNumberFormat="1" applyFont="1" applyFill="1" applyAlignment="1" applyProtection="1">
      <alignment horizontal="center"/>
      <protection hidden="1"/>
    </xf>
    <xf numFmtId="4" fontId="80" fillId="6" borderId="0" xfId="0" applyNumberFormat="1" applyFont="1" applyFill="1" applyAlignment="1" applyProtection="1">
      <alignment horizontal="center"/>
      <protection hidden="1"/>
    </xf>
    <xf numFmtId="4" fontId="98" fillId="6" borderId="0" xfId="0" applyNumberFormat="1" applyFont="1" applyFill="1" applyAlignment="1">
      <alignment horizontal="center"/>
    </xf>
    <xf numFmtId="0" fontId="80" fillId="6" borderId="0" xfId="0" applyFont="1" applyFill="1" applyAlignment="1">
      <alignment wrapText="1"/>
    </xf>
    <xf numFmtId="0" fontId="77" fillId="6" borderId="0" xfId="0" applyFont="1" applyFill="1"/>
    <xf numFmtId="0" fontId="80" fillId="7" borderId="0" xfId="0" applyFont="1" applyFill="1" applyAlignment="1">
      <alignment vertical="center"/>
    </xf>
    <xf numFmtId="0" fontId="107" fillId="6" borderId="4" xfId="0" applyFont="1" applyFill="1" applyBorder="1"/>
    <xf numFmtId="0" fontId="107" fillId="6" borderId="5" xfId="0" applyFont="1" applyFill="1" applyBorder="1"/>
    <xf numFmtId="0" fontId="107" fillId="6" borderId="7" xfId="0" applyFont="1" applyFill="1" applyBorder="1"/>
    <xf numFmtId="0" fontId="107" fillId="6" borderId="8" xfId="0" applyFont="1" applyFill="1" applyBorder="1"/>
    <xf numFmtId="0" fontId="107" fillId="6" borderId="6" xfId="0" applyFont="1" applyFill="1" applyBorder="1"/>
    <xf numFmtId="0" fontId="88" fillId="6" borderId="0" xfId="2" applyFill="1" applyBorder="1" applyAlignment="1" applyProtection="1"/>
    <xf numFmtId="0" fontId="107" fillId="6" borderId="2" xfId="0" applyFont="1" applyFill="1" applyBorder="1"/>
    <xf numFmtId="0" fontId="107" fillId="6" borderId="3" xfId="0" applyFont="1" applyFill="1" applyBorder="1"/>
    <xf numFmtId="0" fontId="188" fillId="6" borderId="1" xfId="0" applyFont="1" applyFill="1" applyBorder="1"/>
    <xf numFmtId="0" fontId="75" fillId="0" borderId="0" xfId="0" applyFont="1" applyProtection="1">
      <protection hidden="1"/>
    </xf>
    <xf numFmtId="49" fontId="81" fillId="11" borderId="56" xfId="0" applyNumberFormat="1" applyFont="1" applyFill="1" applyBorder="1" applyAlignment="1">
      <alignment horizontal="center" vertical="center"/>
    </xf>
    <xf numFmtId="49" fontId="132" fillId="11" borderId="0" xfId="0" applyNumberFormat="1" applyFont="1" applyFill="1" applyAlignment="1">
      <alignment horizontal="center" vertical="center"/>
    </xf>
    <xf numFmtId="0" fontId="81" fillId="11" borderId="0" xfId="0" applyFont="1" applyFill="1" applyAlignment="1" applyProtection="1">
      <alignment horizontal="left" vertical="center"/>
      <protection hidden="1"/>
    </xf>
    <xf numFmtId="0" fontId="81" fillId="11" borderId="0" xfId="0" applyFont="1" applyFill="1" applyAlignment="1" applyProtection="1">
      <alignment vertical="center"/>
      <protection hidden="1"/>
    </xf>
    <xf numFmtId="0" fontId="81" fillId="11" borderId="0" xfId="0" applyFont="1" applyFill="1" applyAlignment="1">
      <alignment horizontal="left"/>
    </xf>
    <xf numFmtId="0" fontId="74" fillId="11" borderId="0" xfId="0" applyFont="1" applyFill="1"/>
    <xf numFmtId="49" fontId="81" fillId="11" borderId="0" xfId="0" applyNumberFormat="1" applyFont="1" applyFill="1" applyAlignment="1">
      <alignment horizontal="center" vertical="center"/>
    </xf>
    <xf numFmtId="0" fontId="86" fillId="11" borderId="0" xfId="0" applyFont="1" applyFill="1" applyAlignment="1" applyProtection="1">
      <alignment vertical="center"/>
      <protection hidden="1"/>
    </xf>
    <xf numFmtId="0" fontId="81" fillId="11" borderId="0" xfId="0" applyFont="1" applyFill="1" applyAlignment="1" applyProtection="1">
      <alignment horizontal="right"/>
      <protection hidden="1"/>
    </xf>
    <xf numFmtId="0" fontId="74" fillId="11" borderId="0" xfId="0" applyFont="1" applyFill="1" applyProtection="1">
      <protection hidden="1"/>
    </xf>
    <xf numFmtId="49" fontId="81" fillId="11" borderId="0" xfId="0" applyNumberFormat="1" applyFont="1" applyFill="1" applyAlignment="1">
      <alignment horizontal="left" vertical="center"/>
    </xf>
    <xf numFmtId="0" fontId="81" fillId="11" borderId="0" xfId="0" applyFont="1" applyFill="1" applyAlignment="1">
      <alignment horizontal="right"/>
    </xf>
    <xf numFmtId="168" fontId="81" fillId="11" borderId="0" xfId="0" applyNumberFormat="1" applyFont="1" applyFill="1" applyAlignment="1">
      <alignment vertical="center"/>
    </xf>
    <xf numFmtId="0" fontId="81" fillId="11" borderId="0" xfId="0" applyFont="1" applyFill="1" applyAlignment="1">
      <alignment horizontal="center" vertical="center"/>
    </xf>
    <xf numFmtId="168" fontId="81" fillId="15" borderId="76" xfId="0" applyNumberFormat="1" applyFont="1" applyFill="1" applyBorder="1" applyAlignment="1" applyProtection="1">
      <alignment vertical="center"/>
      <protection locked="0"/>
    </xf>
    <xf numFmtId="168" fontId="81" fillId="11" borderId="61" xfId="0" applyNumberFormat="1" applyFont="1" applyFill="1" applyBorder="1" applyAlignment="1">
      <alignment vertical="center"/>
    </xf>
    <xf numFmtId="0" fontId="107" fillId="0" borderId="0" xfId="0" applyFont="1"/>
    <xf numFmtId="1" fontId="0" fillId="0" borderId="0" xfId="0" applyNumberFormat="1"/>
    <xf numFmtId="173" fontId="0" fillId="0" borderId="0" xfId="0" applyNumberFormat="1"/>
    <xf numFmtId="0" fontId="150" fillId="6" borderId="7" xfId="0" applyFont="1" applyFill="1" applyBorder="1" applyAlignment="1">
      <alignment horizontal="left"/>
    </xf>
    <xf numFmtId="0" fontId="150" fillId="6" borderId="59" xfId="0" applyFont="1" applyFill="1" applyBorder="1" applyAlignment="1">
      <alignment horizontal="left"/>
    </xf>
    <xf numFmtId="0" fontId="80" fillId="0" borderId="0" xfId="0" applyFont="1" applyAlignment="1" applyProtection="1">
      <alignment horizontal="center" wrapText="1"/>
      <protection hidden="1"/>
    </xf>
    <xf numFmtId="0" fontId="93" fillId="37" borderId="44" xfId="0" applyFont="1" applyFill="1" applyBorder="1"/>
    <xf numFmtId="0" fontId="74" fillId="36" borderId="43" xfId="0" applyFont="1" applyFill="1" applyBorder="1"/>
    <xf numFmtId="9" fontId="148" fillId="0" borderId="0" xfId="4" applyFont="1" applyFill="1" applyBorder="1"/>
    <xf numFmtId="0" fontId="52" fillId="36" borderId="43" xfId="0" applyFont="1" applyFill="1" applyBorder="1"/>
    <xf numFmtId="0" fontId="74" fillId="36" borderId="56" xfId="0" applyFont="1" applyFill="1" applyBorder="1"/>
    <xf numFmtId="0" fontId="74" fillId="36" borderId="58" xfId="0" applyFont="1" applyFill="1" applyBorder="1"/>
    <xf numFmtId="0" fontId="115" fillId="11" borderId="44" xfId="0" applyFont="1" applyFill="1" applyBorder="1" applyAlignment="1">
      <alignment vertical="center"/>
    </xf>
    <xf numFmtId="0" fontId="52" fillId="11" borderId="0" xfId="0" applyFont="1" applyFill="1"/>
    <xf numFmtId="0" fontId="115" fillId="11" borderId="0" xfId="0" applyFont="1" applyFill="1" applyAlignment="1">
      <alignment vertical="center"/>
    </xf>
    <xf numFmtId="0" fontId="115" fillId="0" borderId="61" xfId="0" applyFont="1" applyBorder="1" applyAlignment="1">
      <alignment vertical="center"/>
    </xf>
    <xf numFmtId="14" fontId="86" fillId="11" borderId="58" xfId="0" applyNumberFormat="1" applyFont="1" applyFill="1" applyBorder="1" applyAlignment="1">
      <alignment horizontal="left" vertical="center"/>
    </xf>
    <xf numFmtId="0" fontId="80" fillId="0" borderId="60" xfId="0" applyFont="1" applyBorder="1"/>
    <xf numFmtId="0" fontId="93" fillId="6" borderId="61" xfId="0" applyFont="1" applyFill="1" applyBorder="1"/>
    <xf numFmtId="0" fontId="74" fillId="6" borderId="61" xfId="0" applyFont="1" applyFill="1" applyBorder="1"/>
    <xf numFmtId="0" fontId="85" fillId="6" borderId="61" xfId="0" applyFont="1" applyFill="1" applyBorder="1"/>
    <xf numFmtId="0" fontId="150" fillId="6" borderId="61" xfId="0" applyFont="1" applyFill="1" applyBorder="1"/>
    <xf numFmtId="0" fontId="150" fillId="6" borderId="62" xfId="0" applyFont="1" applyFill="1" applyBorder="1"/>
    <xf numFmtId="0" fontId="131" fillId="6" borderId="0" xfId="0" applyFont="1" applyFill="1" applyAlignment="1">
      <alignment horizontal="center" vertical="top" wrapText="1"/>
    </xf>
    <xf numFmtId="0" fontId="134" fillId="6" borderId="0" xfId="0" applyFont="1" applyFill="1" applyAlignment="1">
      <alignment horizontal="center" vertical="center" wrapText="1"/>
    </xf>
    <xf numFmtId="0" fontId="74" fillId="0" borderId="59" xfId="0" applyFont="1" applyBorder="1"/>
    <xf numFmtId="0" fontId="80" fillId="0" borderId="9" xfId="0" applyFont="1" applyBorder="1" applyAlignment="1">
      <alignment horizontal="left" wrapText="1"/>
    </xf>
    <xf numFmtId="49" fontId="93" fillId="7" borderId="48" xfId="0" applyNumberFormat="1" applyFont="1" applyFill="1" applyBorder="1" applyAlignment="1" applyProtection="1">
      <alignment horizontal="left"/>
      <protection hidden="1"/>
    </xf>
    <xf numFmtId="168" fontId="59" fillId="7" borderId="13" xfId="0" applyNumberFormat="1" applyFont="1" applyFill="1" applyBorder="1" applyAlignment="1" applyProtection="1">
      <alignment horizontal="center"/>
      <protection hidden="1"/>
    </xf>
    <xf numFmtId="49" fontId="93" fillId="20" borderId="48" xfId="0" applyNumberFormat="1" applyFont="1" applyFill="1" applyBorder="1" applyAlignment="1" applyProtection="1">
      <alignment horizontal="left"/>
      <protection hidden="1"/>
    </xf>
    <xf numFmtId="49" fontId="68" fillId="20" borderId="13" xfId="0" applyNumberFormat="1" applyFont="1" applyFill="1" applyBorder="1" applyAlignment="1" applyProtection="1">
      <alignment horizontal="center"/>
      <protection hidden="1"/>
    </xf>
    <xf numFmtId="1" fontId="74" fillId="20" borderId="13" xfId="0" applyNumberFormat="1" applyFont="1" applyFill="1" applyBorder="1" applyAlignment="1" applyProtection="1">
      <alignment horizontal="center"/>
      <protection hidden="1"/>
    </xf>
    <xf numFmtId="4" fontId="74" fillId="20" borderId="13" xfId="0" applyNumberFormat="1" applyFont="1" applyFill="1" applyBorder="1" applyAlignment="1" applyProtection="1">
      <alignment horizontal="center"/>
      <protection hidden="1"/>
    </xf>
    <xf numFmtId="4" fontId="74" fillId="20" borderId="14" xfId="0" applyNumberFormat="1" applyFont="1" applyFill="1" applyBorder="1" applyAlignment="1" applyProtection="1">
      <alignment horizontal="center"/>
      <protection hidden="1"/>
    </xf>
    <xf numFmtId="4" fontId="74" fillId="20" borderId="24" xfId="0" applyNumberFormat="1" applyFont="1" applyFill="1" applyBorder="1" applyAlignment="1" applyProtection="1">
      <alignment horizontal="center"/>
      <protection hidden="1"/>
    </xf>
    <xf numFmtId="4" fontId="74" fillId="20" borderId="49" xfId="0" applyNumberFormat="1" applyFont="1" applyFill="1" applyBorder="1" applyAlignment="1" applyProtection="1">
      <alignment horizontal="center"/>
      <protection hidden="1"/>
    </xf>
    <xf numFmtId="4" fontId="60" fillId="20" borderId="0" xfId="0" applyNumberFormat="1" applyFont="1" applyFill="1" applyAlignment="1" applyProtection="1">
      <alignment horizontal="center"/>
      <protection hidden="1"/>
    </xf>
    <xf numFmtId="168" fontId="85" fillId="20" borderId="14" xfId="0" applyNumberFormat="1" applyFont="1" applyFill="1" applyBorder="1" applyAlignment="1" applyProtection="1">
      <alignment horizontal="center"/>
      <protection hidden="1"/>
    </xf>
    <xf numFmtId="0" fontId="80" fillId="0" borderId="9" xfId="0" applyFont="1" applyBorder="1" applyAlignment="1">
      <alignment horizontal="left" vertical="top" wrapText="1"/>
    </xf>
    <xf numFmtId="0" fontId="80" fillId="6" borderId="0" xfId="0" applyFont="1" applyFill="1" applyAlignment="1">
      <alignment horizontal="left"/>
    </xf>
    <xf numFmtId="168" fontId="54" fillId="6" borderId="0" xfId="0" applyNumberFormat="1" applyFont="1" applyFill="1" applyAlignment="1">
      <alignment horizontal="center"/>
    </xf>
    <xf numFmtId="178" fontId="54" fillId="6" borderId="0" xfId="0" applyNumberFormat="1" applyFont="1" applyFill="1" applyAlignment="1">
      <alignment horizontal="center"/>
    </xf>
    <xf numFmtId="44" fontId="54" fillId="6" borderId="0" xfId="3" applyFont="1" applyFill="1" applyBorder="1"/>
    <xf numFmtId="0" fontId="80" fillId="6" borderId="44" xfId="0" applyFont="1" applyFill="1" applyBorder="1" applyAlignment="1">
      <alignment horizontal="left"/>
    </xf>
    <xf numFmtId="168" fontId="80" fillId="6" borderId="0" xfId="0" applyNumberFormat="1" applyFont="1" applyFill="1" applyAlignment="1">
      <alignment horizontal="center"/>
    </xf>
    <xf numFmtId="178" fontId="74" fillId="6" borderId="0" xfId="0" applyNumberFormat="1" applyFont="1" applyFill="1" applyAlignment="1">
      <alignment horizontal="center"/>
    </xf>
    <xf numFmtId="165" fontId="74" fillId="6" borderId="56" xfId="0" applyNumberFormat="1" applyFont="1" applyFill="1" applyBorder="1" applyAlignment="1">
      <alignment horizontal="center"/>
    </xf>
    <xf numFmtId="178" fontId="80" fillId="6" borderId="58" xfId="0" applyNumberFormat="1" applyFont="1" applyFill="1" applyBorder="1" applyAlignment="1">
      <alignment horizontal="center"/>
    </xf>
    <xf numFmtId="178" fontId="81" fillId="6" borderId="0" xfId="0" applyNumberFormat="1" applyFont="1" applyFill="1" applyAlignment="1">
      <alignment horizontal="center"/>
    </xf>
    <xf numFmtId="0" fontId="126" fillId="6" borderId="0" xfId="0" applyFont="1" applyFill="1"/>
    <xf numFmtId="44" fontId="54" fillId="20" borderId="15" xfId="3" applyFont="1" applyFill="1" applyBorder="1" applyAlignment="1">
      <alignment horizontal="center"/>
    </xf>
    <xf numFmtId="0" fontId="80" fillId="0" borderId="9" xfId="0" applyFont="1" applyBorder="1" applyAlignment="1">
      <alignment wrapText="1"/>
    </xf>
    <xf numFmtId="178" fontId="80" fillId="20" borderId="9" xfId="0" applyNumberFormat="1" applyFont="1" applyFill="1" applyBorder="1" applyAlignment="1">
      <alignment horizontal="center"/>
    </xf>
    <xf numFmtId="0" fontId="0" fillId="6" borderId="0" xfId="0" applyFill="1" applyAlignment="1">
      <alignment horizontal="center" vertical="center" wrapText="1"/>
    </xf>
    <xf numFmtId="0" fontId="0" fillId="6" borderId="44" xfId="0" applyFill="1" applyBorder="1" applyAlignment="1">
      <alignment horizontal="center" vertical="center" wrapText="1"/>
    </xf>
    <xf numFmtId="0" fontId="81" fillId="6" borderId="0" xfId="0" applyFont="1" applyFill="1" applyAlignment="1">
      <alignment horizontal="center" vertical="top" wrapText="1"/>
    </xf>
    <xf numFmtId="0" fontId="81" fillId="6" borderId="5" xfId="0" applyFont="1" applyFill="1" applyBorder="1" applyAlignment="1">
      <alignment horizontal="center" vertical="top" wrapText="1"/>
    </xf>
    <xf numFmtId="0" fontId="93" fillId="6" borderId="0" xfId="0" applyFont="1" applyFill="1" applyAlignment="1">
      <alignment horizontal="center" vertical="top" wrapText="1"/>
    </xf>
    <xf numFmtId="0" fontId="81" fillId="6" borderId="43" xfId="0" applyFont="1" applyFill="1" applyBorder="1" applyAlignment="1">
      <alignment horizontal="center" vertical="center" wrapText="1"/>
    </xf>
    <xf numFmtId="0" fontId="113" fillId="6" borderId="0" xfId="0" applyFont="1" applyFill="1" applyAlignment="1">
      <alignment horizontal="center"/>
    </xf>
    <xf numFmtId="0" fontId="113" fillId="6" borderId="0" xfId="0" applyFont="1" applyFill="1" applyAlignment="1">
      <alignment horizontal="center" wrapText="1"/>
    </xf>
    <xf numFmtId="9" fontId="91" fillId="6" borderId="0" xfId="4" applyFont="1" applyFill="1"/>
    <xf numFmtId="0" fontId="191" fillId="6" borderId="44" xfId="0" applyFont="1" applyFill="1" applyBorder="1" applyAlignment="1">
      <alignment horizontal="center" vertical="center" wrapText="1"/>
    </xf>
    <xf numFmtId="0" fontId="50" fillId="0" borderId="0" xfId="0" applyFont="1"/>
    <xf numFmtId="1" fontId="203" fillId="11" borderId="0" xfId="0" applyNumberFormat="1" applyFont="1" applyFill="1" applyAlignment="1">
      <alignment vertical="center"/>
    </xf>
    <xf numFmtId="0" fontId="154" fillId="11" borderId="0" xfId="0" applyFont="1" applyFill="1"/>
    <xf numFmtId="0" fontId="204" fillId="11" borderId="0" xfId="0" applyFont="1" applyFill="1"/>
    <xf numFmtId="1" fontId="202" fillId="11" borderId="0" xfId="0" applyNumberFormat="1" applyFont="1" applyFill="1" applyAlignment="1">
      <alignment vertical="center"/>
    </xf>
    <xf numFmtId="0" fontId="202" fillId="11" borderId="0" xfId="0" applyFont="1" applyFill="1" applyAlignment="1">
      <alignment vertical="center"/>
    </xf>
    <xf numFmtId="0" fontId="203" fillId="11" borderId="0" xfId="0" applyFont="1" applyFill="1" applyAlignment="1">
      <alignment vertical="center"/>
    </xf>
    <xf numFmtId="0" fontId="205" fillId="11" borderId="44" xfId="0" applyFont="1" applyFill="1" applyBorder="1" applyAlignment="1">
      <alignment vertical="center"/>
    </xf>
    <xf numFmtId="0" fontId="205" fillId="11" borderId="0" xfId="0" applyFont="1" applyFill="1" applyAlignment="1">
      <alignment vertical="center"/>
    </xf>
    <xf numFmtId="0" fontId="206" fillId="11" borderId="0" xfId="0" applyFont="1" applyFill="1"/>
    <xf numFmtId="44" fontId="133" fillId="6" borderId="0" xfId="3" applyFont="1" applyFill="1" applyBorder="1" applyAlignment="1" applyProtection="1">
      <alignment vertical="top"/>
    </xf>
    <xf numFmtId="0" fontId="81" fillId="28" borderId="94" xfId="0" applyFont="1" applyFill="1" applyBorder="1" applyAlignment="1">
      <alignment horizontal="center" vertical="top" wrapText="1"/>
    </xf>
    <xf numFmtId="0" fontId="93" fillId="6" borderId="0" xfId="0" applyFont="1" applyFill="1" applyProtection="1">
      <protection hidden="1"/>
    </xf>
    <xf numFmtId="0" fontId="80" fillId="6" borderId="0" xfId="0" applyFont="1" applyFill="1" applyProtection="1">
      <protection hidden="1"/>
    </xf>
    <xf numFmtId="0" fontId="76" fillId="6" borderId="0" xfId="0" applyFont="1" applyFill="1" applyProtection="1">
      <protection hidden="1"/>
    </xf>
    <xf numFmtId="0" fontId="85" fillId="6" borderId="0" xfId="0" applyFont="1" applyFill="1" applyAlignment="1" applyProtection="1">
      <alignment horizontal="left" vertical="center"/>
      <protection hidden="1"/>
    </xf>
    <xf numFmtId="0" fontId="85" fillId="6" borderId="0" xfId="0" applyFont="1" applyFill="1" applyAlignment="1" applyProtection="1">
      <alignment horizontal="center"/>
      <protection hidden="1"/>
    </xf>
    <xf numFmtId="0" fontId="200" fillId="6" borderId="0" xfId="0" applyFont="1" applyFill="1" applyAlignment="1" applyProtection="1">
      <alignment horizontal="center"/>
      <protection hidden="1"/>
    </xf>
    <xf numFmtId="0" fontId="85" fillId="6" borderId="0" xfId="0" applyFont="1" applyFill="1" applyAlignment="1" applyProtection="1">
      <alignment horizontal="center" vertical="center" wrapText="1"/>
      <protection hidden="1"/>
    </xf>
    <xf numFmtId="0" fontId="85" fillId="6" borderId="0" xfId="0" applyFont="1" applyFill="1" applyAlignment="1" applyProtection="1">
      <alignment vertical="center"/>
      <protection hidden="1"/>
    </xf>
    <xf numFmtId="14" fontId="93" fillId="6" borderId="0" xfId="0" applyNumberFormat="1" applyFont="1" applyFill="1" applyAlignment="1" applyProtection="1">
      <alignment horizontal="center"/>
      <protection hidden="1"/>
    </xf>
    <xf numFmtId="1" fontId="85" fillId="6" borderId="0" xfId="0" applyNumberFormat="1" applyFont="1" applyFill="1" applyAlignment="1" applyProtection="1">
      <alignment horizontal="center"/>
      <protection hidden="1"/>
    </xf>
    <xf numFmtId="1" fontId="200" fillId="6" borderId="0" xfId="0" applyNumberFormat="1" applyFont="1" applyFill="1" applyAlignment="1" applyProtection="1">
      <alignment horizontal="center"/>
      <protection hidden="1"/>
    </xf>
    <xf numFmtId="0" fontId="74" fillId="6" borderId="0" xfId="0" applyFont="1" applyFill="1" applyAlignment="1" applyProtection="1">
      <alignment horizontal="left"/>
      <protection hidden="1"/>
    </xf>
    <xf numFmtId="1" fontId="74" fillId="6" borderId="0" xfId="0" applyNumberFormat="1" applyFont="1" applyFill="1" applyAlignment="1" applyProtection="1">
      <alignment horizontal="center"/>
      <protection hidden="1"/>
    </xf>
    <xf numFmtId="1" fontId="94" fillId="6" borderId="0" xfId="0" applyNumberFormat="1" applyFont="1" applyFill="1" applyAlignment="1" applyProtection="1">
      <alignment horizontal="center"/>
      <protection hidden="1"/>
    </xf>
    <xf numFmtId="0" fontId="80" fillId="6" borderId="0" xfId="0" applyFont="1" applyFill="1" applyAlignment="1" applyProtection="1">
      <alignment horizontal="left"/>
      <protection hidden="1"/>
    </xf>
    <xf numFmtId="0" fontId="74" fillId="6" borderId="0" xfId="0" applyFont="1" applyFill="1" applyAlignment="1" applyProtection="1">
      <alignment horizontal="right"/>
      <protection hidden="1"/>
    </xf>
    <xf numFmtId="17" fontId="93" fillId="6" borderId="0" xfId="0" applyNumberFormat="1" applyFont="1" applyFill="1" applyAlignment="1" applyProtection="1">
      <alignment horizontal="center" vertical="center"/>
      <protection hidden="1"/>
    </xf>
    <xf numFmtId="0" fontId="93" fillId="6" borderId="0" xfId="0" applyFont="1" applyFill="1" applyAlignment="1" applyProtection="1">
      <alignment horizontal="left"/>
      <protection hidden="1"/>
    </xf>
    <xf numFmtId="0" fontId="85" fillId="6" borderId="0" xfId="0" applyFont="1" applyFill="1" applyAlignment="1" applyProtection="1">
      <alignment horizontal="center" wrapText="1"/>
      <protection hidden="1"/>
    </xf>
    <xf numFmtId="3" fontId="85" fillId="6" borderId="0" xfId="0" applyNumberFormat="1" applyFont="1" applyFill="1" applyAlignment="1" applyProtection="1">
      <alignment horizontal="center"/>
      <protection hidden="1"/>
    </xf>
    <xf numFmtId="0" fontId="80" fillId="6" borderId="60" xfId="0" applyFont="1" applyFill="1" applyBorder="1"/>
    <xf numFmtId="0" fontId="0" fillId="6" borderId="61" xfId="0" applyFill="1" applyBorder="1" applyAlignment="1">
      <alignment horizontal="center" vertical="center" wrapText="1"/>
    </xf>
    <xf numFmtId="0" fontId="0" fillId="6" borderId="62" xfId="0" applyFill="1" applyBorder="1" applyAlignment="1">
      <alignment horizontal="center" vertical="center" wrapText="1"/>
    </xf>
    <xf numFmtId="0" fontId="81" fillId="6" borderId="61" xfId="0" applyFont="1" applyFill="1" applyBorder="1" applyAlignment="1">
      <alignment horizontal="center" vertical="center" wrapText="1"/>
    </xf>
    <xf numFmtId="0" fontId="81" fillId="6" borderId="61" xfId="0" applyFont="1" applyFill="1" applyBorder="1" applyAlignment="1">
      <alignment horizontal="center" vertical="top" wrapText="1"/>
    </xf>
    <xf numFmtId="0" fontId="81" fillId="6" borderId="74" xfId="0" applyFont="1" applyFill="1" applyBorder="1" applyAlignment="1">
      <alignment horizontal="center" vertical="top" wrapText="1"/>
    </xf>
    <xf numFmtId="0" fontId="93" fillId="6" borderId="61" xfId="0" applyFont="1" applyFill="1" applyBorder="1" applyAlignment="1">
      <alignment horizontal="center" vertical="top" wrapText="1"/>
    </xf>
    <xf numFmtId="0" fontId="81" fillId="6" borderId="62" xfId="0" applyFont="1" applyFill="1" applyBorder="1" applyAlignment="1">
      <alignment horizontal="center" vertical="center" wrapText="1"/>
    </xf>
    <xf numFmtId="0" fontId="0" fillId="0" borderId="1" xfId="0" applyBorder="1"/>
    <xf numFmtId="0" fontId="0" fillId="0" borderId="6" xfId="0" applyBorder="1"/>
    <xf numFmtId="0" fontId="0" fillId="0" borderId="8" xfId="0" applyBorder="1"/>
    <xf numFmtId="0" fontId="0" fillId="0" borderId="18" xfId="0" applyBorder="1"/>
    <xf numFmtId="0" fontId="150" fillId="31" borderId="0" xfId="0" applyFont="1" applyFill="1" applyAlignment="1">
      <alignment horizontal="left" vertical="center"/>
    </xf>
    <xf numFmtId="44" fontId="81" fillId="6" borderId="44" xfId="3" applyFont="1" applyFill="1" applyBorder="1" applyAlignment="1" applyProtection="1"/>
    <xf numFmtId="0" fontId="93" fillId="6" borderId="0" xfId="0" applyFont="1" applyFill="1" applyAlignment="1">
      <alignment horizontal="right" vertical="top"/>
    </xf>
    <xf numFmtId="0" fontId="81" fillId="6" borderId="44" xfId="0" applyFont="1" applyFill="1" applyBorder="1" applyAlignment="1">
      <alignment vertical="top"/>
    </xf>
    <xf numFmtId="0" fontId="100" fillId="20" borderId="12" xfId="0" applyFont="1" applyFill="1" applyBorder="1" applyAlignment="1">
      <alignment wrapText="1"/>
    </xf>
    <xf numFmtId="0" fontId="100" fillId="20" borderId="12" xfId="0" applyFont="1" applyFill="1" applyBorder="1"/>
    <xf numFmtId="0" fontId="0" fillId="0" borderId="23" xfId="0" applyBorder="1"/>
    <xf numFmtId="0" fontId="0" fillId="0" borderId="19" xfId="0" applyBorder="1"/>
    <xf numFmtId="0" fontId="49" fillId="6" borderId="0" xfId="0" applyFont="1" applyFill="1"/>
    <xf numFmtId="0" fontId="92" fillId="6" borderId="0" xfId="0" applyFont="1" applyFill="1"/>
    <xf numFmtId="0" fontId="48" fillId="6" borderId="0" xfId="0" applyFont="1" applyFill="1"/>
    <xf numFmtId="0" fontId="74" fillId="6" borderId="7" xfId="0" applyFont="1" applyFill="1" applyBorder="1"/>
    <xf numFmtId="0" fontId="74" fillId="6" borderId="4" xfId="0" applyFont="1" applyFill="1" applyBorder="1"/>
    <xf numFmtId="0" fontId="74" fillId="6" borderId="5" xfId="0" applyFont="1" applyFill="1" applyBorder="1"/>
    <xf numFmtId="0" fontId="74" fillId="6" borderId="6" xfId="0" applyFont="1" applyFill="1" applyBorder="1"/>
    <xf numFmtId="0" fontId="85" fillId="31" borderId="0" xfId="0" applyFont="1" applyFill="1"/>
    <xf numFmtId="0" fontId="48" fillId="6" borderId="0" xfId="0" applyFont="1" applyFill="1" applyAlignment="1">
      <alignment horizontal="right"/>
    </xf>
    <xf numFmtId="0" fontId="85" fillId="6" borderId="0" xfId="0" applyFont="1" applyFill="1"/>
    <xf numFmtId="168" fontId="85" fillId="6" borderId="0" xfId="0" applyNumberFormat="1" applyFont="1" applyFill="1"/>
    <xf numFmtId="0" fontId="91" fillId="6" borderId="0" xfId="0" applyFont="1" applyFill="1"/>
    <xf numFmtId="168" fontId="91" fillId="6" borderId="0" xfId="0" applyNumberFormat="1" applyFont="1" applyFill="1"/>
    <xf numFmtId="9" fontId="74" fillId="6" borderId="0" xfId="4" applyFont="1" applyFill="1" applyBorder="1"/>
    <xf numFmtId="0" fontId="128" fillId="6" borderId="0" xfId="0" applyFont="1" applyFill="1"/>
    <xf numFmtId="168" fontId="128" fillId="6" borderId="0" xfId="0" applyNumberFormat="1" applyFont="1" applyFill="1"/>
    <xf numFmtId="168" fontId="74" fillId="6" borderId="0" xfId="0" applyNumberFormat="1" applyFont="1" applyFill="1"/>
    <xf numFmtId="4" fontId="48" fillId="6" borderId="0" xfId="0" applyNumberFormat="1" applyFont="1" applyFill="1" applyAlignment="1">
      <alignment horizontal="center"/>
    </xf>
    <xf numFmtId="4" fontId="74" fillId="6" borderId="0" xfId="0" applyNumberFormat="1" applyFont="1" applyFill="1"/>
    <xf numFmtId="168" fontId="80" fillId="6" borderId="0" xfId="0" applyNumberFormat="1" applyFont="1" applyFill="1" applyAlignment="1">
      <alignment horizontal="right" wrapText="1"/>
    </xf>
    <xf numFmtId="0" fontId="47" fillId="6" borderId="0" xfId="0" applyFont="1" applyFill="1"/>
    <xf numFmtId="0" fontId="77" fillId="0" borderId="1" xfId="0" applyFont="1" applyBorder="1" applyAlignment="1">
      <alignment horizontal="left" vertical="center"/>
    </xf>
    <xf numFmtId="0" fontId="80" fillId="0" borderId="2" xfId="0" applyFont="1" applyBorder="1" applyAlignment="1">
      <alignment horizontal="center" vertical="center"/>
    </xf>
    <xf numFmtId="0" fontId="80" fillId="0" borderId="3" xfId="0" applyFont="1" applyBorder="1" applyAlignment="1">
      <alignment horizontal="center" vertical="center"/>
    </xf>
    <xf numFmtId="0" fontId="107" fillId="20" borderId="48" xfId="0" applyFont="1" applyFill="1" applyBorder="1"/>
    <xf numFmtId="0" fontId="107" fillId="20" borderId="14" xfId="0" applyFont="1" applyFill="1" applyBorder="1"/>
    <xf numFmtId="0" fontId="74" fillId="6" borderId="1" xfId="0" applyFont="1" applyFill="1" applyBorder="1"/>
    <xf numFmtId="168" fontId="80" fillId="6" borderId="5" xfId="0" applyNumberFormat="1" applyFont="1" applyFill="1" applyBorder="1" applyAlignment="1">
      <alignment horizontal="right" wrapText="1"/>
    </xf>
    <xf numFmtId="1" fontId="48" fillId="6" borderId="5" xfId="0" applyNumberFormat="1" applyFont="1" applyFill="1" applyBorder="1" applyAlignment="1">
      <alignment horizontal="right"/>
    </xf>
    <xf numFmtId="0" fontId="48" fillId="6" borderId="31" xfId="0" applyFont="1" applyFill="1" applyBorder="1"/>
    <xf numFmtId="0" fontId="74" fillId="6" borderId="32" xfId="0" applyFont="1" applyFill="1" applyBorder="1"/>
    <xf numFmtId="173" fontId="74" fillId="6" borderId="33" xfId="0" applyNumberFormat="1" applyFont="1" applyFill="1" applyBorder="1"/>
    <xf numFmtId="1" fontId="47" fillId="0" borderId="14" xfId="0" applyNumberFormat="1" applyFont="1" applyBorder="1"/>
    <xf numFmtId="1" fontId="47" fillId="6" borderId="5" xfId="0" applyNumberFormat="1" applyFont="1" applyFill="1" applyBorder="1" applyAlignment="1">
      <alignment horizontal="right" vertical="center"/>
    </xf>
    <xf numFmtId="0" fontId="80" fillId="7" borderId="48" xfId="0" applyFont="1" applyFill="1" applyBorder="1"/>
    <xf numFmtId="0" fontId="80" fillId="7" borderId="82" xfId="0" applyFont="1" applyFill="1" applyBorder="1"/>
    <xf numFmtId="0" fontId="47" fillId="19" borderId="4" xfId="0" applyFont="1" applyFill="1" applyBorder="1"/>
    <xf numFmtId="173" fontId="47" fillId="19" borderId="0" xfId="0" applyNumberFormat="1" applyFont="1" applyFill="1"/>
    <xf numFmtId="173" fontId="86" fillId="19" borderId="5" xfId="0" applyNumberFormat="1" applyFont="1" applyFill="1" applyBorder="1"/>
    <xf numFmtId="0" fontId="47" fillId="19" borderId="0" xfId="0" applyFont="1" applyFill="1"/>
    <xf numFmtId="0" fontId="86" fillId="19" borderId="5" xfId="0" applyFont="1" applyFill="1" applyBorder="1"/>
    <xf numFmtId="0" fontId="135" fillId="6" borderId="0" xfId="0" applyFont="1" applyFill="1" applyAlignment="1">
      <alignment horizontal="center" vertical="top" wrapText="1"/>
    </xf>
    <xf numFmtId="0" fontId="74" fillId="6" borderId="43" xfId="0" applyFont="1" applyFill="1" applyBorder="1"/>
    <xf numFmtId="0" fontId="81" fillId="6" borderId="56" xfId="0" applyFont="1" applyFill="1" applyBorder="1" applyAlignment="1">
      <alignment horizontal="center" vertical="top" wrapText="1"/>
    </xf>
    <xf numFmtId="0" fontId="93" fillId="6" borderId="0" xfId="0" applyFont="1" applyFill="1" applyAlignment="1">
      <alignment vertical="top" wrapText="1"/>
    </xf>
    <xf numFmtId="0" fontId="80" fillId="6" borderId="5" xfId="0" applyFont="1" applyFill="1" applyBorder="1" applyAlignment="1">
      <alignment horizontal="center" wrapText="1"/>
    </xf>
    <xf numFmtId="0" fontId="0" fillId="6" borderId="5" xfId="0" applyFill="1" applyBorder="1"/>
    <xf numFmtId="9" fontId="0" fillId="6" borderId="5" xfId="0" applyNumberFormat="1" applyFill="1" applyBorder="1"/>
    <xf numFmtId="10" fontId="47" fillId="6" borderId="5" xfId="0" applyNumberFormat="1" applyFont="1" applyFill="1" applyBorder="1"/>
    <xf numFmtId="9" fontId="47" fillId="6" borderId="5" xfId="0" applyNumberFormat="1" applyFont="1" applyFill="1" applyBorder="1"/>
    <xf numFmtId="9" fontId="80" fillId="6" borderId="5" xfId="0" applyNumberFormat="1" applyFont="1" applyFill="1" applyBorder="1"/>
    <xf numFmtId="10" fontId="86" fillId="6" borderId="5" xfId="0" applyNumberFormat="1" applyFont="1" applyFill="1" applyBorder="1"/>
    <xf numFmtId="0" fontId="0" fillId="6" borderId="7" xfId="0" applyFill="1" applyBorder="1" applyAlignment="1">
      <alignment horizontal="right" vertical="center"/>
    </xf>
    <xf numFmtId="0" fontId="79" fillId="6" borderId="8" xfId="0" applyFont="1" applyFill="1" applyBorder="1" applyAlignment="1">
      <alignment horizontal="left" vertical="center"/>
    </xf>
    <xf numFmtId="0" fontId="80" fillId="6" borderId="12" xfId="0" applyFont="1" applyFill="1" applyBorder="1"/>
    <xf numFmtId="2" fontId="154" fillId="6" borderId="0" xfId="0" applyNumberFormat="1" applyFont="1" applyFill="1"/>
    <xf numFmtId="2" fontId="202" fillId="6" borderId="0" xfId="0" applyNumberFormat="1" applyFont="1" applyFill="1"/>
    <xf numFmtId="0" fontId="192" fillId="7" borderId="0" xfId="0" applyFont="1" applyFill="1" applyAlignment="1">
      <alignment horizontal="center" wrapText="1"/>
    </xf>
    <xf numFmtId="0" fontId="194" fillId="7" borderId="0" xfId="0" applyFont="1" applyFill="1" applyAlignment="1">
      <alignment horizontal="left"/>
    </xf>
    <xf numFmtId="0" fontId="195" fillId="7" borderId="0" xfId="0" applyFont="1" applyFill="1" applyAlignment="1">
      <alignment horizontal="left"/>
    </xf>
    <xf numFmtId="4" fontId="93" fillId="7" borderId="0" xfId="0" applyNumberFormat="1" applyFont="1" applyFill="1" applyAlignment="1">
      <alignment horizontal="center"/>
    </xf>
    <xf numFmtId="4" fontId="85" fillId="7" borderId="0" xfId="0" applyNumberFormat="1" applyFont="1" applyFill="1" applyAlignment="1">
      <alignment horizontal="center"/>
    </xf>
    <xf numFmtId="4" fontId="105" fillId="7" borderId="0" xfId="0" applyNumberFormat="1" applyFont="1" applyFill="1" applyAlignment="1">
      <alignment horizontal="center"/>
    </xf>
    <xf numFmtId="4" fontId="91" fillId="7" borderId="0" xfId="0" applyNumberFormat="1" applyFont="1" applyFill="1" applyAlignment="1">
      <alignment horizontal="center"/>
    </xf>
    <xf numFmtId="4" fontId="106" fillId="7" borderId="0" xfId="0" applyNumberFormat="1" applyFont="1" applyFill="1" applyAlignment="1">
      <alignment horizontal="center"/>
    </xf>
    <xf numFmtId="4" fontId="93" fillId="7" borderId="0" xfId="0" applyNumberFormat="1" applyFont="1" applyFill="1" applyAlignment="1" applyProtection="1">
      <alignment horizontal="center"/>
      <protection hidden="1"/>
    </xf>
    <xf numFmtId="4" fontId="85" fillId="7" borderId="0" xfId="0" applyNumberFormat="1" applyFont="1" applyFill="1" applyAlignment="1" applyProtection="1">
      <alignment horizontal="center"/>
      <protection hidden="1"/>
    </xf>
    <xf numFmtId="4" fontId="105" fillId="7" borderId="0" xfId="0" applyNumberFormat="1" applyFont="1" applyFill="1" applyAlignment="1" applyProtection="1">
      <alignment horizontal="center"/>
      <protection hidden="1"/>
    </xf>
    <xf numFmtId="4" fontId="91" fillId="7" borderId="0" xfId="0" applyNumberFormat="1" applyFont="1" applyFill="1" applyAlignment="1" applyProtection="1">
      <alignment horizontal="center"/>
      <protection hidden="1"/>
    </xf>
    <xf numFmtId="4" fontId="106" fillId="7" borderId="0" xfId="0" applyNumberFormat="1" applyFont="1" applyFill="1" applyAlignment="1" applyProtection="1">
      <alignment horizontal="center"/>
      <protection hidden="1"/>
    </xf>
    <xf numFmtId="4" fontId="98" fillId="7" borderId="0" xfId="0" applyNumberFormat="1" applyFont="1" applyFill="1" applyAlignment="1" applyProtection="1">
      <alignment horizontal="center"/>
      <protection hidden="1"/>
    </xf>
    <xf numFmtId="0" fontId="81" fillId="11" borderId="60" xfId="0" applyFont="1" applyFill="1" applyBorder="1" applyAlignment="1">
      <alignment horizontal="center" vertical="top" wrapText="1"/>
    </xf>
    <xf numFmtId="0" fontId="81" fillId="11" borderId="73" xfId="0" applyFont="1" applyFill="1" applyBorder="1" applyAlignment="1">
      <alignment horizontal="center" vertical="top" wrapText="1"/>
    </xf>
    <xf numFmtId="178" fontId="74" fillId="0" borderId="0" xfId="0" applyNumberFormat="1" applyFont="1"/>
    <xf numFmtId="4" fontId="46" fillId="26" borderId="48" xfId="0" applyNumberFormat="1" applyFont="1" applyFill="1" applyBorder="1" applyAlignment="1">
      <alignment horizontal="left"/>
    </xf>
    <xf numFmtId="0" fontId="113" fillId="7" borderId="0" xfId="0" applyFont="1" applyFill="1" applyAlignment="1">
      <alignment horizontal="center" wrapText="1"/>
    </xf>
    <xf numFmtId="0" fontId="113" fillId="7" borderId="0" xfId="0" applyFont="1" applyFill="1" applyAlignment="1">
      <alignment horizontal="center"/>
    </xf>
    <xf numFmtId="0" fontId="208" fillId="7" borderId="0" xfId="0" applyFont="1" applyFill="1" applyAlignment="1">
      <alignment horizontal="center" wrapText="1"/>
    </xf>
    <xf numFmtId="0" fontId="209" fillId="7" borderId="0" xfId="0" applyFont="1" applyFill="1" applyAlignment="1">
      <alignment horizontal="center" wrapText="1"/>
    </xf>
    <xf numFmtId="0" fontId="210" fillId="7" borderId="0" xfId="0" applyFont="1" applyFill="1" applyAlignment="1">
      <alignment horizontal="center" wrapText="1"/>
    </xf>
    <xf numFmtId="4" fontId="208" fillId="7" borderId="0" xfId="0" applyNumberFormat="1" applyFont="1" applyFill="1" applyAlignment="1">
      <alignment horizontal="center"/>
    </xf>
    <xf numFmtId="4" fontId="209" fillId="7" borderId="0" xfId="0" applyNumberFormat="1" applyFont="1" applyFill="1" applyAlignment="1">
      <alignment horizontal="center"/>
    </xf>
    <xf numFmtId="4" fontId="210" fillId="7" borderId="0" xfId="0" applyNumberFormat="1" applyFont="1" applyFill="1" applyAlignment="1">
      <alignment horizontal="center"/>
    </xf>
    <xf numFmtId="4" fontId="128" fillId="20" borderId="14" xfId="0" applyNumberFormat="1" applyFont="1" applyFill="1" applyBorder="1" applyAlignment="1">
      <alignment horizontal="center"/>
    </xf>
    <xf numFmtId="0" fontId="128" fillId="15" borderId="0" xfId="0" applyFont="1" applyFill="1"/>
    <xf numFmtId="0" fontId="129" fillId="15" borderId="0" xfId="0" applyFont="1" applyFill="1" applyAlignment="1">
      <alignment vertical="center"/>
    </xf>
    <xf numFmtId="0" fontId="128" fillId="15" borderId="0" xfId="0" applyFont="1" applyFill="1" applyProtection="1">
      <protection hidden="1"/>
    </xf>
    <xf numFmtId="2" fontId="128" fillId="15" borderId="0" xfId="0" applyNumberFormat="1" applyFont="1" applyFill="1" applyProtection="1">
      <protection hidden="1"/>
    </xf>
    <xf numFmtId="0" fontId="129" fillId="15" borderId="0" xfId="0" applyFont="1" applyFill="1" applyAlignment="1">
      <alignment horizontal="left" vertical="center"/>
    </xf>
    <xf numFmtId="0" fontId="210" fillId="6" borderId="0" xfId="0" applyFont="1" applyFill="1" applyAlignment="1">
      <alignment horizontal="center" wrapText="1"/>
    </xf>
    <xf numFmtId="0" fontId="128" fillId="7" borderId="0" xfId="0" applyFont="1" applyFill="1"/>
    <xf numFmtId="0" fontId="170" fillId="7" borderId="0" xfId="0" applyFont="1" applyFill="1" applyAlignment="1">
      <alignment horizontal="left"/>
    </xf>
    <xf numFmtId="4" fontId="128" fillId="7" borderId="0" xfId="0" applyNumberFormat="1" applyFont="1" applyFill="1" applyAlignment="1">
      <alignment horizontal="center"/>
    </xf>
    <xf numFmtId="178" fontId="199" fillId="7" borderId="0" xfId="0" applyNumberFormat="1" applyFont="1" applyFill="1" applyAlignment="1">
      <alignment horizontal="center"/>
    </xf>
    <xf numFmtId="10" fontId="128" fillId="7" borderId="0" xfId="0" applyNumberFormat="1" applyFont="1" applyFill="1" applyAlignment="1">
      <alignment horizontal="center"/>
    </xf>
    <xf numFmtId="0" fontId="199" fillId="7" borderId="0" xfId="0" applyFont="1" applyFill="1"/>
    <xf numFmtId="10" fontId="199" fillId="7" borderId="0" xfId="4" applyNumberFormat="1" applyFont="1" applyFill="1" applyBorder="1" applyAlignment="1" applyProtection="1">
      <alignment horizontal="center"/>
    </xf>
    <xf numFmtId="4" fontId="199" fillId="7" borderId="0" xfId="0" applyNumberFormat="1" applyFont="1" applyFill="1" applyAlignment="1" applyProtection="1">
      <alignment horizontal="center"/>
      <protection hidden="1"/>
    </xf>
    <xf numFmtId="10" fontId="128" fillId="7" borderId="0" xfId="4" applyNumberFormat="1" applyFont="1" applyFill="1" applyBorder="1" applyAlignment="1" applyProtection="1">
      <alignment horizontal="center"/>
    </xf>
    <xf numFmtId="4" fontId="199" fillId="7" borderId="0" xfId="0" applyNumberFormat="1" applyFont="1" applyFill="1" applyAlignment="1">
      <alignment horizontal="center"/>
    </xf>
    <xf numFmtId="178" fontId="128" fillId="20" borderId="0" xfId="0" applyNumberFormat="1" applyFont="1" applyFill="1" applyAlignment="1">
      <alignment horizontal="center"/>
    </xf>
    <xf numFmtId="10" fontId="128" fillId="0" borderId="0" xfId="4" applyNumberFormat="1" applyFont="1" applyBorder="1" applyAlignment="1" applyProtection="1">
      <alignment horizontal="center"/>
    </xf>
    <xf numFmtId="4" fontId="128" fillId="19" borderId="0" xfId="0" applyNumberFormat="1" applyFont="1" applyFill="1" applyAlignment="1">
      <alignment horizontal="center" wrapText="1"/>
    </xf>
    <xf numFmtId="4" fontId="128" fillId="21" borderId="0" xfId="0" applyNumberFormat="1" applyFont="1" applyFill="1" applyAlignment="1" applyProtection="1">
      <alignment horizontal="center"/>
      <protection hidden="1"/>
    </xf>
    <xf numFmtId="4" fontId="199" fillId="20" borderId="0" xfId="0" applyNumberFormat="1" applyFont="1" applyFill="1" applyAlignment="1" applyProtection="1">
      <alignment horizontal="center"/>
      <protection hidden="1"/>
    </xf>
    <xf numFmtId="0" fontId="211" fillId="20" borderId="0" xfId="2" applyFont="1" applyFill="1" applyBorder="1" applyAlignment="1" applyProtection="1">
      <alignment horizontal="center"/>
    </xf>
    <xf numFmtId="0" fontId="85" fillId="15" borderId="0" xfId="0" applyFont="1" applyFill="1"/>
    <xf numFmtId="0" fontId="208" fillId="6" borderId="0" xfId="0" applyFont="1" applyFill="1" applyAlignment="1">
      <alignment horizontal="center" wrapText="1"/>
    </xf>
    <xf numFmtId="4" fontId="93" fillId="19" borderId="14" xfId="0" applyNumberFormat="1" applyFont="1" applyFill="1" applyBorder="1" applyAlignment="1">
      <alignment horizontal="center"/>
    </xf>
    <xf numFmtId="0" fontId="85" fillId="7" borderId="0" xfId="0" applyFont="1" applyFill="1"/>
    <xf numFmtId="178" fontId="93" fillId="7" borderId="0" xfId="0" applyNumberFormat="1" applyFont="1" applyFill="1" applyAlignment="1">
      <alignment horizontal="center"/>
    </xf>
    <xf numFmtId="10" fontId="85" fillId="7" borderId="0" xfId="0" applyNumberFormat="1" applyFont="1" applyFill="1" applyAlignment="1">
      <alignment horizontal="center"/>
    </xf>
    <xf numFmtId="10" fontId="93" fillId="7" borderId="0" xfId="4" applyNumberFormat="1" applyFont="1" applyFill="1" applyBorder="1" applyAlignment="1" applyProtection="1">
      <alignment horizontal="center"/>
    </xf>
    <xf numFmtId="10" fontId="85" fillId="7" borderId="0" xfId="4" applyNumberFormat="1" applyFont="1" applyFill="1" applyBorder="1" applyAlignment="1" applyProtection="1">
      <alignment horizontal="center"/>
    </xf>
    <xf numFmtId="178" fontId="85" fillId="20" borderId="0" xfId="0" applyNumberFormat="1" applyFont="1" applyFill="1" applyAlignment="1">
      <alignment horizontal="center"/>
    </xf>
    <xf numFmtId="10" fontId="85" fillId="0" borderId="0" xfId="4" applyNumberFormat="1" applyFont="1" applyBorder="1" applyAlignment="1" applyProtection="1">
      <alignment horizontal="center"/>
    </xf>
    <xf numFmtId="4" fontId="85" fillId="19" borderId="0" xfId="0" applyNumberFormat="1" applyFont="1" applyFill="1" applyAlignment="1">
      <alignment horizontal="center" wrapText="1"/>
    </xf>
    <xf numFmtId="4" fontId="85" fillId="21" borderId="0" xfId="0" applyNumberFormat="1" applyFont="1" applyFill="1" applyAlignment="1" applyProtection="1">
      <alignment horizontal="center"/>
      <protection hidden="1"/>
    </xf>
    <xf numFmtId="4" fontId="93" fillId="20" borderId="0" xfId="0" applyNumberFormat="1" applyFont="1" applyFill="1" applyAlignment="1" applyProtection="1">
      <alignment horizontal="center"/>
      <protection hidden="1"/>
    </xf>
    <xf numFmtId="0" fontId="147" fillId="20" borderId="0" xfId="2" applyFont="1" applyFill="1" applyBorder="1" applyAlignment="1" applyProtection="1">
      <alignment horizontal="center"/>
    </xf>
    <xf numFmtId="4" fontId="199" fillId="19" borderId="12" xfId="0" applyNumberFormat="1" applyFont="1" applyFill="1" applyBorder="1" applyAlignment="1">
      <alignment horizontal="center"/>
    </xf>
    <xf numFmtId="0" fontId="91" fillId="15" borderId="0" xfId="0" applyFont="1" applyFill="1"/>
    <xf numFmtId="0" fontId="99" fillId="15" borderId="0" xfId="0" applyFont="1" applyFill="1" applyAlignment="1">
      <alignment vertical="center"/>
    </xf>
    <xf numFmtId="0" fontId="91" fillId="15" borderId="0" xfId="0" applyFont="1" applyFill="1" applyProtection="1">
      <protection hidden="1"/>
    </xf>
    <xf numFmtId="2" fontId="91" fillId="15" borderId="0" xfId="0" applyNumberFormat="1" applyFont="1" applyFill="1" applyProtection="1">
      <protection hidden="1"/>
    </xf>
    <xf numFmtId="0" fontId="99" fillId="15" borderId="0" xfId="0" applyFont="1" applyFill="1" applyAlignment="1">
      <alignment horizontal="left" vertical="center"/>
    </xf>
    <xf numFmtId="0" fontId="209" fillId="6" borderId="0" xfId="0" applyFont="1" applyFill="1" applyAlignment="1">
      <alignment horizontal="center" wrapText="1"/>
    </xf>
    <xf numFmtId="4" fontId="105" fillId="19" borderId="14" xfId="0" applyNumberFormat="1" applyFont="1" applyFill="1" applyBorder="1" applyAlignment="1">
      <alignment horizontal="center"/>
    </xf>
    <xf numFmtId="0" fontId="91" fillId="7" borderId="0" xfId="0" applyFont="1" applyFill="1"/>
    <xf numFmtId="178" fontId="105" fillId="7" borderId="0" xfId="0" applyNumberFormat="1" applyFont="1" applyFill="1" applyAlignment="1">
      <alignment horizontal="center"/>
    </xf>
    <xf numFmtId="10" fontId="91" fillId="7" borderId="0" xfId="0" applyNumberFormat="1" applyFont="1" applyFill="1" applyAlignment="1">
      <alignment horizontal="center"/>
    </xf>
    <xf numFmtId="0" fontId="105" fillId="7" borderId="0" xfId="0" applyFont="1" applyFill="1"/>
    <xf numFmtId="10" fontId="105" fillId="7" borderId="0" xfId="4" applyNumberFormat="1" applyFont="1" applyFill="1" applyBorder="1" applyAlignment="1" applyProtection="1">
      <alignment horizontal="center"/>
    </xf>
    <xf numFmtId="10" fontId="91" fillId="7" borderId="0" xfId="4" applyNumberFormat="1" applyFont="1" applyFill="1" applyBorder="1" applyAlignment="1" applyProtection="1">
      <alignment horizontal="center"/>
    </xf>
    <xf numFmtId="178" fontId="91" fillId="20" borderId="0" xfId="0" applyNumberFormat="1" applyFont="1" applyFill="1" applyAlignment="1">
      <alignment horizontal="center"/>
    </xf>
    <xf numFmtId="10" fontId="91" fillId="0" borderId="0" xfId="4" applyNumberFormat="1" applyFont="1" applyBorder="1" applyAlignment="1" applyProtection="1">
      <alignment horizontal="center"/>
    </xf>
    <xf numFmtId="4" fontId="91" fillId="19" borderId="0" xfId="0" applyNumberFormat="1" applyFont="1" applyFill="1" applyAlignment="1">
      <alignment horizontal="center" wrapText="1"/>
    </xf>
    <xf numFmtId="4" fontId="91" fillId="21" borderId="0" xfId="0" applyNumberFormat="1" applyFont="1" applyFill="1" applyAlignment="1" applyProtection="1">
      <alignment horizontal="center"/>
      <protection hidden="1"/>
    </xf>
    <xf numFmtId="4" fontId="105" fillId="20" borderId="0" xfId="0" applyNumberFormat="1" applyFont="1" applyFill="1" applyAlignment="1" applyProtection="1">
      <alignment horizontal="center"/>
      <protection hidden="1"/>
    </xf>
    <xf numFmtId="0" fontId="112" fillId="20" borderId="0" xfId="2" applyFont="1" applyFill="1" applyBorder="1" applyAlignment="1" applyProtection="1">
      <alignment horizontal="center"/>
    </xf>
    <xf numFmtId="187" fontId="107" fillId="0" borderId="0" xfId="0" applyNumberFormat="1" applyFont="1"/>
    <xf numFmtId="0" fontId="74" fillId="6" borderId="14" xfId="0" applyFont="1" applyFill="1" applyBorder="1"/>
    <xf numFmtId="0" fontId="46" fillId="6" borderId="14" xfId="0" applyFont="1" applyFill="1" applyBorder="1" applyAlignment="1">
      <alignment horizontal="right"/>
    </xf>
    <xf numFmtId="9" fontId="74" fillId="20" borderId="14" xfId="0" applyNumberFormat="1" applyFont="1" applyFill="1" applyBorder="1"/>
    <xf numFmtId="9" fontId="74" fillId="20" borderId="14" xfId="4" applyFont="1" applyFill="1" applyBorder="1"/>
    <xf numFmtId="0" fontId="74" fillId="6" borderId="24" xfId="0" applyFont="1" applyFill="1" applyBorder="1"/>
    <xf numFmtId="0" fontId="46" fillId="6" borderId="24" xfId="0" applyFont="1" applyFill="1" applyBorder="1" applyAlignment="1">
      <alignment horizontal="center"/>
    </xf>
    <xf numFmtId="0" fontId="46" fillId="6" borderId="24" xfId="0" applyFont="1" applyFill="1" applyBorder="1"/>
    <xf numFmtId="0" fontId="80" fillId="6" borderId="12" xfId="0" applyFont="1" applyFill="1" applyBorder="1" applyAlignment="1">
      <alignment horizontal="right"/>
    </xf>
    <xf numFmtId="0" fontId="46" fillId="6" borderId="18" xfId="0" applyFont="1" applyFill="1" applyBorder="1" applyAlignment="1">
      <alignment horizontal="center"/>
    </xf>
    <xf numFmtId="0" fontId="46" fillId="6" borderId="18" xfId="0" applyFont="1" applyFill="1" applyBorder="1"/>
    <xf numFmtId="0" fontId="46" fillId="6" borderId="13" xfId="0" applyFont="1" applyFill="1" applyBorder="1"/>
    <xf numFmtId="0" fontId="46" fillId="12" borderId="52" xfId="0" applyFont="1" applyFill="1" applyBorder="1"/>
    <xf numFmtId="0" fontId="46" fillId="12" borderId="89" xfId="0" applyFont="1" applyFill="1" applyBorder="1"/>
    <xf numFmtId="185" fontId="74" fillId="12" borderId="85" xfId="0" applyNumberFormat="1" applyFont="1" applyFill="1" applyBorder="1"/>
    <xf numFmtId="0" fontId="53" fillId="6" borderId="0" xfId="0" applyFont="1" applyFill="1" applyAlignment="1">
      <alignment wrapText="1"/>
    </xf>
    <xf numFmtId="165" fontId="74" fillId="6" borderId="0" xfId="0" applyNumberFormat="1" applyFont="1" applyFill="1"/>
    <xf numFmtId="183" fontId="74" fillId="6" borderId="0" xfId="0" applyNumberFormat="1" applyFont="1" applyFill="1"/>
    <xf numFmtId="184" fontId="74" fillId="6" borderId="0" xfId="0" applyNumberFormat="1" applyFont="1" applyFill="1"/>
    <xf numFmtId="185" fontId="74" fillId="6" borderId="0" xfId="0" applyNumberFormat="1" applyFont="1" applyFill="1"/>
    <xf numFmtId="7" fontId="86" fillId="6" borderId="0" xfId="3" applyNumberFormat="1" applyFont="1" applyFill="1" applyBorder="1" applyAlignment="1" applyProtection="1">
      <alignment horizontal="right" vertical="center"/>
      <protection hidden="1"/>
    </xf>
    <xf numFmtId="1" fontId="47" fillId="7" borderId="14" xfId="0" applyNumberFormat="1" applyFont="1" applyFill="1" applyBorder="1"/>
    <xf numFmtId="10" fontId="74" fillId="0" borderId="0" xfId="4" applyNumberFormat="1" applyFont="1"/>
    <xf numFmtId="172" fontId="74" fillId="0" borderId="0" xfId="0" applyNumberFormat="1" applyFont="1"/>
    <xf numFmtId="165" fontId="74" fillId="0" borderId="0" xfId="0" applyNumberFormat="1" applyFont="1"/>
    <xf numFmtId="187" fontId="74" fillId="0" borderId="0" xfId="0" applyNumberFormat="1" applyFont="1"/>
    <xf numFmtId="10" fontId="80" fillId="0" borderId="0" xfId="4" applyNumberFormat="1" applyFont="1" applyBorder="1"/>
    <xf numFmtId="0" fontId="44" fillId="0" borderId="0" xfId="0" applyFont="1" applyProtection="1">
      <protection hidden="1"/>
    </xf>
    <xf numFmtId="0" fontId="44" fillId="0" borderId="19" xfId="0" applyFont="1" applyBorder="1" applyProtection="1">
      <protection hidden="1"/>
    </xf>
    <xf numFmtId="0" fontId="59" fillId="0" borderId="87" xfId="0" applyFont="1" applyBorder="1" applyAlignment="1">
      <alignment horizontal="center" wrapText="1"/>
    </xf>
    <xf numFmtId="0" fontId="86" fillId="0" borderId="23" xfId="0" applyFont="1" applyBorder="1" applyAlignment="1" applyProtection="1">
      <alignment horizontal="center"/>
      <protection hidden="1"/>
    </xf>
    <xf numFmtId="0" fontId="86" fillId="0" borderId="5" xfId="0" applyFont="1" applyBorder="1" applyAlignment="1" applyProtection="1">
      <alignment horizontal="center"/>
      <protection hidden="1"/>
    </xf>
    <xf numFmtId="0" fontId="86" fillId="0" borderId="23" xfId="0" applyFont="1" applyBorder="1" applyAlignment="1" applyProtection="1">
      <alignment horizontal="center" wrapText="1"/>
      <protection hidden="1"/>
    </xf>
    <xf numFmtId="0" fontId="86" fillId="10" borderId="3" xfId="0" applyFont="1" applyFill="1" applyBorder="1" applyAlignment="1" applyProtection="1">
      <alignment horizontal="center" wrapText="1"/>
      <protection hidden="1"/>
    </xf>
    <xf numFmtId="0" fontId="100" fillId="0" borderId="19" xfId="0" applyFont="1" applyBorder="1" applyAlignment="1" applyProtection="1">
      <alignment horizontal="center" wrapText="1"/>
      <protection hidden="1"/>
    </xf>
    <xf numFmtId="0" fontId="87" fillId="10" borderId="5" xfId="0" applyFont="1" applyFill="1" applyBorder="1" applyAlignment="1" applyProtection="1">
      <alignment horizontal="center" wrapText="1"/>
      <protection hidden="1"/>
    </xf>
    <xf numFmtId="14" fontId="86" fillId="7" borderId="19" xfId="0" applyNumberFormat="1" applyFont="1" applyFill="1" applyBorder="1" applyAlignment="1" applyProtection="1">
      <alignment horizontal="center"/>
      <protection hidden="1"/>
    </xf>
    <xf numFmtId="0" fontId="81" fillId="0" borderId="19" xfId="0" applyFont="1" applyBorder="1" applyAlignment="1" applyProtection="1">
      <alignment horizontal="center"/>
      <protection hidden="1"/>
    </xf>
    <xf numFmtId="0" fontId="87" fillId="10" borderId="5" xfId="0" applyFont="1" applyFill="1" applyBorder="1" applyAlignment="1" applyProtection="1">
      <alignment horizontal="center" vertical="top" wrapText="1"/>
      <protection hidden="1"/>
    </xf>
    <xf numFmtId="0" fontId="87" fillId="0" borderId="24" xfId="0" applyFont="1" applyBorder="1" applyAlignment="1" applyProtection="1">
      <alignment horizontal="center"/>
      <protection hidden="1"/>
    </xf>
    <xf numFmtId="0" fontId="87" fillId="0" borderId="8" xfId="0" applyFont="1" applyBorder="1" applyAlignment="1" applyProtection="1">
      <alignment horizontal="center"/>
      <protection hidden="1"/>
    </xf>
    <xf numFmtId="0" fontId="87" fillId="10" borderId="24" xfId="0" applyFont="1" applyFill="1" applyBorder="1" applyAlignment="1" applyProtection="1">
      <alignment horizontal="center"/>
      <protection hidden="1"/>
    </xf>
    <xf numFmtId="166" fontId="86" fillId="0" borderId="0" xfId="0" applyNumberFormat="1" applyFont="1" applyProtection="1">
      <protection hidden="1"/>
    </xf>
    <xf numFmtId="0" fontId="81" fillId="0" borderId="32" xfId="0" applyFont="1" applyBorder="1" applyProtection="1">
      <protection hidden="1"/>
    </xf>
    <xf numFmtId="0" fontId="86" fillId="0" borderId="32" xfId="0" applyFont="1" applyBorder="1" applyProtection="1">
      <protection hidden="1"/>
    </xf>
    <xf numFmtId="0" fontId="86" fillId="0" borderId="32" xfId="0" applyFont="1" applyBorder="1" applyAlignment="1" applyProtection="1">
      <alignment vertical="center"/>
      <protection hidden="1"/>
    </xf>
    <xf numFmtId="0" fontId="86" fillId="0" borderId="42" xfId="0" applyFont="1" applyBorder="1" applyProtection="1">
      <protection hidden="1"/>
    </xf>
    <xf numFmtId="0" fontId="87" fillId="0" borderId="41" xfId="0" applyFont="1" applyBorder="1" applyAlignment="1" applyProtection="1">
      <alignment horizontal="right"/>
      <protection hidden="1"/>
    </xf>
    <xf numFmtId="0" fontId="87" fillId="0" borderId="5" xfId="0" applyFont="1" applyBorder="1" applyAlignment="1" applyProtection="1">
      <alignment horizontal="right"/>
      <protection hidden="1"/>
    </xf>
    <xf numFmtId="1" fontId="81" fillId="20" borderId="28" xfId="0" applyNumberFormat="1" applyFont="1" applyFill="1" applyBorder="1" applyAlignment="1" applyProtection="1">
      <alignment horizontal="center"/>
      <protection hidden="1"/>
    </xf>
    <xf numFmtId="0" fontId="85" fillId="0" borderId="7" xfId="0" applyFont="1" applyBorder="1" applyProtection="1">
      <protection hidden="1"/>
    </xf>
    <xf numFmtId="0" fontId="196" fillId="0" borderId="7" xfId="0" applyFont="1" applyBorder="1" applyAlignment="1" applyProtection="1">
      <alignment horizontal="right"/>
      <protection hidden="1"/>
    </xf>
    <xf numFmtId="1" fontId="81" fillId="27" borderId="28" xfId="0" applyNumberFormat="1" applyFont="1" applyFill="1" applyBorder="1" applyAlignment="1" applyProtection="1">
      <alignment horizontal="center"/>
      <protection locked="0"/>
    </xf>
    <xf numFmtId="0" fontId="43" fillId="0" borderId="0" xfId="0" applyFont="1"/>
    <xf numFmtId="0" fontId="80" fillId="0" borderId="81" xfId="0" applyFont="1" applyBorder="1"/>
    <xf numFmtId="0" fontId="80" fillId="0" borderId="63" xfId="0" applyFont="1" applyBorder="1"/>
    <xf numFmtId="0" fontId="80" fillId="0" borderId="64" xfId="0" applyFont="1" applyBorder="1"/>
    <xf numFmtId="10" fontId="131" fillId="20" borderId="14" xfId="0" applyNumberFormat="1" applyFont="1" applyFill="1" applyBorder="1" applyAlignment="1" applyProtection="1">
      <alignment horizontal="right" vertical="center"/>
      <protection hidden="1"/>
    </xf>
    <xf numFmtId="187" fontId="127" fillId="0" borderId="0" xfId="0" applyNumberFormat="1" applyFont="1"/>
    <xf numFmtId="168" fontId="59" fillId="7" borderId="13" xfId="0" applyNumberFormat="1" applyFont="1" applyFill="1" applyBorder="1" applyAlignment="1">
      <alignment horizontal="center"/>
    </xf>
    <xf numFmtId="4" fontId="74" fillId="7" borderId="14" xfId="0" applyNumberFormat="1" applyFont="1" applyFill="1" applyBorder="1"/>
    <xf numFmtId="49" fontId="74" fillId="20" borderId="13" xfId="0" applyNumberFormat="1" applyFont="1" applyFill="1" applyBorder="1" applyAlignment="1">
      <alignment horizontal="center"/>
    </xf>
    <xf numFmtId="168" fontId="74" fillId="20" borderId="14" xfId="0" applyNumberFormat="1" applyFont="1" applyFill="1" applyBorder="1" applyAlignment="1">
      <alignment horizontal="center"/>
    </xf>
    <xf numFmtId="1" fontId="74" fillId="20" borderId="14" xfId="0" applyNumberFormat="1" applyFont="1" applyFill="1" applyBorder="1" applyAlignment="1">
      <alignment horizontal="center"/>
    </xf>
    <xf numFmtId="4" fontId="74" fillId="20" borderId="14" xfId="0" applyNumberFormat="1" applyFont="1" applyFill="1" applyBorder="1" applyAlignment="1">
      <alignment horizontal="center"/>
    </xf>
    <xf numFmtId="4" fontId="74" fillId="20" borderId="49" xfId="0" applyNumberFormat="1" applyFont="1" applyFill="1" applyBorder="1" applyAlignment="1">
      <alignment horizontal="center"/>
    </xf>
    <xf numFmtId="0" fontId="0" fillId="6" borderId="0" xfId="0" applyFill="1" applyProtection="1">
      <protection hidden="1"/>
    </xf>
    <xf numFmtId="0" fontId="0" fillId="6" borderId="5" xfId="0" applyFill="1" applyBorder="1" applyProtection="1">
      <protection hidden="1"/>
    </xf>
    <xf numFmtId="0" fontId="201" fillId="6" borderId="0" xfId="0" applyFont="1" applyFill="1" applyAlignment="1" applyProtection="1">
      <alignment horizontal="center" vertical="center"/>
      <protection hidden="1"/>
    </xf>
    <xf numFmtId="16" fontId="85" fillId="6" borderId="0" xfId="0" applyNumberFormat="1" applyFont="1" applyFill="1" applyAlignment="1" applyProtection="1">
      <alignment horizontal="right"/>
      <protection hidden="1"/>
    </xf>
    <xf numFmtId="0" fontId="201" fillId="6" borderId="0" xfId="0" applyFont="1" applyFill="1" applyAlignment="1" applyProtection="1">
      <alignment horizontal="left" vertical="center"/>
      <protection hidden="1"/>
    </xf>
    <xf numFmtId="0" fontId="74" fillId="0" borderId="3" xfId="0" applyFont="1" applyBorder="1" applyProtection="1">
      <protection hidden="1"/>
    </xf>
    <xf numFmtId="167" fontId="74" fillId="3" borderId="13" xfId="1" applyNumberFormat="1" applyFont="1" applyFill="1" applyBorder="1" applyAlignment="1" applyProtection="1">
      <alignment vertical="center"/>
      <protection locked="0"/>
    </xf>
    <xf numFmtId="167" fontId="74" fillId="3" borderId="14" xfId="1" applyNumberFormat="1" applyFont="1" applyFill="1" applyBorder="1" applyAlignment="1" applyProtection="1">
      <alignment vertical="center"/>
      <protection locked="0"/>
    </xf>
    <xf numFmtId="167" fontId="86" fillId="3" borderId="13" xfId="1" applyNumberFormat="1" applyFont="1" applyFill="1" applyBorder="1" applyAlignment="1" applyProtection="1">
      <alignment vertical="center"/>
      <protection locked="0"/>
    </xf>
    <xf numFmtId="0" fontId="74" fillId="0" borderId="23" xfId="0" applyFont="1" applyBorder="1" applyProtection="1">
      <protection hidden="1"/>
    </xf>
    <xf numFmtId="189" fontId="127" fillId="0" borderId="19" xfId="0" applyNumberFormat="1" applyFont="1" applyBorder="1" applyProtection="1">
      <protection hidden="1"/>
    </xf>
    <xf numFmtId="190" fontId="127" fillId="0" borderId="19" xfId="0" applyNumberFormat="1" applyFont="1" applyBorder="1" applyAlignment="1" applyProtection="1">
      <alignment vertical="top"/>
      <protection hidden="1"/>
    </xf>
    <xf numFmtId="189" fontId="127" fillId="0" borderId="19" xfId="0" applyNumberFormat="1" applyFont="1" applyBorder="1" applyAlignment="1" applyProtection="1">
      <alignment horizontal="center"/>
      <protection hidden="1"/>
    </xf>
    <xf numFmtId="190" fontId="127" fillId="0" borderId="19" xfId="0" applyNumberFormat="1" applyFont="1" applyBorder="1" applyAlignment="1" applyProtection="1">
      <alignment horizontal="center" vertical="top"/>
      <protection hidden="1"/>
    </xf>
    <xf numFmtId="49" fontId="42" fillId="0" borderId="24" xfId="0" applyNumberFormat="1" applyFont="1" applyBorder="1" applyAlignment="1" applyProtection="1">
      <alignment horizontal="center"/>
      <protection hidden="1"/>
    </xf>
    <xf numFmtId="0" fontId="42" fillId="0" borderId="24" xfId="0" applyFont="1" applyBorder="1" applyAlignment="1" applyProtection="1">
      <alignment horizontal="center"/>
      <protection hidden="1"/>
    </xf>
    <xf numFmtId="167" fontId="81" fillId="6" borderId="0" xfId="1" applyNumberFormat="1" applyFont="1" applyFill="1" applyBorder="1" applyAlignment="1" applyProtection="1">
      <alignment vertical="center"/>
      <protection hidden="1"/>
    </xf>
    <xf numFmtId="167" fontId="81" fillId="6" borderId="19" xfId="1" applyNumberFormat="1" applyFont="1" applyFill="1" applyBorder="1" applyAlignment="1" applyProtection="1">
      <alignment vertical="center"/>
      <protection hidden="1"/>
    </xf>
    <xf numFmtId="0" fontId="86" fillId="0" borderId="19" xfId="0" applyFont="1" applyBorder="1" applyAlignment="1" applyProtection="1">
      <alignment horizontal="center" vertical="top"/>
      <protection hidden="1"/>
    </xf>
    <xf numFmtId="0" fontId="86" fillId="13" borderId="19" xfId="0" applyFont="1" applyFill="1" applyBorder="1" applyAlignment="1">
      <alignment horizontal="center" vertical="top" wrapText="1"/>
    </xf>
    <xf numFmtId="0" fontId="74" fillId="0" borderId="19" xfId="0" applyFont="1" applyBorder="1" applyAlignment="1" applyProtection="1">
      <alignment horizontal="center" vertical="top"/>
      <protection hidden="1"/>
    </xf>
    <xf numFmtId="0" fontId="42" fillId="6" borderId="0" xfId="0" applyFont="1" applyFill="1" applyAlignment="1" applyProtection="1">
      <alignment horizontal="left" vertical="center"/>
      <protection hidden="1"/>
    </xf>
    <xf numFmtId="0" fontId="86" fillId="2" borderId="19" xfId="0" applyFont="1" applyFill="1" applyBorder="1" applyAlignment="1" applyProtection="1">
      <alignment horizontal="center" vertical="top" wrapText="1"/>
      <protection hidden="1"/>
    </xf>
    <xf numFmtId="10" fontId="0" fillId="0" borderId="0" xfId="4" applyNumberFormat="1" applyFont="1"/>
    <xf numFmtId="0" fontId="207" fillId="33" borderId="95" xfId="0" applyFont="1" applyFill="1" applyBorder="1" applyAlignment="1" applyProtection="1">
      <alignment horizontal="center" vertical="center" wrapText="1"/>
      <protection locked="0"/>
    </xf>
    <xf numFmtId="0" fontId="81" fillId="11" borderId="50" xfId="0" applyFont="1" applyFill="1" applyBorder="1" applyAlignment="1">
      <alignment horizontal="center" vertical="center" wrapText="1"/>
    </xf>
    <xf numFmtId="0" fontId="41" fillId="0" borderId="0" xfId="0" applyFont="1"/>
    <xf numFmtId="14" fontId="124" fillId="33" borderId="14" xfId="0" applyNumberFormat="1" applyFont="1" applyFill="1" applyBorder="1" applyAlignment="1" applyProtection="1">
      <alignment horizontal="center" vertical="center"/>
      <protection locked="0"/>
    </xf>
    <xf numFmtId="0" fontId="188" fillId="31" borderId="0" xfId="0" applyFont="1" applyFill="1" applyAlignment="1" applyProtection="1">
      <alignment horizontal="right" vertical="top"/>
      <protection hidden="1"/>
    </xf>
    <xf numFmtId="0" fontId="86" fillId="0" borderId="19" xfId="0" applyFont="1" applyBorder="1" applyAlignment="1" applyProtection="1">
      <alignment horizontal="center" wrapText="1"/>
      <protection hidden="1"/>
    </xf>
    <xf numFmtId="0" fontId="147" fillId="6" borderId="0" xfId="2" applyFont="1" applyFill="1" applyBorder="1" applyAlignment="1" applyProtection="1"/>
    <xf numFmtId="4" fontId="105" fillId="31" borderId="14" xfId="0" applyNumberFormat="1" applyFont="1" applyFill="1" applyBorder="1" applyAlignment="1">
      <alignment horizontal="center"/>
    </xf>
    <xf numFmtId="4" fontId="91" fillId="31" borderId="14" xfId="0" applyNumberFormat="1" applyFont="1" applyFill="1" applyBorder="1" applyAlignment="1">
      <alignment horizontal="center"/>
    </xf>
    <xf numFmtId="4" fontId="91" fillId="8" borderId="18" xfId="0" applyNumberFormat="1" applyFont="1" applyFill="1" applyBorder="1" applyProtection="1">
      <protection hidden="1"/>
    </xf>
    <xf numFmtId="0" fontId="40" fillId="0" borderId="0" xfId="0" applyFont="1"/>
    <xf numFmtId="0" fontId="111" fillId="6" borderId="0" xfId="0" applyFont="1" applyFill="1" applyProtection="1">
      <protection hidden="1"/>
    </xf>
    <xf numFmtId="167" fontId="0" fillId="0" borderId="0" xfId="0" applyNumberFormat="1" applyAlignment="1" applyProtection="1">
      <alignment vertical="center"/>
      <protection hidden="1"/>
    </xf>
    <xf numFmtId="170" fontId="91" fillId="8" borderId="12" xfId="0" applyNumberFormat="1" applyFont="1" applyFill="1" applyBorder="1" applyProtection="1">
      <protection hidden="1"/>
    </xf>
    <xf numFmtId="170" fontId="105" fillId="8" borderId="18" xfId="0" applyNumberFormat="1" applyFont="1" applyFill="1" applyBorder="1" applyProtection="1">
      <protection hidden="1"/>
    </xf>
    <xf numFmtId="4" fontId="0" fillId="0" borderId="0" xfId="0" applyNumberFormat="1" applyProtection="1">
      <protection hidden="1"/>
    </xf>
    <xf numFmtId="165" fontId="81" fillId="6" borderId="0" xfId="0" applyNumberFormat="1" applyFont="1" applyFill="1" applyAlignment="1" applyProtection="1">
      <alignment horizontal="right" indent="1"/>
      <protection hidden="1"/>
    </xf>
    <xf numFmtId="0" fontId="81" fillId="6" borderId="0" xfId="0" applyFont="1" applyFill="1" applyAlignment="1" applyProtection="1">
      <alignment horizontal="right"/>
      <protection hidden="1"/>
    </xf>
    <xf numFmtId="4" fontId="149" fillId="0" borderId="0" xfId="0" applyNumberFormat="1" applyFont="1" applyProtection="1">
      <protection hidden="1"/>
    </xf>
    <xf numFmtId="170" fontId="99" fillId="8" borderId="0" xfId="0" applyNumberFormat="1" applyFont="1" applyFill="1" applyAlignment="1" applyProtection="1">
      <alignment horizontal="left"/>
      <protection hidden="1"/>
    </xf>
    <xf numFmtId="170" fontId="80" fillId="6" borderId="0" xfId="0" applyNumberFormat="1" applyFont="1" applyFill="1" applyProtection="1">
      <protection hidden="1"/>
    </xf>
    <xf numFmtId="0" fontId="86" fillId="6" borderId="18" xfId="0" applyFont="1" applyFill="1" applyBorder="1" applyProtection="1">
      <protection hidden="1"/>
    </xf>
    <xf numFmtId="14" fontId="0" fillId="0" borderId="0" xfId="0" applyNumberFormat="1"/>
    <xf numFmtId="0" fontId="81" fillId="6" borderId="0" xfId="0" applyFont="1" applyFill="1" applyAlignment="1">
      <alignment horizontal="left" vertical="center" wrapText="1"/>
    </xf>
    <xf numFmtId="0" fontId="39" fillId="0" borderId="0" xfId="0" applyFont="1"/>
    <xf numFmtId="173" fontId="74" fillId="0" borderId="0" xfId="0" applyNumberFormat="1" applyFont="1"/>
    <xf numFmtId="0" fontId="39" fillId="6" borderId="12" xfId="0" applyFont="1" applyFill="1" applyBorder="1" applyProtection="1">
      <protection hidden="1"/>
    </xf>
    <xf numFmtId="0" fontId="86" fillId="6" borderId="13" xfId="0" applyFont="1" applyFill="1" applyBorder="1" applyProtection="1">
      <protection hidden="1"/>
    </xf>
    <xf numFmtId="0" fontId="39" fillId="0" borderId="12" xfId="0" applyFont="1" applyBorder="1" applyProtection="1">
      <protection hidden="1"/>
    </xf>
    <xf numFmtId="0" fontId="100" fillId="0" borderId="18" xfId="0" applyFont="1" applyBorder="1" applyAlignment="1" applyProtection="1">
      <alignment horizontal="left"/>
      <protection hidden="1"/>
    </xf>
    <xf numFmtId="0" fontId="125" fillId="20" borderId="0" xfId="0" applyFont="1" applyFill="1"/>
    <xf numFmtId="0" fontId="39" fillId="6" borderId="31" xfId="0" applyFont="1" applyFill="1" applyBorder="1"/>
    <xf numFmtId="0" fontId="39" fillId="6" borderId="6" xfId="0" applyFont="1" applyFill="1" applyBorder="1"/>
    <xf numFmtId="0" fontId="0" fillId="20" borderId="70" xfId="0" applyFill="1" applyBorder="1"/>
    <xf numFmtId="173" fontId="74" fillId="6" borderId="7" xfId="0" applyNumberFormat="1" applyFont="1" applyFill="1" applyBorder="1"/>
    <xf numFmtId="173" fontId="74" fillId="6" borderId="7" xfId="4" applyNumberFormat="1" applyFont="1" applyFill="1" applyBorder="1"/>
    <xf numFmtId="173" fontId="74" fillId="6" borderId="32" xfId="0" applyNumberFormat="1" applyFont="1" applyFill="1" applyBorder="1"/>
    <xf numFmtId="1" fontId="39" fillId="0" borderId="14" xfId="0" applyNumberFormat="1" applyFont="1" applyBorder="1"/>
    <xf numFmtId="0" fontId="39" fillId="20" borderId="14" xfId="0" applyFont="1" applyFill="1" applyBorder="1"/>
    <xf numFmtId="193" fontId="39" fillId="20" borderId="14" xfId="0" applyNumberFormat="1" applyFont="1" applyFill="1" applyBorder="1"/>
    <xf numFmtId="0" fontId="0" fillId="7" borderId="82" xfId="0" applyFill="1" applyBorder="1"/>
    <xf numFmtId="1" fontId="39" fillId="0" borderId="23" xfId="0" applyNumberFormat="1" applyFont="1" applyBorder="1"/>
    <xf numFmtId="193" fontId="39" fillId="20" borderId="23" xfId="0" applyNumberFormat="1" applyFont="1" applyFill="1" applyBorder="1"/>
    <xf numFmtId="1" fontId="39" fillId="0" borderId="34" xfId="0" applyNumberFormat="1" applyFont="1" applyBorder="1"/>
    <xf numFmtId="0" fontId="39" fillId="0" borderId="32" xfId="0" applyFont="1" applyBorder="1"/>
    <xf numFmtId="0" fontId="39" fillId="7" borderId="49" xfId="0" applyFont="1" applyFill="1" applyBorder="1" applyAlignment="1">
      <alignment wrapText="1"/>
    </xf>
    <xf numFmtId="193" fontId="39" fillId="19" borderId="0" xfId="0" applyNumberFormat="1" applyFont="1" applyFill="1"/>
    <xf numFmtId="9" fontId="39" fillId="7" borderId="43" xfId="4" applyFont="1" applyFill="1" applyBorder="1"/>
    <xf numFmtId="0" fontId="39" fillId="0" borderId="60" xfId="0" applyFont="1" applyBorder="1"/>
    <xf numFmtId="0" fontId="39" fillId="0" borderId="61" xfId="0" applyFont="1" applyBorder="1"/>
    <xf numFmtId="0" fontId="39" fillId="0" borderId="62" xfId="0" applyFont="1" applyBorder="1"/>
    <xf numFmtId="0" fontId="39" fillId="7" borderId="70" xfId="0" applyFont="1" applyFill="1" applyBorder="1" applyAlignment="1">
      <alignment wrapText="1"/>
    </xf>
    <xf numFmtId="193" fontId="39" fillId="7" borderId="48" xfId="0" applyNumberFormat="1" applyFont="1" applyFill="1" applyBorder="1"/>
    <xf numFmtId="10" fontId="39" fillId="7" borderId="49" xfId="4" applyNumberFormat="1" applyFont="1" applyFill="1" applyBorder="1"/>
    <xf numFmtId="0" fontId="39" fillId="0" borderId="43" xfId="0" applyFont="1" applyBorder="1"/>
    <xf numFmtId="193" fontId="39" fillId="20" borderId="24" xfId="0" applyNumberFormat="1" applyFont="1" applyFill="1" applyBorder="1"/>
    <xf numFmtId="169" fontId="39" fillId="0" borderId="18" xfId="0" applyNumberFormat="1" applyFont="1" applyBorder="1"/>
    <xf numFmtId="0" fontId="39" fillId="0" borderId="18" xfId="0" applyFont="1" applyBorder="1"/>
    <xf numFmtId="0" fontId="39" fillId="0" borderId="92" xfId="0" applyFont="1" applyBorder="1"/>
    <xf numFmtId="0" fontId="129" fillId="20" borderId="46" xfId="0" applyFont="1" applyFill="1" applyBorder="1" applyAlignment="1">
      <alignment wrapText="1"/>
    </xf>
    <xf numFmtId="0" fontId="39" fillId="20" borderId="24" xfId="0" applyFont="1" applyFill="1" applyBorder="1" applyAlignment="1">
      <alignment wrapText="1"/>
    </xf>
    <xf numFmtId="0" fontId="39" fillId="20" borderId="6" xfId="0" applyFont="1" applyFill="1" applyBorder="1" applyAlignment="1">
      <alignment wrapText="1"/>
    </xf>
    <xf numFmtId="0" fontId="39" fillId="19" borderId="6" xfId="0" applyFont="1" applyFill="1" applyBorder="1" applyAlignment="1">
      <alignment wrapText="1"/>
    </xf>
    <xf numFmtId="170" fontId="74" fillId="8" borderId="13" xfId="0" applyNumberFormat="1" applyFont="1" applyFill="1" applyBorder="1" applyProtection="1">
      <protection hidden="1"/>
    </xf>
    <xf numFmtId="170" fontId="39" fillId="8" borderId="18" xfId="0" applyNumberFormat="1" applyFont="1" applyFill="1" applyBorder="1" applyProtection="1">
      <protection hidden="1"/>
    </xf>
    <xf numFmtId="170" fontId="80" fillId="8" borderId="18" xfId="0" applyNumberFormat="1" applyFont="1" applyFill="1" applyBorder="1" applyProtection="1">
      <protection hidden="1"/>
    </xf>
    <xf numFmtId="170" fontId="39" fillId="8" borderId="0" xfId="0" applyNumberFormat="1" applyFont="1" applyFill="1" applyProtection="1">
      <protection hidden="1"/>
    </xf>
    <xf numFmtId="170" fontId="39" fillId="7" borderId="13" xfId="0" applyNumberFormat="1" applyFont="1" applyFill="1" applyBorder="1" applyProtection="1">
      <protection hidden="1"/>
    </xf>
    <xf numFmtId="170" fontId="39" fillId="7" borderId="14" xfId="0" applyNumberFormat="1" applyFont="1" applyFill="1" applyBorder="1" applyProtection="1">
      <protection hidden="1"/>
    </xf>
    <xf numFmtId="170" fontId="39" fillId="8" borderId="12" xfId="0" quotePrefix="1" applyNumberFormat="1" applyFont="1" applyFill="1" applyBorder="1" applyProtection="1">
      <protection hidden="1"/>
    </xf>
    <xf numFmtId="170" fontId="0" fillId="0" borderId="13" xfId="0" applyNumberFormat="1" applyBorder="1" applyProtection="1">
      <protection hidden="1"/>
    </xf>
    <xf numFmtId="0" fontId="39" fillId="0" borderId="18" xfId="0" applyFont="1" applyBorder="1" applyProtection="1">
      <protection hidden="1"/>
    </xf>
    <xf numFmtId="16" fontId="39" fillId="7" borderId="18" xfId="0" quotePrefix="1" applyNumberFormat="1" applyFont="1" applyFill="1" applyBorder="1" applyAlignment="1" applyProtection="1">
      <alignment horizontal="left" wrapText="1"/>
      <protection hidden="1"/>
    </xf>
    <xf numFmtId="16" fontId="39" fillId="7" borderId="18" xfId="0" quotePrefix="1" applyNumberFormat="1" applyFont="1" applyFill="1" applyBorder="1" applyAlignment="1" applyProtection="1">
      <alignment horizontal="left"/>
      <protection hidden="1"/>
    </xf>
    <xf numFmtId="0" fontId="80" fillId="0" borderId="18" xfId="0" applyFont="1" applyBorder="1" applyAlignment="1" applyProtection="1">
      <alignment horizontal="left"/>
      <protection hidden="1"/>
    </xf>
    <xf numFmtId="0" fontId="39" fillId="7" borderId="18" xfId="0" applyFont="1" applyFill="1" applyBorder="1" applyAlignment="1" applyProtection="1">
      <alignment horizontal="left"/>
      <protection hidden="1"/>
    </xf>
    <xf numFmtId="165" fontId="93" fillId="6" borderId="0" xfId="0" applyNumberFormat="1" applyFont="1" applyFill="1" applyAlignment="1" applyProtection="1">
      <alignment horizontal="left" indent="1"/>
      <protection hidden="1"/>
    </xf>
    <xf numFmtId="0" fontId="39" fillId="20" borderId="48" xfId="0" applyFont="1" applyFill="1" applyBorder="1"/>
    <xf numFmtId="173" fontId="39" fillId="6" borderId="32" xfId="0" applyNumberFormat="1" applyFont="1" applyFill="1" applyBorder="1"/>
    <xf numFmtId="0" fontId="39" fillId="6" borderId="99" xfId="0" applyFont="1" applyFill="1" applyBorder="1"/>
    <xf numFmtId="0" fontId="39" fillId="6" borderId="48" xfId="0" applyFont="1" applyFill="1" applyBorder="1"/>
    <xf numFmtId="0" fontId="39" fillId="20" borderId="72" xfId="0" applyFont="1" applyFill="1" applyBorder="1" applyAlignment="1">
      <alignment wrapText="1"/>
    </xf>
    <xf numFmtId="0" fontId="39" fillId="19" borderId="44" xfId="0" applyFont="1" applyFill="1" applyBorder="1" applyAlignment="1">
      <alignment wrapText="1"/>
    </xf>
    <xf numFmtId="0" fontId="39" fillId="6" borderId="97" xfId="0" applyFont="1" applyFill="1" applyBorder="1"/>
    <xf numFmtId="0" fontId="39" fillId="6" borderId="60" xfId="0" applyFont="1" applyFill="1" applyBorder="1"/>
    <xf numFmtId="173" fontId="39" fillId="6" borderId="61" xfId="4" applyNumberFormat="1" applyFont="1" applyFill="1" applyBorder="1"/>
    <xf numFmtId="173" fontId="39" fillId="6" borderId="61" xfId="0" applyNumberFormat="1" applyFont="1" applyFill="1" applyBorder="1"/>
    <xf numFmtId="0" fontId="39" fillId="6" borderId="74" xfId="0" applyFont="1" applyFill="1" applyBorder="1" applyAlignment="1">
      <alignment horizontal="right" vertical="center"/>
    </xf>
    <xf numFmtId="0" fontId="79" fillId="6" borderId="73" xfId="0" applyFont="1" applyFill="1" applyBorder="1" applyAlignment="1">
      <alignment horizontal="left" vertical="center"/>
    </xf>
    <xf numFmtId="0" fontId="80" fillId="20" borderId="81" xfId="0" applyFont="1" applyFill="1" applyBorder="1"/>
    <xf numFmtId="0" fontId="80" fillId="20" borderId="63" xfId="0" applyFont="1" applyFill="1" applyBorder="1"/>
    <xf numFmtId="0" fontId="80" fillId="20" borderId="56" xfId="0" applyFont="1" applyFill="1" applyBorder="1"/>
    <xf numFmtId="0" fontId="0" fillId="20" borderId="58" xfId="0" applyFill="1" applyBorder="1"/>
    <xf numFmtId="0" fontId="218" fillId="0" borderId="0" xfId="0" applyFont="1"/>
    <xf numFmtId="0" fontId="77" fillId="20" borderId="57" xfId="0" applyFont="1" applyFill="1" applyBorder="1"/>
    <xf numFmtId="0" fontId="77" fillId="20" borderId="56" xfId="0" applyFont="1" applyFill="1" applyBorder="1"/>
    <xf numFmtId="0" fontId="38" fillId="7" borderId="12" xfId="0" applyFont="1" applyFill="1" applyBorder="1"/>
    <xf numFmtId="0" fontId="38" fillId="7" borderId="18" xfId="0" applyFont="1" applyFill="1" applyBorder="1"/>
    <xf numFmtId="0" fontId="38" fillId="7" borderId="96" xfId="0" applyFont="1" applyFill="1" applyBorder="1"/>
    <xf numFmtId="0" fontId="38" fillId="7" borderId="7" xfId="0" applyFont="1" applyFill="1" applyBorder="1"/>
    <xf numFmtId="0" fontId="38" fillId="7" borderId="14" xfId="0" applyFont="1" applyFill="1" applyBorder="1"/>
    <xf numFmtId="0" fontId="80" fillId="31" borderId="9" xfId="0" applyFont="1" applyFill="1" applyBorder="1" applyAlignment="1">
      <alignment horizontal="left" vertical="center"/>
    </xf>
    <xf numFmtId="0" fontId="80" fillId="31" borderId="10" xfId="0" applyFont="1" applyFill="1" applyBorder="1" applyAlignment="1">
      <alignment horizontal="left" vertical="center"/>
    </xf>
    <xf numFmtId="0" fontId="80" fillId="7" borderId="10" xfId="0" applyFont="1" applyFill="1" applyBorder="1" applyAlignment="1">
      <alignment horizontal="left" vertical="center"/>
    </xf>
    <xf numFmtId="0" fontId="93" fillId="0" borderId="11" xfId="0" applyFont="1" applyBorder="1" applyAlignment="1">
      <alignment horizontal="left" vertical="center" wrapText="1"/>
    </xf>
    <xf numFmtId="0" fontId="38" fillId="31" borderId="96" xfId="0" applyFont="1" applyFill="1" applyBorder="1" applyAlignment="1">
      <alignment vertical="center"/>
    </xf>
    <xf numFmtId="0" fontId="38" fillId="31" borderId="7" xfId="0" applyFont="1" applyFill="1" applyBorder="1" applyAlignment="1">
      <alignment vertical="center"/>
    </xf>
    <xf numFmtId="0" fontId="38" fillId="31" borderId="72" xfId="0" applyFont="1" applyFill="1" applyBorder="1" applyAlignment="1">
      <alignment vertical="center"/>
    </xf>
    <xf numFmtId="0" fontId="38" fillId="31" borderId="18" xfId="0" applyFont="1" applyFill="1" applyBorder="1" applyAlignment="1">
      <alignment vertical="center"/>
    </xf>
    <xf numFmtId="0" fontId="38" fillId="7" borderId="18" xfId="0" applyFont="1" applyFill="1" applyBorder="1" applyAlignment="1">
      <alignment horizontal="center" vertical="center"/>
    </xf>
    <xf numFmtId="0" fontId="38" fillId="7" borderId="101" xfId="0" applyFont="1" applyFill="1" applyBorder="1"/>
    <xf numFmtId="0" fontId="38" fillId="7" borderId="100" xfId="0" applyFont="1" applyFill="1" applyBorder="1" applyAlignment="1">
      <alignment horizontal="center" vertical="center"/>
    </xf>
    <xf numFmtId="0" fontId="38" fillId="7" borderId="101" xfId="0" applyFont="1" applyFill="1" applyBorder="1" applyAlignment="1">
      <alignment horizontal="center" vertical="center"/>
    </xf>
    <xf numFmtId="0" fontId="80" fillId="7" borderId="102" xfId="0" applyFont="1" applyFill="1" applyBorder="1"/>
    <xf numFmtId="0" fontId="80" fillId="7" borderId="44" xfId="0" applyFont="1" applyFill="1" applyBorder="1"/>
    <xf numFmtId="0" fontId="38" fillId="0" borderId="0" xfId="0" applyFont="1" applyProtection="1">
      <protection hidden="1"/>
    </xf>
    <xf numFmtId="2" fontId="74" fillId="0" borderId="0" xfId="0" applyNumberFormat="1" applyFont="1" applyAlignment="1" applyProtection="1">
      <alignment horizontal="center"/>
      <protection hidden="1"/>
    </xf>
    <xf numFmtId="0" fontId="38" fillId="31" borderId="72" xfId="0" applyFont="1" applyFill="1" applyBorder="1"/>
    <xf numFmtId="0" fontId="38" fillId="31" borderId="18" xfId="0" applyFont="1" applyFill="1" applyBorder="1"/>
    <xf numFmtId="0" fontId="38" fillId="41" borderId="7" xfId="0" applyFont="1" applyFill="1" applyBorder="1" applyAlignment="1">
      <alignment horizontal="center" vertical="center"/>
    </xf>
    <xf numFmtId="0" fontId="38" fillId="41" borderId="18" xfId="0" applyFont="1" applyFill="1" applyBorder="1" applyAlignment="1">
      <alignment horizontal="center" vertical="center"/>
    </xf>
    <xf numFmtId="0" fontId="0" fillId="31" borderId="18" xfId="0" applyFill="1" applyBorder="1"/>
    <xf numFmtId="0" fontId="0" fillId="41" borderId="18" xfId="0" applyFill="1" applyBorder="1"/>
    <xf numFmtId="0" fontId="93" fillId="7" borderId="15" xfId="0" applyFont="1" applyFill="1" applyBorder="1" applyAlignment="1">
      <alignment horizontal="center" vertical="center"/>
    </xf>
    <xf numFmtId="0" fontId="74" fillId="42" borderId="5" xfId="0" applyFont="1" applyFill="1" applyBorder="1" applyProtection="1">
      <protection hidden="1"/>
    </xf>
    <xf numFmtId="0" fontId="74" fillId="42" borderId="0" xfId="0" applyFont="1" applyFill="1" applyProtection="1">
      <protection hidden="1"/>
    </xf>
    <xf numFmtId="0" fontId="74" fillId="43" borderId="0" xfId="0" applyFont="1" applyFill="1" applyProtection="1">
      <protection hidden="1"/>
    </xf>
    <xf numFmtId="0" fontId="86" fillId="43" borderId="0" xfId="0" applyFont="1" applyFill="1" applyProtection="1">
      <protection hidden="1"/>
    </xf>
    <xf numFmtId="0" fontId="38" fillId="42" borderId="0" xfId="0" applyFont="1" applyFill="1" applyAlignment="1" applyProtection="1">
      <alignment horizontal="left" vertical="center"/>
      <protection hidden="1"/>
    </xf>
    <xf numFmtId="0" fontId="74" fillId="42" borderId="0" xfId="0" applyFont="1" applyFill="1" applyAlignment="1" applyProtection="1">
      <alignment horizontal="left" vertical="center"/>
      <protection hidden="1"/>
    </xf>
    <xf numFmtId="0" fontId="38" fillId="44" borderId="0" xfId="0" applyFont="1" applyFill="1" applyAlignment="1" applyProtection="1">
      <alignment horizontal="center" vertical="center"/>
      <protection hidden="1"/>
    </xf>
    <xf numFmtId="2" fontId="74" fillId="42" borderId="0" xfId="0" applyNumberFormat="1" applyFont="1" applyFill="1" applyAlignment="1" applyProtection="1">
      <alignment horizontal="center"/>
      <protection hidden="1"/>
    </xf>
    <xf numFmtId="0" fontId="74" fillId="43" borderId="0" xfId="0" applyFont="1" applyFill="1" applyAlignment="1" applyProtection="1">
      <alignment horizontal="center"/>
      <protection hidden="1"/>
    </xf>
    <xf numFmtId="0" fontId="38" fillId="42" borderId="0" xfId="0" applyFont="1" applyFill="1" applyProtection="1">
      <protection hidden="1"/>
    </xf>
    <xf numFmtId="0" fontId="0" fillId="42" borderId="5" xfId="0" applyFill="1" applyBorder="1" applyProtection="1">
      <protection hidden="1"/>
    </xf>
    <xf numFmtId="0" fontId="197" fillId="42" borderId="5" xfId="0" applyFont="1" applyFill="1" applyBorder="1" applyAlignment="1" applyProtection="1">
      <alignment horizontal="right"/>
      <protection hidden="1"/>
    </xf>
    <xf numFmtId="0" fontId="86" fillId="7" borderId="14" xfId="0" applyFont="1" applyFill="1" applyBorder="1" applyAlignment="1" applyProtection="1">
      <alignment horizontal="center" vertical="center"/>
      <protection hidden="1"/>
    </xf>
    <xf numFmtId="2" fontId="38" fillId="7" borderId="14" xfId="0" applyNumberFormat="1" applyFont="1" applyFill="1" applyBorder="1" applyAlignment="1" applyProtection="1">
      <alignment horizontal="center" vertical="center"/>
      <protection hidden="1"/>
    </xf>
    <xf numFmtId="0" fontId="0" fillId="6" borderId="7" xfId="0" applyFill="1" applyBorder="1" applyProtection="1">
      <protection hidden="1"/>
    </xf>
    <xf numFmtId="0" fontId="92" fillId="42" borderId="0" xfId="0" applyFont="1" applyFill="1" applyProtection="1">
      <protection hidden="1"/>
    </xf>
    <xf numFmtId="0" fontId="217" fillId="43" borderId="0" xfId="0" applyFont="1" applyFill="1" applyProtection="1">
      <protection hidden="1"/>
    </xf>
    <xf numFmtId="0" fontId="38" fillId="42" borderId="0" xfId="0" applyFont="1" applyFill="1" applyAlignment="1" applyProtection="1">
      <alignment horizontal="center"/>
      <protection hidden="1"/>
    </xf>
    <xf numFmtId="0" fontId="74" fillId="42" borderId="0" xfId="0" applyFont="1" applyFill="1" applyAlignment="1" applyProtection="1">
      <alignment horizontal="center"/>
      <protection hidden="1"/>
    </xf>
    <xf numFmtId="0" fontId="127" fillId="20" borderId="14" xfId="0" applyFont="1" applyFill="1" applyBorder="1"/>
    <xf numFmtId="0" fontId="104" fillId="0" borderId="0" xfId="0" applyFont="1" applyAlignment="1" applyProtection="1">
      <alignment horizontal="left" vertical="center" wrapText="1"/>
      <protection hidden="1"/>
    </xf>
    <xf numFmtId="0" fontId="0" fillId="42" borderId="0" xfId="0" applyFill="1" applyProtection="1">
      <protection hidden="1"/>
    </xf>
    <xf numFmtId="0" fontId="98" fillId="6" borderId="0" xfId="0" applyFont="1" applyFill="1" applyAlignment="1" applyProtection="1">
      <alignment horizontal="center"/>
      <protection hidden="1"/>
    </xf>
    <xf numFmtId="0" fontId="160" fillId="6" borderId="0" xfId="0" applyFont="1" applyFill="1" applyProtection="1">
      <protection hidden="1"/>
    </xf>
    <xf numFmtId="0" fontId="162" fillId="6" borderId="0" xfId="0" applyFont="1" applyFill="1" applyProtection="1">
      <protection hidden="1"/>
    </xf>
    <xf numFmtId="0" fontId="163" fillId="6" borderId="0" xfId="0" applyFont="1" applyFill="1" applyProtection="1">
      <protection hidden="1"/>
    </xf>
    <xf numFmtId="0" fontId="165" fillId="6" borderId="0" xfId="0" applyFont="1" applyFill="1" applyProtection="1">
      <protection hidden="1"/>
    </xf>
    <xf numFmtId="0" fontId="123" fillId="6" borderId="0" xfId="0" applyFont="1" applyFill="1"/>
    <xf numFmtId="14" fontId="187" fillId="6" borderId="0" xfId="0" applyNumberFormat="1" applyFont="1" applyFill="1" applyProtection="1">
      <protection hidden="1"/>
    </xf>
    <xf numFmtId="14" fontId="148" fillId="6" borderId="0" xfId="0" applyNumberFormat="1" applyFont="1" applyFill="1"/>
    <xf numFmtId="14" fontId="170" fillId="6" borderId="0" xfId="0" applyNumberFormat="1" applyFont="1" applyFill="1" applyProtection="1">
      <protection hidden="1"/>
    </xf>
    <xf numFmtId="14" fontId="175" fillId="6" borderId="0" xfId="0" applyNumberFormat="1" applyFont="1" applyFill="1" applyProtection="1">
      <protection hidden="1"/>
    </xf>
    <xf numFmtId="14" fontId="176" fillId="6" borderId="0" xfId="0" applyNumberFormat="1" applyFont="1" applyFill="1" applyProtection="1">
      <protection hidden="1"/>
    </xf>
    <xf numFmtId="14" fontId="183" fillId="6" borderId="0" xfId="0" applyNumberFormat="1" applyFont="1" applyFill="1" applyProtection="1">
      <protection hidden="1"/>
    </xf>
    <xf numFmtId="14" fontId="188" fillId="6" borderId="0" xfId="0" applyNumberFormat="1" applyFont="1" applyFill="1" applyProtection="1">
      <protection hidden="1"/>
    </xf>
    <xf numFmtId="0" fontId="148" fillId="6" borderId="0" xfId="0" applyFont="1" applyFill="1" applyAlignment="1" applyProtection="1">
      <alignment vertical="top"/>
      <protection hidden="1"/>
    </xf>
    <xf numFmtId="0" fontId="156" fillId="6" borderId="0" xfId="0" applyFont="1" applyFill="1" applyProtection="1">
      <protection hidden="1"/>
    </xf>
    <xf numFmtId="14" fontId="156" fillId="6" borderId="0" xfId="0" applyNumberFormat="1" applyFont="1" applyFill="1"/>
    <xf numFmtId="0" fontId="77" fillId="6" borderId="0" xfId="0" applyFont="1" applyFill="1" applyProtection="1">
      <protection hidden="1"/>
    </xf>
    <xf numFmtId="0" fontId="156" fillId="6" borderId="0" xfId="0" applyFont="1" applyFill="1" applyAlignment="1" applyProtection="1">
      <alignment horizontal="left"/>
      <protection hidden="1"/>
    </xf>
    <xf numFmtId="0" fontId="98" fillId="6" borderId="0" xfId="0" applyFont="1" applyFill="1" applyProtection="1">
      <protection hidden="1"/>
    </xf>
    <xf numFmtId="10" fontId="98" fillId="6" borderId="0" xfId="0" applyNumberFormat="1" applyFont="1" applyFill="1" applyAlignment="1" applyProtection="1">
      <alignment horizontal="center"/>
      <protection hidden="1"/>
    </xf>
    <xf numFmtId="0" fontId="80" fillId="6" borderId="0" xfId="0" applyFont="1" applyFill="1" applyAlignment="1" applyProtection="1">
      <alignment horizontal="center"/>
      <protection hidden="1"/>
    </xf>
    <xf numFmtId="2" fontId="98" fillId="6" borderId="0" xfId="0" applyNumberFormat="1" applyFont="1" applyFill="1" applyAlignment="1" applyProtection="1">
      <alignment horizontal="center"/>
      <protection hidden="1"/>
    </xf>
    <xf numFmtId="0" fontId="168" fillId="6" borderId="0" xfId="0" applyFont="1" applyFill="1" applyProtection="1">
      <protection hidden="1"/>
    </xf>
    <xf numFmtId="2" fontId="130" fillId="6" borderId="0" xfId="0" applyNumberFormat="1" applyFont="1" applyFill="1" applyAlignment="1" applyProtection="1">
      <alignment horizontal="center"/>
      <protection hidden="1"/>
    </xf>
    <xf numFmtId="0" fontId="130" fillId="6" borderId="0" xfId="0" applyFont="1" applyFill="1" applyProtection="1">
      <protection hidden="1"/>
    </xf>
    <xf numFmtId="0" fontId="128" fillId="6" borderId="0" xfId="0" applyFont="1" applyFill="1" applyProtection="1">
      <protection hidden="1"/>
    </xf>
    <xf numFmtId="2" fontId="81" fillId="6" borderId="0" xfId="0" applyNumberFormat="1" applyFont="1" applyFill="1" applyAlignment="1" applyProtection="1">
      <alignment horizontal="left"/>
      <protection hidden="1"/>
    </xf>
    <xf numFmtId="2" fontId="174" fillId="6" borderId="0" xfId="0" applyNumberFormat="1" applyFont="1" applyFill="1" applyAlignment="1" applyProtection="1">
      <alignment horizontal="left"/>
      <protection hidden="1"/>
    </xf>
    <xf numFmtId="168" fontId="98" fillId="6" borderId="0" xfId="0" applyNumberFormat="1" applyFont="1" applyFill="1" applyAlignment="1" applyProtection="1">
      <alignment horizontal="center"/>
      <protection hidden="1"/>
    </xf>
    <xf numFmtId="0" fontId="98" fillId="6" borderId="0" xfId="0" applyFont="1" applyFill="1" applyAlignment="1" applyProtection="1">
      <alignment horizontal="right"/>
      <protection hidden="1"/>
    </xf>
    <xf numFmtId="0" fontId="153" fillId="6" borderId="0" xfId="0" applyFont="1" applyFill="1" applyAlignment="1" applyProtection="1">
      <alignment horizontal="center"/>
      <protection hidden="1"/>
    </xf>
    <xf numFmtId="1" fontId="98" fillId="6" borderId="0" xfId="0" applyNumberFormat="1" applyFont="1" applyFill="1" applyAlignment="1" applyProtection="1">
      <alignment horizontal="center"/>
      <protection hidden="1"/>
    </xf>
    <xf numFmtId="0" fontId="152" fillId="6" borderId="0" xfId="0" applyFont="1" applyFill="1" applyProtection="1">
      <protection hidden="1"/>
    </xf>
    <xf numFmtId="1" fontId="106" fillId="6" borderId="0" xfId="0" applyNumberFormat="1" applyFont="1" applyFill="1" applyAlignment="1" applyProtection="1">
      <alignment horizontal="center"/>
      <protection hidden="1"/>
    </xf>
    <xf numFmtId="0" fontId="148" fillId="6" borderId="0" xfId="0" applyFont="1" applyFill="1" applyProtection="1">
      <protection hidden="1"/>
    </xf>
    <xf numFmtId="10" fontId="155" fillId="6" borderId="0" xfId="4" applyNumberFormat="1" applyFont="1" applyFill="1" applyBorder="1" applyAlignment="1" applyProtection="1">
      <alignment horizontal="center"/>
      <protection hidden="1"/>
    </xf>
    <xf numFmtId="10" fontId="74" fillId="6" borderId="0" xfId="4" applyNumberFormat="1" applyFont="1" applyFill="1" applyBorder="1" applyProtection="1">
      <protection hidden="1"/>
    </xf>
    <xf numFmtId="0" fontId="91" fillId="6" borderId="0" xfId="0" applyFont="1" applyFill="1" applyProtection="1">
      <protection hidden="1"/>
    </xf>
    <xf numFmtId="2" fontId="105" fillId="6" borderId="0" xfId="0" applyNumberFormat="1" applyFont="1" applyFill="1" applyAlignment="1" applyProtection="1">
      <alignment horizontal="center" vertical="center"/>
      <protection hidden="1"/>
    </xf>
    <xf numFmtId="175" fontId="105" fillId="6" borderId="0" xfId="0" applyNumberFormat="1" applyFont="1" applyFill="1" applyAlignment="1" applyProtection="1">
      <alignment horizontal="center" vertical="center"/>
      <protection hidden="1"/>
    </xf>
    <xf numFmtId="0" fontId="71" fillId="6" borderId="0" xfId="0" applyFont="1" applyFill="1" applyProtection="1">
      <protection hidden="1"/>
    </xf>
    <xf numFmtId="0" fontId="97" fillId="6" borderId="0" xfId="0" applyFont="1" applyFill="1" applyProtection="1">
      <protection hidden="1"/>
    </xf>
    <xf numFmtId="2" fontId="93" fillId="6" borderId="0" xfId="0" applyNumberFormat="1" applyFont="1" applyFill="1" applyAlignment="1" applyProtection="1">
      <alignment horizontal="center" vertical="center"/>
      <protection hidden="1"/>
    </xf>
    <xf numFmtId="0" fontId="105" fillId="6" borderId="0" xfId="0" applyFont="1" applyFill="1" applyAlignment="1" applyProtection="1">
      <alignment horizontal="center" vertical="center"/>
      <protection hidden="1"/>
    </xf>
    <xf numFmtId="0" fontId="91" fillId="6" borderId="0" xfId="0" applyFont="1" applyFill="1" applyAlignment="1" applyProtection="1">
      <alignment horizontal="center" vertical="center"/>
      <protection hidden="1"/>
    </xf>
    <xf numFmtId="10" fontId="120" fillId="6" borderId="0" xfId="4" applyNumberFormat="1" applyFont="1" applyFill="1" applyBorder="1" applyAlignment="1" applyProtection="1">
      <alignment horizontal="center" vertical="center"/>
      <protection hidden="1"/>
    </xf>
    <xf numFmtId="0" fontId="175" fillId="6" borderId="0" xfId="0" applyFont="1" applyFill="1" applyProtection="1">
      <protection hidden="1"/>
    </xf>
    <xf numFmtId="0" fontId="182" fillId="6" borderId="0" xfId="0" applyFont="1" applyFill="1" applyProtection="1">
      <protection hidden="1"/>
    </xf>
    <xf numFmtId="0" fontId="63" fillId="6" borderId="0" xfId="0" applyFont="1" applyFill="1" applyProtection="1">
      <protection hidden="1"/>
    </xf>
    <xf numFmtId="10" fontId="121" fillId="6" borderId="0" xfId="4" applyNumberFormat="1" applyFont="1" applyFill="1" applyBorder="1" applyProtection="1">
      <protection hidden="1"/>
    </xf>
    <xf numFmtId="0" fontId="69" fillId="6" borderId="0" xfId="0" applyFont="1" applyFill="1" applyProtection="1">
      <protection hidden="1"/>
    </xf>
    <xf numFmtId="2" fontId="85" fillId="6" borderId="0" xfId="0" applyNumberFormat="1" applyFont="1" applyFill="1" applyProtection="1">
      <protection hidden="1"/>
    </xf>
    <xf numFmtId="173" fontId="85" fillId="6" borderId="0" xfId="0" applyNumberFormat="1" applyFont="1" applyFill="1" applyProtection="1">
      <protection hidden="1"/>
    </xf>
    <xf numFmtId="173" fontId="74" fillId="6" borderId="0" xfId="0" applyNumberFormat="1" applyFont="1" applyFill="1" applyProtection="1">
      <protection hidden="1"/>
    </xf>
    <xf numFmtId="10" fontId="85" fillId="6" borderId="0" xfId="4" applyNumberFormat="1" applyFont="1" applyFill="1" applyBorder="1" applyProtection="1">
      <protection hidden="1"/>
    </xf>
    <xf numFmtId="0" fontId="84" fillId="6" borderId="0" xfId="0" applyFont="1" applyFill="1" applyAlignment="1">
      <alignment vertical="center"/>
    </xf>
    <xf numFmtId="0" fontId="154" fillId="6" borderId="0" xfId="0" applyFont="1" applyFill="1" applyAlignment="1" applyProtection="1">
      <alignment horizontal="center"/>
      <protection hidden="1"/>
    </xf>
    <xf numFmtId="2" fontId="157" fillId="6" borderId="0" xfId="0" applyNumberFormat="1" applyFont="1" applyFill="1" applyAlignment="1" applyProtection="1">
      <alignment horizontal="center"/>
      <protection hidden="1"/>
    </xf>
    <xf numFmtId="0" fontId="128" fillId="6" borderId="0" xfId="0" applyFont="1" applyFill="1" applyAlignment="1" applyProtection="1">
      <alignment horizontal="center"/>
      <protection hidden="1"/>
    </xf>
    <xf numFmtId="2" fontId="148" fillId="6" borderId="0" xfId="0" applyNumberFormat="1" applyFont="1" applyFill="1" applyAlignment="1" applyProtection="1">
      <alignment horizontal="center"/>
      <protection hidden="1"/>
    </xf>
    <xf numFmtId="2" fontId="154" fillId="6" borderId="0" xfId="0" applyNumberFormat="1" applyFont="1" applyFill="1" applyAlignment="1" applyProtection="1">
      <alignment horizontal="center"/>
      <protection hidden="1"/>
    </xf>
    <xf numFmtId="2" fontId="128" fillId="6" borderId="0" xfId="0" applyNumberFormat="1" applyFont="1" applyFill="1" applyAlignment="1" applyProtection="1">
      <alignment horizontal="center"/>
      <protection hidden="1"/>
    </xf>
    <xf numFmtId="0" fontId="96" fillId="6" borderId="0" xfId="0" applyFont="1" applyFill="1" applyProtection="1">
      <protection hidden="1"/>
    </xf>
    <xf numFmtId="0" fontId="145" fillId="6" borderId="0" xfId="0" applyFont="1" applyFill="1" applyProtection="1">
      <protection hidden="1"/>
    </xf>
    <xf numFmtId="0" fontId="177" fillId="6" borderId="0" xfId="0" applyFont="1" applyFill="1" applyAlignment="1" applyProtection="1">
      <alignment horizontal="left"/>
      <protection hidden="1"/>
    </xf>
    <xf numFmtId="0" fontId="107" fillId="6" borderId="0" xfId="0" applyFont="1" applyFill="1" applyProtection="1">
      <protection hidden="1"/>
    </xf>
    <xf numFmtId="0" fontId="158" fillId="6" borderId="0" xfId="0" applyFont="1" applyFill="1" applyProtection="1">
      <protection hidden="1"/>
    </xf>
    <xf numFmtId="0" fontId="161" fillId="6" borderId="0" xfId="0" applyFont="1" applyFill="1" applyProtection="1">
      <protection hidden="1"/>
    </xf>
    <xf numFmtId="0" fontId="159" fillId="6" borderId="0" xfId="0" applyFont="1" applyFill="1" applyProtection="1">
      <protection hidden="1"/>
    </xf>
    <xf numFmtId="0" fontId="157" fillId="6" borderId="0" xfId="0" applyFont="1" applyFill="1" applyAlignment="1" applyProtection="1">
      <alignment horizontal="center"/>
      <protection hidden="1"/>
    </xf>
    <xf numFmtId="0" fontId="72" fillId="6" borderId="0" xfId="0" applyFont="1" applyFill="1" applyProtection="1">
      <protection hidden="1"/>
    </xf>
    <xf numFmtId="0" fontId="151" fillId="6" borderId="0" xfId="0" applyFont="1" applyFill="1" applyProtection="1">
      <protection hidden="1"/>
    </xf>
    <xf numFmtId="0" fontId="149" fillId="6" borderId="0" xfId="0" applyFont="1" applyFill="1" applyProtection="1">
      <protection hidden="1"/>
    </xf>
    <xf numFmtId="2" fontId="149" fillId="6" borderId="0" xfId="0" applyNumberFormat="1" applyFont="1" applyFill="1" applyProtection="1">
      <protection hidden="1"/>
    </xf>
    <xf numFmtId="0" fontId="149" fillId="6" borderId="0" xfId="0" applyFont="1" applyFill="1" applyAlignment="1" applyProtection="1">
      <alignment horizontal="left"/>
      <protection hidden="1"/>
    </xf>
    <xf numFmtId="0" fontId="112" fillId="0" borderId="0" xfId="0" applyFont="1" applyProtection="1">
      <protection hidden="1"/>
    </xf>
    <xf numFmtId="0" fontId="92" fillId="0" borderId="0" xfId="0" applyFont="1" applyProtection="1">
      <protection hidden="1"/>
    </xf>
    <xf numFmtId="0" fontId="92" fillId="6" borderId="0" xfId="0" applyFont="1" applyFill="1" applyProtection="1">
      <protection hidden="1"/>
    </xf>
    <xf numFmtId="0" fontId="91" fillId="0" borderId="0" xfId="0" applyFont="1" applyProtection="1">
      <protection hidden="1"/>
    </xf>
    <xf numFmtId="1" fontId="74" fillId="6" borderId="0" xfId="0" applyNumberFormat="1" applyFont="1" applyFill="1" applyAlignment="1" applyProtection="1">
      <alignment horizontal="left"/>
      <protection hidden="1"/>
    </xf>
    <xf numFmtId="1" fontId="81" fillId="6" borderId="0" xfId="0" applyNumberFormat="1" applyFont="1" applyFill="1" applyAlignment="1" applyProtection="1">
      <alignment vertical="center"/>
      <protection hidden="1"/>
    </xf>
    <xf numFmtId="0" fontId="74" fillId="6" borderId="5" xfId="0" applyFont="1" applyFill="1" applyBorder="1" applyProtection="1">
      <protection hidden="1"/>
    </xf>
    <xf numFmtId="1" fontId="81" fillId="6" borderId="0" xfId="0" applyNumberFormat="1" applyFont="1" applyFill="1" applyAlignment="1" applyProtection="1">
      <alignment horizontal="center" vertical="center"/>
      <protection hidden="1"/>
    </xf>
    <xf numFmtId="0" fontId="81" fillId="6" borderId="0" xfId="0" applyFont="1" applyFill="1" applyAlignment="1" applyProtection="1">
      <alignment horizontal="left"/>
      <protection hidden="1"/>
    </xf>
    <xf numFmtId="0" fontId="105" fillId="6" borderId="0" xfId="0" applyFont="1" applyFill="1" applyAlignment="1" applyProtection="1">
      <alignment horizontal="right"/>
      <protection hidden="1"/>
    </xf>
    <xf numFmtId="49" fontId="86" fillId="6" borderId="0" xfId="0" applyNumberFormat="1" applyFont="1" applyFill="1" applyAlignment="1" applyProtection="1">
      <alignment horizontal="center"/>
      <protection hidden="1"/>
    </xf>
    <xf numFmtId="0" fontId="39" fillId="0" borderId="0" xfId="0" applyFont="1" applyAlignment="1" applyProtection="1">
      <alignment vertical="center"/>
      <protection hidden="1"/>
    </xf>
    <xf numFmtId="0" fontId="39" fillId="6" borderId="0" xfId="0" applyFont="1" applyFill="1" applyAlignment="1" applyProtection="1">
      <alignment vertical="center"/>
      <protection hidden="1"/>
    </xf>
    <xf numFmtId="1" fontId="81" fillId="6" borderId="0" xfId="0" applyNumberFormat="1" applyFont="1" applyFill="1" applyProtection="1">
      <protection hidden="1"/>
    </xf>
    <xf numFmtId="2" fontId="91" fillId="6" borderId="0" xfId="0" applyNumberFormat="1" applyFont="1" applyFill="1" applyAlignment="1" applyProtection="1">
      <alignment horizontal="center"/>
      <protection hidden="1"/>
    </xf>
    <xf numFmtId="0" fontId="110" fillId="0" borderId="0" xfId="0" applyFont="1" applyProtection="1">
      <protection hidden="1"/>
    </xf>
    <xf numFmtId="0" fontId="117" fillId="0" borderId="0" xfId="0" applyFont="1" applyProtection="1">
      <protection hidden="1"/>
    </xf>
    <xf numFmtId="0" fontId="217" fillId="6" borderId="0" xfId="0" applyFont="1" applyFill="1" applyProtection="1">
      <protection hidden="1"/>
    </xf>
    <xf numFmtId="2" fontId="74" fillId="6" borderId="0" xfId="0" applyNumberFormat="1" applyFont="1" applyFill="1" applyAlignment="1" applyProtection="1">
      <alignment horizontal="center"/>
      <protection hidden="1"/>
    </xf>
    <xf numFmtId="2" fontId="91" fillId="6" borderId="0" xfId="0" applyNumberFormat="1" applyFont="1" applyFill="1" applyProtection="1">
      <protection hidden="1"/>
    </xf>
    <xf numFmtId="0" fontId="39" fillId="0" borderId="0" xfId="0" applyFont="1" applyProtection="1">
      <protection hidden="1"/>
    </xf>
    <xf numFmtId="1" fontId="68" fillId="6" borderId="0" xfId="0" applyNumberFormat="1" applyFont="1" applyFill="1" applyAlignment="1" applyProtection="1">
      <alignment horizontal="left"/>
      <protection hidden="1"/>
    </xf>
    <xf numFmtId="169" fontId="91" fillId="6" borderId="0" xfId="0" applyNumberFormat="1" applyFont="1" applyFill="1" applyAlignment="1" applyProtection="1">
      <alignment horizontal="center"/>
      <protection hidden="1"/>
    </xf>
    <xf numFmtId="168" fontId="80" fillId="6" borderId="0" xfId="0" applyNumberFormat="1" applyFont="1" applyFill="1" applyAlignment="1" applyProtection="1">
      <alignment horizontal="center"/>
      <protection hidden="1"/>
    </xf>
    <xf numFmtId="49" fontId="86" fillId="6" borderId="0" xfId="0" applyNumberFormat="1" applyFont="1" applyFill="1" applyProtection="1">
      <protection hidden="1"/>
    </xf>
    <xf numFmtId="0" fontId="122" fillId="6" borderId="0" xfId="0" applyFont="1" applyFill="1" applyProtection="1">
      <protection hidden="1"/>
    </xf>
    <xf numFmtId="0" fontId="91" fillId="6" borderId="0" xfId="0" applyFont="1" applyFill="1" applyAlignment="1" applyProtection="1">
      <alignment horizontal="right"/>
      <protection hidden="1"/>
    </xf>
    <xf numFmtId="0" fontId="74" fillId="6" borderId="0" xfId="0" applyFont="1" applyFill="1" applyAlignment="1" applyProtection="1">
      <alignment horizontal="center" vertical="center"/>
      <protection hidden="1"/>
    </xf>
    <xf numFmtId="169" fontId="81" fillId="6" borderId="0" xfId="0" applyNumberFormat="1" applyFont="1" applyFill="1" applyAlignment="1" applyProtection="1">
      <alignment horizontal="center"/>
      <protection hidden="1"/>
    </xf>
    <xf numFmtId="0" fontId="85" fillId="6" borderId="0" xfId="0" applyFont="1" applyFill="1" applyAlignment="1" applyProtection="1">
      <alignment horizontal="right"/>
      <protection hidden="1"/>
    </xf>
    <xf numFmtId="0" fontId="86" fillId="6" borderId="0" xfId="0" applyFont="1" applyFill="1" applyAlignment="1" applyProtection="1">
      <alignment vertical="top"/>
      <protection hidden="1"/>
    </xf>
    <xf numFmtId="0" fontId="91" fillId="6" borderId="0" xfId="0" quotePrefix="1" applyFont="1" applyFill="1" applyAlignment="1" applyProtection="1">
      <alignment horizontal="right"/>
      <protection hidden="1"/>
    </xf>
    <xf numFmtId="10" fontId="74" fillId="6" borderId="0" xfId="0" applyNumberFormat="1" applyFont="1" applyFill="1" applyProtection="1">
      <protection hidden="1"/>
    </xf>
    <xf numFmtId="0" fontId="92" fillId="0" borderId="0" xfId="0" applyFont="1" applyAlignment="1" applyProtection="1">
      <alignment horizontal="left"/>
      <protection hidden="1"/>
    </xf>
    <xf numFmtId="0" fontId="39" fillId="0" borderId="0" xfId="0" quotePrefix="1" applyFont="1" applyAlignment="1" applyProtection="1">
      <alignment horizontal="right"/>
      <protection hidden="1"/>
    </xf>
    <xf numFmtId="0" fontId="86" fillId="6" borderId="0" xfId="0" applyFont="1" applyFill="1" applyAlignment="1" applyProtection="1">
      <alignment horizontal="left"/>
      <protection hidden="1"/>
    </xf>
    <xf numFmtId="0" fontId="110" fillId="0" borderId="4" xfId="0" applyFont="1" applyBorder="1" applyProtection="1">
      <protection hidden="1"/>
    </xf>
    <xf numFmtId="0" fontId="74" fillId="0" borderId="0" xfId="0" applyFont="1" applyAlignment="1" applyProtection="1">
      <alignment horizontal="left"/>
      <protection hidden="1"/>
    </xf>
    <xf numFmtId="0" fontId="100" fillId="0" borderId="0" xfId="0" applyFont="1" applyAlignment="1" applyProtection="1">
      <alignment horizontal="left"/>
      <protection hidden="1"/>
    </xf>
    <xf numFmtId="1" fontId="91" fillId="6" borderId="0" xfId="0" applyNumberFormat="1" applyFont="1" applyFill="1" applyAlignment="1" applyProtection="1">
      <alignment horizontal="center"/>
      <protection hidden="1"/>
    </xf>
    <xf numFmtId="0" fontId="81" fillId="0" borderId="0" xfId="0" applyFont="1" applyAlignment="1" applyProtection="1">
      <alignment vertical="top"/>
      <protection hidden="1"/>
    </xf>
    <xf numFmtId="0" fontId="141" fillId="0" borderId="0" xfId="0" applyFont="1" applyAlignment="1" applyProtection="1">
      <alignment horizontal="center" vertical="center" wrapText="1"/>
      <protection hidden="1"/>
    </xf>
    <xf numFmtId="0" fontId="74" fillId="0" borderId="0" xfId="0" applyFont="1" applyAlignment="1" applyProtection="1">
      <alignment horizontal="left" wrapText="1"/>
      <protection hidden="1"/>
    </xf>
    <xf numFmtId="0" fontId="141" fillId="0" borderId="0" xfId="0" applyFont="1" applyAlignment="1" applyProtection="1">
      <alignment vertical="center" wrapText="1"/>
      <protection hidden="1"/>
    </xf>
    <xf numFmtId="0" fontId="92" fillId="0" borderId="5" xfId="0" applyFont="1" applyBorder="1" applyProtection="1">
      <protection hidden="1"/>
    </xf>
    <xf numFmtId="0" fontId="88" fillId="42" borderId="0" xfId="2" applyFill="1" applyBorder="1" applyAlignment="1" applyProtection="1">
      <protection hidden="1"/>
    </xf>
    <xf numFmtId="2" fontId="111" fillId="43" borderId="0" xfId="0" applyNumberFormat="1" applyFont="1" applyFill="1" applyProtection="1">
      <protection hidden="1"/>
    </xf>
    <xf numFmtId="0" fontId="38" fillId="43" borderId="0" xfId="0" applyFont="1" applyFill="1" applyAlignment="1" applyProtection="1">
      <alignment horizontal="center"/>
      <protection hidden="1"/>
    </xf>
    <xf numFmtId="0" fontId="74" fillId="43" borderId="0" xfId="0" applyFont="1" applyFill="1" applyAlignment="1" applyProtection="1">
      <alignment horizontal="left" vertical="center"/>
      <protection hidden="1"/>
    </xf>
    <xf numFmtId="49" fontId="73" fillId="43" borderId="0" xfId="0" applyNumberFormat="1" applyFont="1" applyFill="1" applyAlignment="1" applyProtection="1">
      <alignment horizontal="left" vertical="center" wrapText="1"/>
      <protection hidden="1"/>
    </xf>
    <xf numFmtId="49" fontId="74" fillId="43" borderId="0" xfId="0" applyNumberFormat="1" applyFont="1" applyFill="1" applyAlignment="1" applyProtection="1">
      <alignment horizontal="left" wrapText="1"/>
      <protection hidden="1"/>
    </xf>
    <xf numFmtId="0" fontId="38" fillId="43" borderId="0" xfId="0" applyFont="1" applyFill="1" applyProtection="1">
      <protection hidden="1"/>
    </xf>
    <xf numFmtId="2" fontId="86" fillId="43" borderId="0" xfId="0" applyNumberFormat="1" applyFont="1" applyFill="1" applyProtection="1">
      <protection hidden="1"/>
    </xf>
    <xf numFmtId="0" fontId="86" fillId="42" borderId="0" xfId="0" applyFont="1" applyFill="1" applyProtection="1">
      <protection hidden="1"/>
    </xf>
    <xf numFmtId="0" fontId="0" fillId="42" borderId="0" xfId="0" applyFill="1" applyAlignment="1" applyProtection="1">
      <alignment horizontal="left" vertical="center"/>
      <protection hidden="1"/>
    </xf>
    <xf numFmtId="0" fontId="0" fillId="42" borderId="0" xfId="0" applyFill="1" applyAlignment="1" applyProtection="1">
      <alignment horizontal="center"/>
      <protection hidden="1"/>
    </xf>
    <xf numFmtId="0" fontId="0" fillId="43" borderId="0" xfId="0" applyFill="1" applyProtection="1">
      <protection hidden="1"/>
    </xf>
    <xf numFmtId="0" fontId="86" fillId="42" borderId="0" xfId="0" applyFont="1" applyFill="1" applyAlignment="1" applyProtection="1">
      <alignment horizontal="left" vertical="center"/>
      <protection hidden="1"/>
    </xf>
    <xf numFmtId="0" fontId="86" fillId="42" borderId="0" xfId="0" applyFont="1" applyFill="1" applyAlignment="1" applyProtection="1">
      <alignment horizontal="right"/>
      <protection hidden="1"/>
    </xf>
    <xf numFmtId="14" fontId="86" fillId="42" borderId="0" xfId="0" applyNumberFormat="1" applyFont="1" applyFill="1" applyProtection="1">
      <protection hidden="1"/>
    </xf>
    <xf numFmtId="14" fontId="86" fillId="43" borderId="0" xfId="0" applyNumberFormat="1" applyFont="1" applyFill="1" applyProtection="1">
      <protection hidden="1"/>
    </xf>
    <xf numFmtId="193" fontId="85" fillId="20" borderId="14" xfId="0" applyNumberFormat="1" applyFont="1" applyFill="1" applyBorder="1"/>
    <xf numFmtId="0" fontId="76" fillId="20" borderId="14" xfId="0" applyFont="1" applyFill="1" applyBorder="1"/>
    <xf numFmtId="0" fontId="85" fillId="20" borderId="14" xfId="0" applyFont="1" applyFill="1" applyBorder="1"/>
    <xf numFmtId="0" fontId="150" fillId="6" borderId="0" xfId="0" applyFont="1" applyFill="1" applyAlignment="1">
      <alignment horizontal="left" vertical="center"/>
    </xf>
    <xf numFmtId="0" fontId="74" fillId="0" borderId="5" xfId="0" applyFont="1" applyBorder="1" applyAlignment="1">
      <alignment horizontal="center"/>
    </xf>
    <xf numFmtId="14" fontId="37" fillId="27" borderId="14" xfId="0" applyNumberFormat="1" applyFont="1" applyFill="1" applyBorder="1" applyAlignment="1" applyProtection="1">
      <alignment horizontal="center"/>
      <protection locked="0" hidden="1"/>
    </xf>
    <xf numFmtId="0" fontId="37" fillId="0" borderId="0" xfId="0" applyFont="1"/>
    <xf numFmtId="14" fontId="37" fillId="0" borderId="0" xfId="0" applyNumberFormat="1" applyFont="1"/>
    <xf numFmtId="173" fontId="54" fillId="20" borderId="15" xfId="0" applyNumberFormat="1" applyFont="1" applyFill="1" applyBorder="1" applyAlignment="1">
      <alignment horizontal="center"/>
    </xf>
    <xf numFmtId="173" fontId="51" fillId="20" borderId="45" xfId="0" applyNumberFormat="1" applyFont="1" applyFill="1" applyBorder="1" applyAlignment="1">
      <alignment horizontal="center"/>
    </xf>
    <xf numFmtId="173" fontId="80" fillId="20" borderId="15" xfId="0" applyNumberFormat="1" applyFont="1" applyFill="1" applyBorder="1" applyAlignment="1">
      <alignment horizontal="center"/>
    </xf>
    <xf numFmtId="173" fontId="80" fillId="20" borderId="45" xfId="0" applyNumberFormat="1" applyFont="1" applyFill="1" applyBorder="1" applyAlignment="1">
      <alignment horizontal="center"/>
    </xf>
    <xf numFmtId="173" fontId="74" fillId="0" borderId="14" xfId="0" applyNumberFormat="1" applyFont="1" applyBorder="1" applyAlignment="1">
      <alignment horizontal="center"/>
    </xf>
    <xf numFmtId="173" fontId="0" fillId="0" borderId="23" xfId="0" applyNumberFormat="1" applyBorder="1"/>
    <xf numFmtId="173" fontId="0" fillId="0" borderId="19" xfId="0" applyNumberFormat="1" applyBorder="1"/>
    <xf numFmtId="173" fontId="0" fillId="0" borderId="24" xfId="0" applyNumberFormat="1" applyBorder="1"/>
    <xf numFmtId="173" fontId="0" fillId="20" borderId="0" xfId="0" applyNumberFormat="1" applyFill="1"/>
    <xf numFmtId="173" fontId="0" fillId="20" borderId="2" xfId="0" applyNumberFormat="1" applyFill="1" applyBorder="1"/>
    <xf numFmtId="173" fontId="0" fillId="20" borderId="18" xfId="0" applyNumberFormat="1" applyFill="1" applyBorder="1"/>
    <xf numFmtId="173" fontId="47" fillId="38" borderId="0" xfId="0" applyNumberFormat="1" applyFont="1" applyFill="1"/>
    <xf numFmtId="173" fontId="74" fillId="6" borderId="31" xfId="0" applyNumberFormat="1" applyFont="1" applyFill="1" applyBorder="1"/>
    <xf numFmtId="173" fontId="74" fillId="20" borderId="14" xfId="0" applyNumberFormat="1" applyFont="1" applyFill="1" applyBorder="1"/>
    <xf numFmtId="173" fontId="74" fillId="20" borderId="14" xfId="0" applyNumberFormat="1" applyFont="1" applyFill="1" applyBorder="1" applyAlignment="1">
      <alignment horizontal="right"/>
    </xf>
    <xf numFmtId="173" fontId="74" fillId="15" borderId="0" xfId="0" applyNumberFormat="1" applyFont="1" applyFill="1"/>
    <xf numFmtId="173" fontId="80" fillId="0" borderId="2" xfId="0" applyNumberFormat="1" applyFont="1" applyBorder="1" applyAlignment="1">
      <alignment horizontal="center" vertical="center"/>
    </xf>
    <xf numFmtId="173" fontId="80" fillId="7" borderId="82" xfId="0" applyNumberFormat="1" applyFont="1" applyFill="1" applyBorder="1"/>
    <xf numFmtId="173" fontId="47" fillId="7" borderId="14" xfId="0" applyNumberFormat="1" applyFont="1" applyFill="1" applyBorder="1"/>
    <xf numFmtId="173" fontId="107" fillId="20" borderId="48" xfId="0" applyNumberFormat="1" applyFont="1" applyFill="1" applyBorder="1"/>
    <xf numFmtId="173" fontId="107" fillId="20" borderId="14" xfId="0" applyNumberFormat="1" applyFont="1" applyFill="1" applyBorder="1"/>
    <xf numFmtId="173" fontId="113" fillId="6" borderId="0" xfId="0" applyNumberFormat="1" applyFont="1" applyFill="1" applyAlignment="1">
      <alignment horizontal="center"/>
    </xf>
    <xf numFmtId="173" fontId="85" fillId="20" borderId="14" xfId="0" applyNumberFormat="1" applyFont="1" applyFill="1" applyBorder="1" applyAlignment="1">
      <alignment horizontal="center"/>
    </xf>
    <xf numFmtId="173" fontId="113" fillId="7" borderId="0" xfId="0" applyNumberFormat="1" applyFont="1" applyFill="1" applyAlignment="1">
      <alignment horizontal="center"/>
    </xf>
    <xf numFmtId="173" fontId="208" fillId="7" borderId="0" xfId="0" applyNumberFormat="1" applyFont="1" applyFill="1" applyAlignment="1">
      <alignment horizontal="center"/>
    </xf>
    <xf numFmtId="173" fontId="74" fillId="7" borderId="0" xfId="0" applyNumberFormat="1" applyFont="1" applyFill="1"/>
    <xf numFmtId="173" fontId="150" fillId="7" borderId="0" xfId="0" applyNumberFormat="1" applyFont="1" applyFill="1" applyAlignment="1">
      <alignment horizontal="left"/>
    </xf>
    <xf numFmtId="173" fontId="74" fillId="7" borderId="0" xfId="0" applyNumberFormat="1" applyFont="1" applyFill="1" applyAlignment="1">
      <alignment horizontal="center"/>
    </xf>
    <xf numFmtId="173" fontId="80" fillId="7" borderId="0" xfId="0" applyNumberFormat="1" applyFont="1" applyFill="1" applyAlignment="1">
      <alignment horizontal="center"/>
    </xf>
    <xf numFmtId="173" fontId="93" fillId="7" borderId="0" xfId="0" applyNumberFormat="1" applyFont="1" applyFill="1"/>
    <xf numFmtId="173" fontId="80" fillId="7" borderId="0" xfId="4" applyNumberFormat="1" applyFont="1" applyFill="1" applyBorder="1" applyAlignment="1" applyProtection="1">
      <alignment horizontal="center"/>
    </xf>
    <xf numFmtId="173" fontId="60" fillId="7" borderId="0" xfId="0" applyNumberFormat="1" applyFont="1" applyFill="1" applyAlignment="1" applyProtection="1">
      <alignment horizontal="center"/>
      <protection hidden="1"/>
    </xf>
    <xf numFmtId="173" fontId="74" fillId="7" borderId="0" xfId="4" applyNumberFormat="1" applyFont="1" applyFill="1" applyBorder="1" applyAlignment="1" applyProtection="1">
      <alignment horizontal="center"/>
    </xf>
    <xf numFmtId="173" fontId="60" fillId="7" borderId="0" xfId="0" applyNumberFormat="1" applyFont="1" applyFill="1" applyAlignment="1">
      <alignment horizontal="center"/>
    </xf>
    <xf numFmtId="173" fontId="67" fillId="20" borderId="0" xfId="0" applyNumberFormat="1" applyFont="1" applyFill="1" applyAlignment="1">
      <alignment horizontal="center"/>
    </xf>
    <xf numFmtId="173" fontId="74" fillId="0" borderId="0" xfId="4" applyNumberFormat="1" applyFont="1" applyBorder="1" applyAlignment="1" applyProtection="1">
      <alignment horizontal="center"/>
    </xf>
    <xf numFmtId="173" fontId="74" fillId="19" borderId="0" xfId="0" applyNumberFormat="1" applyFont="1" applyFill="1" applyAlignment="1">
      <alignment horizontal="center" wrapText="1"/>
    </xf>
    <xf numFmtId="173" fontId="74" fillId="21" borderId="0" xfId="0" applyNumberFormat="1" applyFont="1" applyFill="1" applyAlignment="1" applyProtection="1">
      <alignment horizontal="center"/>
      <protection hidden="1"/>
    </xf>
    <xf numFmtId="173" fontId="80" fillId="20" borderId="0" xfId="0" applyNumberFormat="1" applyFont="1" applyFill="1" applyAlignment="1" applyProtection="1">
      <alignment horizontal="center"/>
      <protection hidden="1"/>
    </xf>
    <xf numFmtId="173" fontId="88" fillId="20" borderId="0" xfId="2" applyNumberFormat="1" applyFill="1" applyBorder="1" applyAlignment="1" applyProtection="1">
      <alignment horizontal="center"/>
    </xf>
    <xf numFmtId="173" fontId="80" fillId="6" borderId="12" xfId="0" applyNumberFormat="1" applyFont="1" applyFill="1" applyBorder="1"/>
    <xf numFmtId="173" fontId="47" fillId="6" borderId="5" xfId="0" applyNumberFormat="1" applyFont="1" applyFill="1" applyBorder="1" applyAlignment="1">
      <alignment horizontal="right" vertical="center"/>
    </xf>
    <xf numFmtId="173" fontId="80" fillId="6" borderId="5" xfId="0" applyNumberFormat="1" applyFont="1" applyFill="1" applyBorder="1" applyAlignment="1">
      <alignment horizontal="right" wrapText="1"/>
    </xf>
    <xf numFmtId="173" fontId="48" fillId="6" borderId="5" xfId="0" applyNumberFormat="1" applyFont="1" applyFill="1" applyBorder="1" applyAlignment="1">
      <alignment horizontal="right"/>
    </xf>
    <xf numFmtId="173" fontId="74" fillId="6" borderId="5" xfId="0" applyNumberFormat="1" applyFont="1" applyFill="1" applyBorder="1"/>
    <xf numFmtId="173" fontId="91" fillId="20" borderId="14" xfId="0" applyNumberFormat="1" applyFont="1" applyFill="1" applyBorder="1" applyAlignment="1">
      <alignment horizontal="center"/>
    </xf>
    <xf numFmtId="173" fontId="209" fillId="7" borderId="0" xfId="0" applyNumberFormat="1" applyFont="1" applyFill="1" applyAlignment="1">
      <alignment horizontal="center"/>
    </xf>
    <xf numFmtId="173" fontId="194" fillId="7" borderId="0" xfId="0" applyNumberFormat="1" applyFont="1" applyFill="1" applyAlignment="1">
      <alignment horizontal="left"/>
    </xf>
    <xf numFmtId="173" fontId="77" fillId="6" borderId="0" xfId="0" applyNumberFormat="1" applyFont="1" applyFill="1"/>
    <xf numFmtId="173" fontId="47" fillId="6" borderId="0" xfId="0" applyNumberFormat="1" applyFont="1" applyFill="1"/>
    <xf numFmtId="173" fontId="0" fillId="6" borderId="7" xfId="0" applyNumberFormat="1" applyFill="1" applyBorder="1" applyAlignment="1">
      <alignment horizontal="right" vertical="center"/>
    </xf>
    <xf numFmtId="173" fontId="128" fillId="20" borderId="14" xfId="0" applyNumberFormat="1" applyFont="1" applyFill="1" applyBorder="1" applyAlignment="1">
      <alignment horizontal="center"/>
    </xf>
    <xf numFmtId="173" fontId="210" fillId="7" borderId="0" xfId="0" applyNumberFormat="1" applyFont="1" applyFill="1" applyAlignment="1">
      <alignment horizontal="center"/>
    </xf>
    <xf numFmtId="173" fontId="195" fillId="7" borderId="0" xfId="0" applyNumberFormat="1" applyFont="1" applyFill="1" applyAlignment="1">
      <alignment horizontal="left"/>
    </xf>
    <xf numFmtId="173" fontId="86" fillId="3" borderId="14" xfId="0" applyNumberFormat="1" applyFont="1" applyFill="1" applyBorder="1" applyAlignment="1" applyProtection="1">
      <alignment vertical="center"/>
      <protection locked="0"/>
    </xf>
    <xf numFmtId="173" fontId="86" fillId="20" borderId="14" xfId="0" applyNumberFormat="1" applyFont="1" applyFill="1" applyBorder="1" applyAlignment="1" applyProtection="1">
      <alignment vertical="center"/>
      <protection hidden="1"/>
    </xf>
    <xf numFmtId="173" fontId="81" fillId="7" borderId="9" xfId="0" applyNumberFormat="1" applyFont="1" applyFill="1" applyBorder="1" applyAlignment="1" applyProtection="1">
      <alignment vertical="center"/>
      <protection hidden="1"/>
    </xf>
    <xf numFmtId="173" fontId="87" fillId="7" borderId="14" xfId="0" applyNumberFormat="1" applyFont="1" applyFill="1" applyBorder="1" applyAlignment="1" applyProtection="1">
      <alignment vertical="center"/>
      <protection hidden="1"/>
    </xf>
    <xf numFmtId="173" fontId="86" fillId="20" borderId="24" xfId="0" applyNumberFormat="1" applyFont="1" applyFill="1" applyBorder="1" applyAlignment="1" applyProtection="1">
      <alignment vertical="center"/>
      <protection hidden="1"/>
    </xf>
    <xf numFmtId="4" fontId="0" fillId="6" borderId="0" xfId="0" applyNumberFormat="1" applyFill="1" applyProtection="1">
      <protection hidden="1"/>
    </xf>
    <xf numFmtId="44" fontId="0" fillId="6" borderId="0" xfId="0" applyNumberFormat="1" applyFill="1" applyProtection="1">
      <protection hidden="1"/>
    </xf>
    <xf numFmtId="44" fontId="0" fillId="6" borderId="0" xfId="3" applyFont="1" applyFill="1" applyProtection="1">
      <protection hidden="1"/>
    </xf>
    <xf numFmtId="165" fontId="0" fillId="6" borderId="0" xfId="0" applyNumberFormat="1" applyFill="1" applyProtection="1">
      <protection hidden="1"/>
    </xf>
    <xf numFmtId="44" fontId="69" fillId="6" borderId="0" xfId="3" applyFont="1" applyFill="1" applyProtection="1">
      <protection hidden="1"/>
    </xf>
    <xf numFmtId="44" fontId="74" fillId="6" borderId="0" xfId="3" applyFont="1" applyFill="1" applyProtection="1">
      <protection hidden="1"/>
    </xf>
    <xf numFmtId="194" fontId="0" fillId="6" borderId="0" xfId="3" applyNumberFormat="1" applyFont="1" applyFill="1" applyProtection="1">
      <protection hidden="1"/>
    </xf>
    <xf numFmtId="194" fontId="74" fillId="0" borderId="0" xfId="0" applyNumberFormat="1" applyFont="1" applyProtection="1">
      <protection hidden="1"/>
    </xf>
    <xf numFmtId="173" fontId="86" fillId="7" borderId="14" xfId="0" applyNumberFormat="1" applyFont="1" applyFill="1" applyBorder="1" applyAlignment="1" applyProtection="1">
      <alignment horizontal="center" vertical="center"/>
      <protection hidden="1"/>
    </xf>
    <xf numFmtId="0" fontId="91" fillId="20" borderId="79" xfId="0" applyFont="1" applyFill="1" applyBorder="1"/>
    <xf numFmtId="0" fontId="91" fillId="20" borderId="56" xfId="0" applyFont="1" applyFill="1" applyBorder="1"/>
    <xf numFmtId="0" fontId="37" fillId="0" borderId="7" xfId="0" applyFont="1" applyBorder="1"/>
    <xf numFmtId="0" fontId="37" fillId="0" borderId="18" xfId="0" applyFont="1" applyBorder="1"/>
    <xf numFmtId="0" fontId="38" fillId="7" borderId="0" xfId="0" applyFont="1" applyFill="1"/>
    <xf numFmtId="0" fontId="37" fillId="0" borderId="92" xfId="0" applyFont="1" applyBorder="1"/>
    <xf numFmtId="0" fontId="37" fillId="0" borderId="43" xfId="0" applyFont="1" applyBorder="1"/>
    <xf numFmtId="0" fontId="37" fillId="0" borderId="59" xfId="0" applyFont="1" applyBorder="1"/>
    <xf numFmtId="0" fontId="107" fillId="0" borderId="44" xfId="0" applyFont="1" applyBorder="1"/>
    <xf numFmtId="0" fontId="107" fillId="0" borderId="60" xfId="0" applyFont="1" applyBorder="1"/>
    <xf numFmtId="14" fontId="37" fillId="0" borderId="7" xfId="0" applyNumberFormat="1" applyFont="1" applyBorder="1"/>
    <xf numFmtId="0" fontId="91" fillId="7" borderId="101" xfId="0" applyFont="1" applyFill="1" applyBorder="1" applyAlignment="1">
      <alignment horizontal="center" vertical="center"/>
    </xf>
    <xf numFmtId="0" fontId="111" fillId="0" borderId="4" xfId="0" applyFont="1" applyBorder="1" applyProtection="1">
      <protection hidden="1"/>
    </xf>
    <xf numFmtId="1" fontId="111" fillId="0" borderId="25" xfId="0" applyNumberFormat="1" applyFont="1" applyBorder="1" applyAlignment="1" applyProtection="1">
      <alignment horizontal="center"/>
      <protection locked="0"/>
    </xf>
    <xf numFmtId="1" fontId="111" fillId="0" borderId="26" xfId="0" applyNumberFormat="1" applyFont="1" applyBorder="1" applyAlignment="1" applyProtection="1">
      <alignment horizontal="center"/>
      <protection locked="0"/>
    </xf>
    <xf numFmtId="1" fontId="111" fillId="0" borderId="27" xfId="0" applyNumberFormat="1" applyFont="1" applyBorder="1" applyAlignment="1" applyProtection="1">
      <alignment horizontal="center"/>
      <protection locked="0"/>
    </xf>
    <xf numFmtId="1" fontId="111" fillId="0" borderId="4" xfId="0" applyNumberFormat="1" applyFont="1" applyBorder="1" applyAlignment="1" applyProtection="1">
      <alignment horizontal="center"/>
      <protection hidden="1"/>
    </xf>
    <xf numFmtId="10" fontId="131" fillId="20" borderId="14" xfId="4" applyNumberFormat="1" applyFont="1" applyFill="1" applyBorder="1" applyAlignment="1" applyProtection="1">
      <alignment horizontal="right" vertical="center"/>
      <protection hidden="1"/>
    </xf>
    <xf numFmtId="0" fontId="46" fillId="12" borderId="65" xfId="0" applyFont="1" applyFill="1" applyBorder="1"/>
    <xf numFmtId="185" fontId="74" fillId="12" borderId="98" xfId="0" applyNumberFormat="1" applyFont="1" applyFill="1" applyBorder="1"/>
    <xf numFmtId="0" fontId="36" fillId="12" borderId="51" xfId="0" applyFont="1" applyFill="1" applyBorder="1"/>
    <xf numFmtId="0" fontId="36" fillId="12" borderId="52" xfId="0" applyFont="1" applyFill="1" applyBorder="1"/>
    <xf numFmtId="165" fontId="74" fillId="12" borderId="85" xfId="0" applyNumberFormat="1" applyFont="1" applyFill="1" applyBorder="1"/>
    <xf numFmtId="183" fontId="74" fillId="12" borderId="76" xfId="0" applyNumberFormat="1" applyFont="1" applyFill="1" applyBorder="1"/>
    <xf numFmtId="184" fontId="74" fillId="12" borderId="76" xfId="0" applyNumberFormat="1" applyFont="1" applyFill="1" applyBorder="1"/>
    <xf numFmtId="173" fontId="74" fillId="12" borderId="76" xfId="0" applyNumberFormat="1" applyFont="1" applyFill="1" applyBorder="1"/>
    <xf numFmtId="185" fontId="74" fillId="12" borderId="103" xfId="0" applyNumberFormat="1" applyFont="1" applyFill="1" applyBorder="1"/>
    <xf numFmtId="4" fontId="76" fillId="0" borderId="0" xfId="0" applyNumberFormat="1" applyFont="1" applyProtection="1">
      <protection hidden="1"/>
    </xf>
    <xf numFmtId="170" fontId="100" fillId="8" borderId="18" xfId="0" applyNumberFormat="1" applyFont="1" applyFill="1" applyBorder="1" applyProtection="1">
      <protection hidden="1"/>
    </xf>
    <xf numFmtId="2" fontId="0" fillId="0" borderId="0" xfId="0" applyNumberFormat="1"/>
    <xf numFmtId="169" fontId="105" fillId="6" borderId="0" xfId="0" applyNumberFormat="1" applyFont="1" applyFill="1" applyAlignment="1" applyProtection="1">
      <alignment horizontal="center"/>
      <protection hidden="1"/>
    </xf>
    <xf numFmtId="0" fontId="69" fillId="0" borderId="12" xfId="0" applyFont="1" applyBorder="1" applyAlignment="1" applyProtection="1">
      <alignment horizontal="left" vertical="center"/>
      <protection hidden="1"/>
    </xf>
    <xf numFmtId="0" fontId="80" fillId="0" borderId="31" xfId="0" applyFont="1" applyBorder="1" applyAlignment="1" applyProtection="1">
      <alignment horizontal="left" vertical="center"/>
      <protection hidden="1"/>
    </xf>
    <xf numFmtId="0" fontId="80" fillId="0" borderId="32" xfId="0" applyFont="1" applyBorder="1" applyAlignment="1" applyProtection="1">
      <alignment horizontal="left" vertical="center"/>
      <protection hidden="1"/>
    </xf>
    <xf numFmtId="0" fontId="0" fillId="0" borderId="12" xfId="0" applyBorder="1" applyAlignment="1" applyProtection="1">
      <alignment horizontal="left" vertical="center"/>
      <protection hidden="1"/>
    </xf>
    <xf numFmtId="0" fontId="0" fillId="0" borderId="18" xfId="0" applyBorder="1" applyAlignment="1" applyProtection="1">
      <alignment horizontal="left" vertical="center"/>
      <protection hidden="1"/>
    </xf>
    <xf numFmtId="0" fontId="0" fillId="0" borderId="13" xfId="0" applyBorder="1" applyAlignment="1" applyProtection="1">
      <alignment horizontal="left" vertical="center"/>
      <protection hidden="1"/>
    </xf>
    <xf numFmtId="0" fontId="86" fillId="0" borderId="12" xfId="0" applyFont="1" applyBorder="1" applyAlignment="1" applyProtection="1">
      <alignment horizontal="left" vertical="center"/>
      <protection hidden="1"/>
    </xf>
    <xf numFmtId="0" fontId="86" fillId="0" borderId="18" xfId="0" applyFont="1" applyBorder="1" applyAlignment="1" applyProtection="1">
      <alignment horizontal="left" vertical="center"/>
      <protection hidden="1"/>
    </xf>
    <xf numFmtId="0" fontId="105" fillId="0" borderId="0" xfId="0" applyFont="1"/>
    <xf numFmtId="0" fontId="35" fillId="6" borderId="0" xfId="0" applyFont="1" applyFill="1" applyProtection="1">
      <protection hidden="1"/>
    </xf>
    <xf numFmtId="0" fontId="91" fillId="0" borderId="19" xfId="0" applyFont="1" applyBorder="1" applyProtection="1">
      <protection hidden="1"/>
    </xf>
    <xf numFmtId="0" fontId="91" fillId="0" borderId="0" xfId="0" applyFont="1" applyAlignment="1" applyProtection="1">
      <alignment vertical="center"/>
      <protection hidden="1"/>
    </xf>
    <xf numFmtId="14" fontId="105" fillId="0" borderId="0" xfId="0" applyNumberFormat="1" applyFont="1" applyProtection="1">
      <protection hidden="1"/>
    </xf>
    <xf numFmtId="0" fontId="127" fillId="31" borderId="0" xfId="0" applyFont="1" applyFill="1" applyAlignment="1" applyProtection="1">
      <alignment horizontal="left"/>
      <protection hidden="1"/>
    </xf>
    <xf numFmtId="0" fontId="94" fillId="0" borderId="0" xfId="0" applyFont="1" applyAlignment="1">
      <alignment horizontal="left" vertical="center" indent="3"/>
    </xf>
    <xf numFmtId="0" fontId="34" fillId="0" borderId="0" xfId="0" applyFont="1" applyAlignment="1" applyProtection="1">
      <alignment vertical="center"/>
      <protection hidden="1"/>
    </xf>
    <xf numFmtId="0" fontId="127" fillId="31" borderId="0" xfId="0" applyFont="1" applyFill="1" applyAlignment="1" applyProtection="1">
      <alignment horizontal="left" vertical="center"/>
      <protection hidden="1"/>
    </xf>
    <xf numFmtId="0" fontId="91" fillId="0" borderId="4" xfId="0" applyFont="1" applyBorder="1" applyAlignment="1" applyProtection="1">
      <alignment horizontal="center"/>
      <protection hidden="1"/>
    </xf>
    <xf numFmtId="14" fontId="86" fillId="2" borderId="19" xfId="0" applyNumberFormat="1" applyFont="1" applyFill="1" applyBorder="1" applyAlignment="1" applyProtection="1">
      <alignment horizontal="center" vertical="top" wrapText="1"/>
      <protection hidden="1"/>
    </xf>
    <xf numFmtId="190" fontId="34" fillId="2" borderId="19" xfId="0" applyNumberFormat="1" applyFont="1" applyFill="1" applyBorder="1" applyAlignment="1" applyProtection="1">
      <alignment horizontal="center" vertical="top" wrapText="1"/>
      <protection hidden="1"/>
    </xf>
    <xf numFmtId="0" fontId="34" fillId="2" borderId="19" xfId="0" applyFont="1" applyFill="1" applyBorder="1" applyAlignment="1" applyProtection="1">
      <alignment horizontal="center" vertical="center" wrapText="1"/>
      <protection hidden="1"/>
    </xf>
    <xf numFmtId="0" fontId="86" fillId="2" borderId="19" xfId="0" applyFont="1" applyFill="1" applyBorder="1" applyAlignment="1" applyProtection="1">
      <alignment horizontal="center" vertical="center" wrapText="1"/>
      <protection hidden="1"/>
    </xf>
    <xf numFmtId="0" fontId="74" fillId="2" borderId="19" xfId="0" applyFont="1" applyFill="1" applyBorder="1" applyAlignment="1" applyProtection="1">
      <alignment horizontal="center" vertical="center"/>
      <protection hidden="1"/>
    </xf>
    <xf numFmtId="14" fontId="74" fillId="2" borderId="19" xfId="0" applyNumberFormat="1" applyFont="1" applyFill="1" applyBorder="1" applyAlignment="1" applyProtection="1">
      <alignment horizontal="center" vertical="top"/>
      <protection hidden="1"/>
    </xf>
    <xf numFmtId="0" fontId="74" fillId="2" borderId="24" xfId="0" applyFont="1" applyFill="1" applyBorder="1" applyAlignment="1" applyProtection="1">
      <alignment vertical="center"/>
      <protection hidden="1"/>
    </xf>
    <xf numFmtId="0" fontId="111" fillId="6" borderId="4" xfId="0" applyFont="1" applyFill="1" applyBorder="1" applyAlignment="1" applyProtection="1">
      <alignment horizontal="center" vertical="center" wrapText="1"/>
      <protection hidden="1"/>
    </xf>
    <xf numFmtId="14" fontId="111" fillId="6" borderId="4" xfId="0" applyNumberFormat="1" applyFont="1" applyFill="1" applyBorder="1" applyAlignment="1" applyProtection="1">
      <alignment horizontal="center" vertical="top"/>
      <protection hidden="1"/>
    </xf>
    <xf numFmtId="0" fontId="111" fillId="6" borderId="4" xfId="0" applyFont="1" applyFill="1" applyBorder="1" applyAlignment="1" applyProtection="1">
      <alignment horizontal="center" vertical="top" wrapText="1"/>
      <protection hidden="1"/>
    </xf>
    <xf numFmtId="0" fontId="111" fillId="6" borderId="4" xfId="0" applyFont="1" applyFill="1" applyBorder="1" applyAlignment="1" applyProtection="1">
      <alignment vertical="center"/>
      <protection hidden="1"/>
    </xf>
    <xf numFmtId="0" fontId="142" fillId="6" borderId="4" xfId="0" applyFont="1" applyFill="1" applyBorder="1" applyAlignment="1" applyProtection="1">
      <alignment horizontal="center" wrapText="1"/>
      <protection hidden="1"/>
    </xf>
    <xf numFmtId="0" fontId="85" fillId="0" borderId="4" xfId="0" applyFont="1" applyBorder="1" applyAlignment="1" applyProtection="1">
      <alignment vertical="center"/>
      <protection hidden="1"/>
    </xf>
    <xf numFmtId="3" fontId="74" fillId="7" borderId="14" xfId="0" applyNumberFormat="1" applyFont="1" applyFill="1" applyBorder="1" applyAlignment="1" applyProtection="1">
      <alignment horizontal="center"/>
      <protection hidden="1"/>
    </xf>
    <xf numFmtId="1" fontId="74" fillId="7" borderId="14" xfId="0" applyNumberFormat="1" applyFont="1" applyFill="1" applyBorder="1" applyAlignment="1" applyProtection="1">
      <alignment horizontal="center"/>
      <protection hidden="1"/>
    </xf>
    <xf numFmtId="0" fontId="74" fillId="2" borderId="14" xfId="0" applyFont="1" applyFill="1" applyBorder="1" applyAlignment="1" applyProtection="1">
      <alignment horizontal="center"/>
      <protection hidden="1"/>
    </xf>
    <xf numFmtId="0" fontId="86" fillId="0" borderId="13" xfId="0" applyFont="1" applyBorder="1" applyAlignment="1" applyProtection="1">
      <alignment horizontal="left" vertical="center"/>
      <protection hidden="1"/>
    </xf>
    <xf numFmtId="0" fontId="188" fillId="6" borderId="0" xfId="0" applyFont="1" applyFill="1" applyAlignment="1" applyProtection="1">
      <alignment horizontal="right" wrapText="1"/>
      <protection hidden="1"/>
    </xf>
    <xf numFmtId="0" fontId="188" fillId="0" borderId="0" xfId="0" applyFont="1" applyAlignment="1" applyProtection="1">
      <alignment horizontal="right"/>
      <protection hidden="1"/>
    </xf>
    <xf numFmtId="189" fontId="34" fillId="2" borderId="19" xfId="0" applyNumberFormat="1" applyFont="1" applyFill="1" applyBorder="1" applyAlignment="1" applyProtection="1">
      <alignment horizontal="center" vertical="top" wrapText="1"/>
      <protection hidden="1"/>
    </xf>
    <xf numFmtId="0" fontId="188" fillId="0" borderId="0" xfId="0" applyFont="1" applyProtection="1">
      <protection hidden="1"/>
    </xf>
    <xf numFmtId="3" fontId="34" fillId="3" borderId="14" xfId="0" applyNumberFormat="1" applyFont="1" applyFill="1" applyBorder="1" applyAlignment="1" applyProtection="1">
      <alignment horizontal="center"/>
      <protection locked="0"/>
    </xf>
    <xf numFmtId="0" fontId="219" fillId="6" borderId="0" xfId="0" applyFont="1" applyFill="1" applyProtection="1">
      <protection hidden="1"/>
    </xf>
    <xf numFmtId="14" fontId="34" fillId="27" borderId="14" xfId="0" applyNumberFormat="1" applyFont="1" applyFill="1" applyBorder="1" applyAlignment="1" applyProtection="1">
      <alignment horizontal="center"/>
      <protection locked="0"/>
    </xf>
    <xf numFmtId="0" fontId="127" fillId="6" borderId="0" xfId="0" applyFont="1" applyFill="1" applyAlignment="1" applyProtection="1">
      <alignment horizontal="left" vertical="top"/>
      <protection hidden="1"/>
    </xf>
    <xf numFmtId="0" fontId="34" fillId="0" borderId="19" xfId="0" applyFont="1" applyBorder="1" applyAlignment="1" applyProtection="1">
      <alignment horizontal="center" wrapText="1"/>
      <protection hidden="1"/>
    </xf>
    <xf numFmtId="4" fontId="59" fillId="20" borderId="7" xfId="0" applyNumberFormat="1" applyFont="1" applyFill="1" applyBorder="1" applyAlignment="1" applyProtection="1">
      <alignment horizontal="center"/>
      <protection hidden="1"/>
    </xf>
    <xf numFmtId="4" fontId="74" fillId="20" borderId="24" xfId="0" applyNumberFormat="1" applyFont="1" applyFill="1" applyBorder="1" applyAlignment="1">
      <alignment horizontal="center"/>
    </xf>
    <xf numFmtId="4" fontId="74" fillId="20" borderId="14" xfId="0" applyNumberFormat="1" applyFont="1" applyFill="1" applyBorder="1" applyAlignment="1" applyProtection="1">
      <alignment horizontal="center"/>
      <protection locked="0"/>
    </xf>
    <xf numFmtId="4" fontId="67" fillId="20" borderId="24" xfId="0" applyNumberFormat="1" applyFont="1" applyFill="1" applyBorder="1" applyAlignment="1">
      <alignment horizontal="center"/>
    </xf>
    <xf numFmtId="4" fontId="74" fillId="20" borderId="47" xfId="0" applyNumberFormat="1" applyFont="1" applyFill="1" applyBorder="1" applyAlignment="1">
      <alignment horizontal="center"/>
    </xf>
    <xf numFmtId="49" fontId="93" fillId="20" borderId="48" xfId="0" applyNumberFormat="1" applyFont="1" applyFill="1" applyBorder="1" applyAlignment="1" applyProtection="1">
      <alignment horizontal="left"/>
      <protection locked="0"/>
    </xf>
    <xf numFmtId="49" fontId="93" fillId="7" borderId="48" xfId="0" applyNumberFormat="1" applyFont="1" applyFill="1" applyBorder="1" applyAlignment="1" applyProtection="1">
      <alignment horizontal="left"/>
      <protection locked="0"/>
    </xf>
    <xf numFmtId="173" fontId="59" fillId="7" borderId="13" xfId="0" applyNumberFormat="1" applyFont="1" applyFill="1" applyBorder="1" applyAlignment="1" applyProtection="1">
      <alignment horizontal="center"/>
      <protection hidden="1"/>
    </xf>
    <xf numFmtId="1" fontId="74" fillId="20" borderId="8" xfId="0" applyNumberFormat="1" applyFont="1" applyFill="1" applyBorder="1" applyAlignment="1" applyProtection="1">
      <alignment horizontal="center"/>
      <protection hidden="1"/>
    </xf>
    <xf numFmtId="173" fontId="59" fillId="20" borderId="13" xfId="0" applyNumberFormat="1" applyFont="1" applyFill="1" applyBorder="1" applyAlignment="1" applyProtection="1">
      <alignment horizontal="center"/>
      <protection hidden="1"/>
    </xf>
    <xf numFmtId="1" fontId="59" fillId="20" borderId="13" xfId="0" applyNumberFormat="1" applyFont="1" applyFill="1" applyBorder="1" applyAlignment="1" applyProtection="1">
      <alignment horizontal="center"/>
      <protection hidden="1"/>
    </xf>
    <xf numFmtId="4" fontId="59" fillId="20" borderId="13" xfId="0" applyNumberFormat="1" applyFont="1" applyFill="1" applyBorder="1" applyAlignment="1" applyProtection="1">
      <alignment horizontal="center"/>
      <protection hidden="1"/>
    </xf>
    <xf numFmtId="4" fontId="67" fillId="20" borderId="24" xfId="0" applyNumberFormat="1" applyFont="1" applyFill="1" applyBorder="1" applyAlignment="1" applyProtection="1">
      <alignment horizontal="center"/>
      <protection hidden="1"/>
    </xf>
    <xf numFmtId="4" fontId="74" fillId="20" borderId="47" xfId="0" applyNumberFormat="1" applyFont="1" applyFill="1" applyBorder="1" applyAlignment="1" applyProtection="1">
      <alignment horizontal="center"/>
      <protection hidden="1"/>
    </xf>
    <xf numFmtId="173" fontId="74" fillId="20" borderId="14" xfId="0" applyNumberFormat="1" applyFont="1" applyFill="1" applyBorder="1" applyAlignment="1" applyProtection="1">
      <alignment horizontal="center"/>
      <protection locked="0"/>
    </xf>
    <xf numFmtId="1" fontId="74" fillId="20" borderId="14" xfId="0" applyNumberFormat="1" applyFont="1" applyFill="1" applyBorder="1" applyAlignment="1" applyProtection="1">
      <alignment horizontal="center"/>
      <protection locked="0"/>
    </xf>
    <xf numFmtId="173" fontId="93" fillId="7" borderId="13" xfId="0" applyNumberFormat="1" applyFont="1" applyFill="1" applyBorder="1" applyAlignment="1" applyProtection="1">
      <alignment horizontal="center"/>
      <protection locked="0"/>
    </xf>
    <xf numFmtId="4" fontId="93" fillId="7" borderId="14" xfId="0" applyNumberFormat="1" applyFont="1" applyFill="1" applyBorder="1" applyProtection="1">
      <protection locked="0"/>
    </xf>
    <xf numFmtId="4" fontId="93" fillId="7" borderId="14" xfId="0" applyNumberFormat="1" applyFont="1" applyFill="1" applyBorder="1"/>
    <xf numFmtId="4" fontId="93" fillId="11" borderId="14" xfId="0" applyNumberFormat="1" applyFont="1" applyFill="1" applyBorder="1" applyAlignment="1">
      <alignment horizontal="center"/>
    </xf>
    <xf numFmtId="4" fontId="85" fillId="11" borderId="14" xfId="0" applyNumberFormat="1" applyFont="1" applyFill="1" applyBorder="1" applyAlignment="1">
      <alignment horizontal="center"/>
    </xf>
    <xf numFmtId="178" fontId="85" fillId="11" borderId="14" xfId="0" applyNumberFormat="1" applyFont="1" applyFill="1" applyBorder="1" applyAlignment="1">
      <alignment horizontal="center"/>
    </xf>
    <xf numFmtId="178" fontId="91" fillId="31" borderId="14" xfId="0" applyNumberFormat="1" applyFont="1" applyFill="1" applyBorder="1" applyAlignment="1">
      <alignment horizontal="center"/>
    </xf>
    <xf numFmtId="4" fontId="106" fillId="19" borderId="14" xfId="0" applyNumberFormat="1" applyFont="1" applyFill="1" applyBorder="1" applyAlignment="1">
      <alignment horizontal="center"/>
    </xf>
    <xf numFmtId="4" fontId="98" fillId="19" borderId="14" xfId="0" applyNumberFormat="1" applyFont="1" applyFill="1" applyBorder="1" applyAlignment="1">
      <alignment horizontal="center"/>
    </xf>
    <xf numFmtId="178" fontId="98" fillId="19" borderId="14" xfId="0" applyNumberFormat="1" applyFont="1" applyFill="1" applyBorder="1" applyAlignment="1">
      <alignment horizontal="center"/>
    </xf>
    <xf numFmtId="0" fontId="190" fillId="15" borderId="44" xfId="0" applyFont="1" applyFill="1" applyBorder="1" applyAlignment="1">
      <alignment vertical="center" wrapText="1"/>
    </xf>
    <xf numFmtId="0" fontId="190" fillId="15" borderId="0" xfId="0" applyFont="1" applyFill="1" applyAlignment="1">
      <alignment vertical="center" wrapText="1"/>
    </xf>
    <xf numFmtId="173" fontId="93" fillId="20" borderId="14" xfId="0" applyNumberFormat="1" applyFont="1" applyFill="1" applyBorder="1" applyAlignment="1">
      <alignment horizontal="center"/>
    </xf>
    <xf numFmtId="173" fontId="105" fillId="20" borderId="14" xfId="0" applyNumberFormat="1" applyFont="1" applyFill="1" applyBorder="1" applyAlignment="1">
      <alignment horizontal="center"/>
    </xf>
    <xf numFmtId="173" fontId="128" fillId="20" borderId="14" xfId="0" applyNumberFormat="1" applyFont="1" applyFill="1" applyBorder="1"/>
    <xf numFmtId="0" fontId="208" fillId="11" borderId="14" xfId="0" applyFont="1" applyFill="1" applyBorder="1" applyAlignment="1">
      <alignment horizontal="center"/>
    </xf>
    <xf numFmtId="0" fontId="208" fillId="11" borderId="14" xfId="0" applyFont="1" applyFill="1" applyBorder="1" applyAlignment="1">
      <alignment horizontal="center" wrapText="1"/>
    </xf>
    <xf numFmtId="0" fontId="209" fillId="31" borderId="14" xfId="0" applyFont="1" applyFill="1" applyBorder="1" applyAlignment="1">
      <alignment horizontal="center"/>
    </xf>
    <xf numFmtId="0" fontId="209" fillId="31" borderId="14" xfId="0" applyFont="1" applyFill="1" applyBorder="1" applyAlignment="1">
      <alignment horizontal="center" wrapText="1"/>
    </xf>
    <xf numFmtId="0" fontId="210" fillId="19" borderId="14" xfId="0" applyFont="1" applyFill="1" applyBorder="1" applyAlignment="1">
      <alignment horizontal="center"/>
    </xf>
    <xf numFmtId="0" fontId="210" fillId="19" borderId="14" xfId="0" applyFont="1" applyFill="1" applyBorder="1" applyAlignment="1">
      <alignment horizontal="center" wrapText="1"/>
    </xf>
    <xf numFmtId="0" fontId="113" fillId="6" borderId="0" xfId="0" applyFont="1" applyFill="1" applyAlignment="1">
      <alignment wrapText="1"/>
    </xf>
    <xf numFmtId="173" fontId="91" fillId="20" borderId="1" xfId="0" applyNumberFormat="1" applyFont="1" applyFill="1" applyBorder="1" applyAlignment="1">
      <alignment horizontal="center"/>
    </xf>
    <xf numFmtId="173" fontId="128" fillId="20" borderId="3" xfId="0" applyNumberFormat="1" applyFont="1" applyFill="1" applyBorder="1" applyAlignment="1">
      <alignment horizontal="center"/>
    </xf>
    <xf numFmtId="173" fontId="91" fillId="20" borderId="4" xfId="0" applyNumberFormat="1" applyFont="1" applyFill="1" applyBorder="1" applyAlignment="1">
      <alignment horizontal="center"/>
    </xf>
    <xf numFmtId="173" fontId="128" fillId="20" borderId="5" xfId="0" applyNumberFormat="1" applyFont="1" applyFill="1" applyBorder="1" applyAlignment="1">
      <alignment horizontal="center"/>
    </xf>
    <xf numFmtId="173" fontId="91" fillId="20" borderId="6" xfId="0" applyNumberFormat="1" applyFont="1" applyFill="1" applyBorder="1" applyAlignment="1">
      <alignment horizontal="center"/>
    </xf>
    <xf numFmtId="173" fontId="128" fillId="20" borderId="8" xfId="0" applyNumberFormat="1" applyFont="1" applyFill="1" applyBorder="1" applyAlignment="1">
      <alignment horizontal="center"/>
    </xf>
    <xf numFmtId="4" fontId="85" fillId="11" borderId="12" xfId="0" applyNumberFormat="1" applyFont="1" applyFill="1" applyBorder="1" applyAlignment="1">
      <alignment horizontal="center"/>
    </xf>
    <xf numFmtId="173" fontId="85" fillId="20" borderId="18" xfId="0" applyNumberFormat="1" applyFont="1" applyFill="1" applyBorder="1" applyAlignment="1">
      <alignment horizontal="center"/>
    </xf>
    <xf numFmtId="4" fontId="105" fillId="20" borderId="0" xfId="0" applyNumberFormat="1" applyFont="1" applyFill="1" applyAlignment="1">
      <alignment horizontal="center"/>
    </xf>
    <xf numFmtId="4" fontId="91" fillId="20" borderId="0" xfId="0" applyNumberFormat="1" applyFont="1" applyFill="1" applyAlignment="1">
      <alignment horizontal="center"/>
    </xf>
    <xf numFmtId="4" fontId="106" fillId="20" borderId="0" xfId="0" applyNumberFormat="1" applyFont="1" applyFill="1" applyAlignment="1">
      <alignment horizontal="center"/>
    </xf>
    <xf numFmtId="4" fontId="98" fillId="20" borderId="0" xfId="0" applyNumberFormat="1" applyFont="1" applyFill="1" applyAlignment="1">
      <alignment horizontal="center"/>
    </xf>
    <xf numFmtId="4" fontId="105" fillId="20" borderId="1" xfId="0" applyNumberFormat="1" applyFont="1" applyFill="1" applyBorder="1" applyAlignment="1">
      <alignment horizontal="center"/>
    </xf>
    <xf numFmtId="4" fontId="91" fillId="20" borderId="2" xfId="0" applyNumberFormat="1" applyFont="1" applyFill="1" applyBorder="1" applyAlignment="1">
      <alignment horizontal="center"/>
    </xf>
    <xf numFmtId="4" fontId="106" fillId="20" borderId="2" xfId="0" applyNumberFormat="1" applyFont="1" applyFill="1" applyBorder="1" applyAlignment="1">
      <alignment horizontal="center"/>
    </xf>
    <xf numFmtId="4" fontId="98" fillId="20" borderId="2" xfId="0" applyNumberFormat="1" applyFont="1" applyFill="1" applyBorder="1" applyAlignment="1">
      <alignment horizontal="center"/>
    </xf>
    <xf numFmtId="4" fontId="98" fillId="20" borderId="3" xfId="0" applyNumberFormat="1" applyFont="1" applyFill="1" applyBorder="1" applyAlignment="1">
      <alignment horizontal="center"/>
    </xf>
    <xf numFmtId="4" fontId="105" fillId="20" borderId="4" xfId="0" applyNumberFormat="1" applyFont="1" applyFill="1" applyBorder="1" applyAlignment="1">
      <alignment horizontal="center"/>
    </xf>
    <xf numFmtId="4" fontId="98" fillId="20" borderId="5" xfId="0" applyNumberFormat="1" applyFont="1" applyFill="1" applyBorder="1" applyAlignment="1">
      <alignment horizontal="center"/>
    </xf>
    <xf numFmtId="4" fontId="105" fillId="20" borderId="6" xfId="0" applyNumberFormat="1" applyFont="1" applyFill="1" applyBorder="1" applyAlignment="1">
      <alignment horizontal="center"/>
    </xf>
    <xf numFmtId="4" fontId="91" fillId="20" borderId="7" xfId="0" applyNumberFormat="1" applyFont="1" applyFill="1" applyBorder="1" applyAlignment="1">
      <alignment horizontal="center"/>
    </xf>
    <xf numFmtId="4" fontId="106" fillId="20" borderId="7" xfId="0" applyNumberFormat="1" applyFont="1" applyFill="1" applyBorder="1" applyAlignment="1">
      <alignment horizontal="center"/>
    </xf>
    <xf numFmtId="4" fontId="98" fillId="20" borderId="7" xfId="0" applyNumberFormat="1" applyFont="1" applyFill="1" applyBorder="1" applyAlignment="1">
      <alignment horizontal="center"/>
    </xf>
    <xf numFmtId="4" fontId="98" fillId="20" borderId="8" xfId="0" applyNumberFormat="1" applyFont="1" applyFill="1" applyBorder="1" applyAlignment="1">
      <alignment horizontal="center"/>
    </xf>
    <xf numFmtId="173" fontId="128" fillId="20" borderId="23" xfId="0" applyNumberFormat="1" applyFont="1" applyFill="1" applyBorder="1" applyAlignment="1">
      <alignment horizontal="center"/>
    </xf>
    <xf numFmtId="173" fontId="128" fillId="20" borderId="19" xfId="0" applyNumberFormat="1" applyFont="1" applyFill="1" applyBorder="1" applyAlignment="1">
      <alignment horizontal="center"/>
    </xf>
    <xf numFmtId="173" fontId="128" fillId="20" borderId="24" xfId="0" applyNumberFormat="1" applyFont="1" applyFill="1" applyBorder="1" applyAlignment="1">
      <alignment horizontal="center"/>
    </xf>
    <xf numFmtId="4" fontId="91" fillId="31" borderId="12" xfId="0" applyNumberFormat="1" applyFont="1" applyFill="1" applyBorder="1" applyAlignment="1">
      <alignment horizontal="center"/>
    </xf>
    <xf numFmtId="173" fontId="85" fillId="20" borderId="0" xfId="0" applyNumberFormat="1" applyFont="1" applyFill="1" applyAlignment="1">
      <alignment horizontal="center"/>
    </xf>
    <xf numFmtId="4" fontId="106" fillId="20" borderId="1" xfId="0" applyNumberFormat="1" applyFont="1" applyFill="1" applyBorder="1" applyAlignment="1">
      <alignment horizontal="center"/>
    </xf>
    <xf numFmtId="173" fontId="85" fillId="20" borderId="3" xfId="0" applyNumberFormat="1" applyFont="1" applyFill="1" applyBorder="1" applyAlignment="1">
      <alignment horizontal="center"/>
    </xf>
    <xf numFmtId="4" fontId="106" fillId="20" borderId="4" xfId="0" applyNumberFormat="1" applyFont="1" applyFill="1" applyBorder="1" applyAlignment="1">
      <alignment horizontal="center"/>
    </xf>
    <xf numFmtId="173" fontId="85" fillId="20" borderId="5" xfId="0" applyNumberFormat="1" applyFont="1" applyFill="1" applyBorder="1" applyAlignment="1">
      <alignment horizontal="center"/>
    </xf>
    <xf numFmtId="4" fontId="106" fillId="20" borderId="6" xfId="0" applyNumberFormat="1" applyFont="1" applyFill="1" applyBorder="1" applyAlignment="1">
      <alignment horizontal="center"/>
    </xf>
    <xf numFmtId="173" fontId="85" fillId="20" borderId="8" xfId="0" applyNumberFormat="1" applyFont="1" applyFill="1" applyBorder="1" applyAlignment="1">
      <alignment horizontal="center"/>
    </xf>
    <xf numFmtId="173" fontId="91" fillId="20" borderId="18" xfId="0" applyNumberFormat="1" applyFont="1" applyFill="1" applyBorder="1" applyAlignment="1">
      <alignment horizontal="center"/>
    </xf>
    <xf numFmtId="4" fontId="105" fillId="31" borderId="13" xfId="0" applyNumberFormat="1" applyFont="1" applyFill="1" applyBorder="1" applyAlignment="1">
      <alignment horizontal="center"/>
    </xf>
    <xf numFmtId="4" fontId="85" fillId="20" borderId="0" xfId="0" applyNumberFormat="1" applyFont="1" applyFill="1" applyAlignment="1">
      <alignment horizontal="center"/>
    </xf>
    <xf numFmtId="4" fontId="93" fillId="20" borderId="1" xfId="0" applyNumberFormat="1" applyFont="1" applyFill="1" applyBorder="1" applyAlignment="1">
      <alignment horizontal="center"/>
    </xf>
    <xf numFmtId="4" fontId="85" fillId="20" borderId="2" xfId="0" applyNumberFormat="1" applyFont="1" applyFill="1" applyBorder="1" applyAlignment="1">
      <alignment horizontal="center"/>
    </xf>
    <xf numFmtId="4" fontId="85" fillId="20" borderId="3" xfId="0" applyNumberFormat="1" applyFont="1" applyFill="1" applyBorder="1" applyAlignment="1">
      <alignment horizontal="center"/>
    </xf>
    <xf numFmtId="4" fontId="93" fillId="20" borderId="4" xfId="0" applyNumberFormat="1" applyFont="1" applyFill="1" applyBorder="1" applyAlignment="1">
      <alignment horizontal="center"/>
    </xf>
    <xf numFmtId="4" fontId="85" fillId="20" borderId="5" xfId="0" applyNumberFormat="1" applyFont="1" applyFill="1" applyBorder="1" applyAlignment="1">
      <alignment horizontal="center"/>
    </xf>
    <xf numFmtId="4" fontId="93" fillId="20" borderId="6" xfId="0" applyNumberFormat="1" applyFont="1" applyFill="1" applyBorder="1" applyAlignment="1">
      <alignment horizontal="center"/>
    </xf>
    <xf numFmtId="4" fontId="85" fillId="20" borderId="7" xfId="0" applyNumberFormat="1" applyFont="1" applyFill="1" applyBorder="1" applyAlignment="1">
      <alignment horizontal="center"/>
    </xf>
    <xf numFmtId="4" fontId="85" fillId="20" borderId="8" xfId="0" applyNumberFormat="1" applyFont="1" applyFill="1" applyBorder="1" applyAlignment="1">
      <alignment horizontal="center"/>
    </xf>
    <xf numFmtId="4" fontId="106" fillId="19" borderId="13" xfId="0" applyNumberFormat="1" applyFont="1" applyFill="1" applyBorder="1" applyAlignment="1">
      <alignment horizontal="center"/>
    </xf>
    <xf numFmtId="4" fontId="105" fillId="20" borderId="2" xfId="0" applyNumberFormat="1" applyFont="1" applyFill="1" applyBorder="1" applyAlignment="1">
      <alignment horizontal="center"/>
    </xf>
    <xf numFmtId="4" fontId="91" fillId="20" borderId="3" xfId="0" applyNumberFormat="1" applyFont="1" applyFill="1" applyBorder="1" applyAlignment="1">
      <alignment horizontal="center"/>
    </xf>
    <xf numFmtId="4" fontId="91" fillId="20" borderId="5" xfId="0" applyNumberFormat="1" applyFont="1" applyFill="1" applyBorder="1" applyAlignment="1">
      <alignment horizontal="center"/>
    </xf>
    <xf numFmtId="4" fontId="105" fillId="20" borderId="7" xfId="0" applyNumberFormat="1" applyFont="1" applyFill="1" applyBorder="1" applyAlignment="1">
      <alignment horizontal="center"/>
    </xf>
    <xf numFmtId="4" fontId="91" fillId="20" borderId="8" xfId="0" applyNumberFormat="1" applyFont="1" applyFill="1" applyBorder="1" applyAlignment="1">
      <alignment horizontal="center"/>
    </xf>
    <xf numFmtId="4" fontId="98" fillId="19" borderId="12" xfId="0" applyNumberFormat="1" applyFont="1" applyFill="1" applyBorder="1" applyAlignment="1">
      <alignment horizontal="center"/>
    </xf>
    <xf numFmtId="173" fontId="85" fillId="20" borderId="1" xfId="0" applyNumberFormat="1" applyFont="1" applyFill="1" applyBorder="1" applyAlignment="1">
      <alignment horizontal="center"/>
    </xf>
    <xf numFmtId="173" fontId="91" fillId="20" borderId="3" xfId="0" applyNumberFormat="1" applyFont="1" applyFill="1" applyBorder="1" applyAlignment="1">
      <alignment horizontal="center"/>
    </xf>
    <xf numFmtId="173" fontId="85" fillId="20" borderId="4" xfId="0" applyNumberFormat="1" applyFont="1" applyFill="1" applyBorder="1" applyAlignment="1">
      <alignment horizontal="center"/>
    </xf>
    <xf numFmtId="173" fontId="91" fillId="20" borderId="5" xfId="0" applyNumberFormat="1" applyFont="1" applyFill="1" applyBorder="1" applyAlignment="1">
      <alignment horizontal="center"/>
    </xf>
    <xf numFmtId="173" fontId="85" fillId="20" borderId="6" xfId="0" applyNumberFormat="1" applyFont="1" applyFill="1" applyBorder="1" applyAlignment="1">
      <alignment horizontal="center"/>
    </xf>
    <xf numFmtId="173" fontId="91" fillId="20" borderId="8" xfId="0" applyNumberFormat="1" applyFont="1" applyFill="1" applyBorder="1" applyAlignment="1">
      <alignment horizontal="center"/>
    </xf>
    <xf numFmtId="4" fontId="93" fillId="19" borderId="18" xfId="0" applyNumberFormat="1" applyFont="1" applyFill="1" applyBorder="1" applyAlignment="1">
      <alignment horizontal="center"/>
    </xf>
    <xf numFmtId="4" fontId="105" fillId="19" borderId="1" xfId="0" applyNumberFormat="1" applyFont="1" applyFill="1" applyBorder="1" applyAlignment="1">
      <alignment horizontal="center"/>
    </xf>
    <xf numFmtId="4" fontId="199" fillId="19" borderId="3" xfId="0" applyNumberFormat="1" applyFont="1" applyFill="1" applyBorder="1" applyAlignment="1">
      <alignment horizontal="center"/>
    </xf>
    <xf numFmtId="4" fontId="105" fillId="19" borderId="4" xfId="0" applyNumberFormat="1" applyFont="1" applyFill="1" applyBorder="1" applyAlignment="1">
      <alignment horizontal="center"/>
    </xf>
    <xf numFmtId="4" fontId="199" fillId="19" borderId="5" xfId="0" applyNumberFormat="1" applyFont="1" applyFill="1" applyBorder="1" applyAlignment="1">
      <alignment horizontal="center"/>
    </xf>
    <xf numFmtId="4" fontId="105" fillId="19" borderId="6" xfId="0" applyNumberFormat="1" applyFont="1" applyFill="1" applyBorder="1" applyAlignment="1">
      <alignment horizontal="center"/>
    </xf>
    <xf numFmtId="4" fontId="199" fillId="19" borderId="8" xfId="0" applyNumberFormat="1" applyFont="1" applyFill="1" applyBorder="1" applyAlignment="1">
      <alignment horizontal="center"/>
    </xf>
    <xf numFmtId="173" fontId="128" fillId="20" borderId="6" xfId="0" applyNumberFormat="1" applyFont="1" applyFill="1" applyBorder="1" applyAlignment="1">
      <alignment horizontal="center"/>
    </xf>
    <xf numFmtId="4" fontId="93" fillId="19" borderId="2" xfId="0" applyNumberFormat="1" applyFont="1" applyFill="1" applyBorder="1" applyAlignment="1">
      <alignment horizontal="center"/>
    </xf>
    <xf numFmtId="4" fontId="93" fillId="19" borderId="24" xfId="0" applyNumberFormat="1" applyFont="1" applyFill="1" applyBorder="1" applyAlignment="1">
      <alignment horizontal="center"/>
    </xf>
    <xf numFmtId="4" fontId="105" fillId="19" borderId="18" xfId="0" applyNumberFormat="1" applyFont="1" applyFill="1" applyBorder="1" applyAlignment="1">
      <alignment horizontal="center"/>
    </xf>
    <xf numFmtId="4" fontId="199" fillId="19" borderId="13" xfId="0" applyNumberFormat="1" applyFont="1" applyFill="1" applyBorder="1" applyAlignment="1">
      <alignment horizontal="center"/>
    </xf>
    <xf numFmtId="4" fontId="93" fillId="11" borderId="23" xfId="0" applyNumberFormat="1" applyFont="1" applyFill="1" applyBorder="1" applyAlignment="1">
      <alignment horizontal="center"/>
    </xf>
    <xf numFmtId="4" fontId="85" fillId="11" borderId="23" xfId="0" applyNumberFormat="1" applyFont="1" applyFill="1" applyBorder="1" applyAlignment="1">
      <alignment horizontal="center"/>
    </xf>
    <xf numFmtId="4" fontId="85" fillId="11" borderId="1" xfId="0" applyNumberFormat="1" applyFont="1" applyFill="1" applyBorder="1" applyAlignment="1">
      <alignment horizontal="center"/>
    </xf>
    <xf numFmtId="173" fontId="85" fillId="20" borderId="2" xfId="0" applyNumberFormat="1" applyFont="1" applyFill="1" applyBorder="1" applyAlignment="1">
      <alignment horizontal="center"/>
    </xf>
    <xf numFmtId="4" fontId="91" fillId="31" borderId="24" xfId="0" applyNumberFormat="1" applyFont="1" applyFill="1" applyBorder="1" applyAlignment="1">
      <alignment horizontal="center"/>
    </xf>
    <xf numFmtId="173" fontId="85" fillId="20" borderId="24" xfId="0" applyNumberFormat="1" applyFont="1" applyFill="1" applyBorder="1" applyAlignment="1">
      <alignment horizontal="center"/>
    </xf>
    <xf numFmtId="4" fontId="93" fillId="20" borderId="12" xfId="0" applyNumberFormat="1" applyFont="1" applyFill="1" applyBorder="1" applyAlignment="1">
      <alignment horizontal="center"/>
    </xf>
    <xf numFmtId="4" fontId="85" fillId="20" borderId="18" xfId="0" applyNumberFormat="1" applyFont="1" applyFill="1" applyBorder="1" applyAlignment="1">
      <alignment horizontal="center"/>
    </xf>
    <xf numFmtId="4" fontId="105" fillId="20" borderId="18" xfId="0" applyNumberFormat="1" applyFont="1" applyFill="1" applyBorder="1" applyAlignment="1">
      <alignment horizontal="center"/>
    </xf>
    <xf numFmtId="4" fontId="91" fillId="20" borderId="18" xfId="0" applyNumberFormat="1" applyFont="1" applyFill="1" applyBorder="1" applyAlignment="1">
      <alignment horizontal="center"/>
    </xf>
    <xf numFmtId="4" fontId="106" fillId="20" borderId="18" xfId="0" applyNumberFormat="1" applyFont="1" applyFill="1" applyBorder="1" applyAlignment="1">
      <alignment horizontal="center"/>
    </xf>
    <xf numFmtId="4" fontId="98" fillId="20" borderId="18" xfId="0" applyNumberFormat="1" applyFont="1" applyFill="1" applyBorder="1" applyAlignment="1">
      <alignment horizontal="center"/>
    </xf>
    <xf numFmtId="173" fontId="128" fillId="20" borderId="18" xfId="0" applyNumberFormat="1" applyFont="1" applyFill="1" applyBorder="1" applyAlignment="1">
      <alignment horizontal="center"/>
    </xf>
    <xf numFmtId="4" fontId="105" fillId="19" borderId="7" xfId="0" applyNumberFormat="1" applyFont="1" applyFill="1" applyBorder="1" applyAlignment="1">
      <alignment horizontal="center"/>
    </xf>
    <xf numFmtId="4" fontId="93" fillId="19" borderId="23" xfId="0" applyNumberFormat="1" applyFont="1" applyFill="1" applyBorder="1" applyAlignment="1">
      <alignment horizontal="center"/>
    </xf>
    <xf numFmtId="4" fontId="93" fillId="19" borderId="19" xfId="0" applyNumberFormat="1" applyFont="1" applyFill="1" applyBorder="1" applyAlignment="1">
      <alignment horizontal="center"/>
    </xf>
    <xf numFmtId="4" fontId="199" fillId="19" borderId="23" xfId="0" applyNumberFormat="1" applyFont="1" applyFill="1" applyBorder="1" applyAlignment="1">
      <alignment horizontal="center"/>
    </xf>
    <xf numFmtId="4" fontId="199" fillId="19" borderId="19" xfId="0" applyNumberFormat="1" applyFont="1" applyFill="1" applyBorder="1" applyAlignment="1">
      <alignment horizontal="center"/>
    </xf>
    <xf numFmtId="4" fontId="199" fillId="19" borderId="24" xfId="0" applyNumberFormat="1" applyFont="1" applyFill="1" applyBorder="1" applyAlignment="1">
      <alignment horizontal="center"/>
    </xf>
    <xf numFmtId="4" fontId="91" fillId="31" borderId="23" xfId="0" applyNumberFormat="1" applyFont="1" applyFill="1" applyBorder="1" applyAlignment="1">
      <alignment horizontal="center"/>
    </xf>
    <xf numFmtId="173" fontId="85" fillId="20" borderId="23" xfId="0" applyNumberFormat="1" applyFont="1" applyFill="1" applyBorder="1" applyAlignment="1">
      <alignment horizontal="center"/>
    </xf>
    <xf numFmtId="173" fontId="128" fillId="20" borderId="1" xfId="0" applyNumberFormat="1" applyFont="1" applyFill="1" applyBorder="1" applyAlignment="1">
      <alignment horizontal="center"/>
    </xf>
    <xf numFmtId="4" fontId="105" fillId="19" borderId="2" xfId="0" applyNumberFormat="1" applyFont="1" applyFill="1" applyBorder="1" applyAlignment="1">
      <alignment horizontal="center"/>
    </xf>
    <xf numFmtId="4" fontId="93" fillId="19" borderId="1" xfId="0" applyNumberFormat="1" applyFont="1" applyFill="1" applyBorder="1" applyAlignment="1">
      <alignment horizontal="center"/>
    </xf>
    <xf numFmtId="4" fontId="105" fillId="19" borderId="3" xfId="0" applyNumberFormat="1" applyFont="1" applyFill="1" applyBorder="1" applyAlignment="1">
      <alignment horizontal="center"/>
    </xf>
    <xf numFmtId="4" fontId="93" fillId="19" borderId="4" xfId="0" applyNumberFormat="1" applyFont="1" applyFill="1" applyBorder="1" applyAlignment="1">
      <alignment horizontal="center"/>
    </xf>
    <xf numFmtId="4" fontId="105" fillId="19" borderId="5" xfId="0" applyNumberFormat="1" applyFont="1" applyFill="1" applyBorder="1" applyAlignment="1">
      <alignment horizontal="center"/>
    </xf>
    <xf numFmtId="4" fontId="93" fillId="19" borderId="6" xfId="0" applyNumberFormat="1" applyFont="1" applyFill="1" applyBorder="1" applyAlignment="1">
      <alignment horizontal="center"/>
    </xf>
    <xf numFmtId="4" fontId="105" fillId="19" borderId="8" xfId="0" applyNumberFormat="1" applyFont="1" applyFill="1" applyBorder="1" applyAlignment="1">
      <alignment horizontal="center"/>
    </xf>
    <xf numFmtId="4" fontId="199" fillId="19" borderId="14" xfId="0" applyNumberFormat="1" applyFont="1" applyFill="1" applyBorder="1" applyAlignment="1">
      <alignment horizontal="center"/>
    </xf>
    <xf numFmtId="173" fontId="128" fillId="19" borderId="7" xfId="0" applyNumberFormat="1" applyFont="1" applyFill="1" applyBorder="1" applyAlignment="1">
      <alignment horizontal="center"/>
    </xf>
    <xf numFmtId="173" fontId="91" fillId="20" borderId="2" xfId="0" applyNumberFormat="1" applyFont="1" applyFill="1" applyBorder="1" applyAlignment="1">
      <alignment horizontal="center"/>
    </xf>
    <xf numFmtId="4" fontId="98" fillId="19" borderId="24" xfId="0" applyNumberFormat="1" applyFont="1" applyFill="1" applyBorder="1" applyAlignment="1">
      <alignment horizontal="center"/>
    </xf>
    <xf numFmtId="4" fontId="98" fillId="19" borderId="6" xfId="0" applyNumberFormat="1" applyFont="1" applyFill="1" applyBorder="1" applyAlignment="1">
      <alignment horizontal="center"/>
    </xf>
    <xf numFmtId="4" fontId="91" fillId="31" borderId="6" xfId="0" applyNumberFormat="1" applyFont="1" applyFill="1" applyBorder="1" applyAlignment="1">
      <alignment horizontal="center"/>
    </xf>
    <xf numFmtId="4" fontId="91" fillId="31" borderId="1" xfId="0" applyNumberFormat="1" applyFont="1" applyFill="1" applyBorder="1" applyAlignment="1">
      <alignment horizontal="center"/>
    </xf>
    <xf numFmtId="173" fontId="85" fillId="20" borderId="19" xfId="0" applyNumberFormat="1" applyFont="1" applyFill="1" applyBorder="1" applyAlignment="1">
      <alignment horizontal="center"/>
    </xf>
    <xf numFmtId="173" fontId="91" fillId="31" borderId="7" xfId="0" applyNumberFormat="1" applyFont="1" applyFill="1" applyBorder="1" applyAlignment="1">
      <alignment horizontal="center"/>
    </xf>
    <xf numFmtId="4" fontId="93" fillId="19" borderId="3" xfId="0" applyNumberFormat="1" applyFont="1" applyFill="1" applyBorder="1" applyAlignment="1">
      <alignment horizontal="center"/>
    </xf>
    <xf numFmtId="4" fontId="93" fillId="19" borderId="5" xfId="0" applyNumberFormat="1" applyFont="1" applyFill="1" applyBorder="1" applyAlignment="1">
      <alignment horizontal="center"/>
    </xf>
    <xf numFmtId="173" fontId="128" fillId="20" borderId="2" xfId="0" applyNumberFormat="1" applyFont="1" applyFill="1" applyBorder="1" applyAlignment="1">
      <alignment horizontal="center"/>
    </xf>
    <xf numFmtId="173" fontId="128" fillId="20" borderId="7" xfId="0" applyNumberFormat="1" applyFont="1" applyFill="1" applyBorder="1" applyAlignment="1">
      <alignment horizontal="center"/>
    </xf>
    <xf numFmtId="4" fontId="105" fillId="31" borderId="8" xfId="0" applyNumberFormat="1" applyFont="1" applyFill="1" applyBorder="1" applyAlignment="1">
      <alignment horizontal="center"/>
    </xf>
    <xf numFmtId="4" fontId="105" fillId="31" borderId="3" xfId="0" applyNumberFormat="1" applyFont="1" applyFill="1" applyBorder="1" applyAlignment="1">
      <alignment horizontal="center"/>
    </xf>
    <xf numFmtId="4" fontId="106" fillId="19" borderId="8" xfId="0" applyNumberFormat="1" applyFont="1" applyFill="1" applyBorder="1" applyAlignment="1">
      <alignment horizontal="center"/>
    </xf>
    <xf numFmtId="173" fontId="85" fillId="20" borderId="7" xfId="0" applyNumberFormat="1" applyFont="1" applyFill="1" applyBorder="1" applyAlignment="1">
      <alignment horizontal="center"/>
    </xf>
    <xf numFmtId="173" fontId="91" fillId="20" borderId="7" xfId="0" applyNumberFormat="1" applyFont="1" applyFill="1" applyBorder="1" applyAlignment="1">
      <alignment horizontal="center"/>
    </xf>
    <xf numFmtId="4" fontId="93" fillId="19" borderId="7" xfId="0" applyNumberFormat="1" applyFont="1" applyFill="1" applyBorder="1" applyAlignment="1">
      <alignment horizontal="center"/>
    </xf>
    <xf numFmtId="4" fontId="93" fillId="11" borderId="24" xfId="0" applyNumberFormat="1" applyFont="1" applyFill="1" applyBorder="1" applyAlignment="1">
      <alignment horizontal="center"/>
    </xf>
    <xf numFmtId="4" fontId="85" fillId="11" borderId="24" xfId="0" applyNumberFormat="1" applyFont="1" applyFill="1" applyBorder="1" applyAlignment="1">
      <alignment horizontal="center"/>
    </xf>
    <xf numFmtId="4" fontId="85" fillId="11" borderId="6" xfId="0" applyNumberFormat="1" applyFont="1" applyFill="1" applyBorder="1" applyAlignment="1">
      <alignment horizontal="center"/>
    </xf>
    <xf numFmtId="173" fontId="128" fillId="20" borderId="4" xfId="0" applyNumberFormat="1" applyFont="1" applyFill="1" applyBorder="1" applyAlignment="1">
      <alignment horizontal="center"/>
    </xf>
    <xf numFmtId="0" fontId="192" fillId="20" borderId="0" xfId="0" applyFont="1" applyFill="1" applyAlignment="1">
      <alignment horizontal="center" wrapText="1"/>
    </xf>
    <xf numFmtId="173" fontId="60" fillId="20" borderId="2" xfId="0" applyNumberFormat="1" applyFont="1" applyFill="1" applyBorder="1" applyAlignment="1">
      <alignment horizontal="center"/>
    </xf>
    <xf numFmtId="4" fontId="93" fillId="20" borderId="2" xfId="0" applyNumberFormat="1" applyFont="1" applyFill="1" applyBorder="1" applyAlignment="1">
      <alignment horizontal="center"/>
    </xf>
    <xf numFmtId="4" fontId="199" fillId="20" borderId="3" xfId="0" applyNumberFormat="1" applyFont="1" applyFill="1" applyBorder="1" applyAlignment="1">
      <alignment horizontal="center"/>
    </xf>
    <xf numFmtId="173" fontId="60" fillId="20" borderId="0" xfId="0" applyNumberFormat="1" applyFont="1" applyFill="1" applyAlignment="1">
      <alignment horizontal="center"/>
    </xf>
    <xf numFmtId="4" fontId="93" fillId="20" borderId="0" xfId="0" applyNumberFormat="1" applyFont="1" applyFill="1" applyAlignment="1">
      <alignment horizontal="center"/>
    </xf>
    <xf numFmtId="4" fontId="199" fillId="20" borderId="5" xfId="0" applyNumberFormat="1" applyFont="1" applyFill="1" applyBorder="1" applyAlignment="1">
      <alignment horizontal="center"/>
    </xf>
    <xf numFmtId="173" fontId="60" fillId="20" borderId="7" xfId="0" applyNumberFormat="1" applyFont="1" applyFill="1" applyBorder="1" applyAlignment="1">
      <alignment horizontal="center"/>
    </xf>
    <xf numFmtId="4" fontId="93" fillId="20" borderId="7" xfId="0" applyNumberFormat="1" applyFont="1" applyFill="1" applyBorder="1" applyAlignment="1">
      <alignment horizontal="center"/>
    </xf>
    <xf numFmtId="4" fontId="199" fillId="20" borderId="8" xfId="0" applyNumberFormat="1" applyFont="1" applyFill="1" applyBorder="1" applyAlignment="1">
      <alignment horizontal="center"/>
    </xf>
    <xf numFmtId="0" fontId="74" fillId="15" borderId="5" xfId="0" applyFont="1" applyFill="1" applyBorder="1"/>
    <xf numFmtId="0" fontId="74" fillId="15" borderId="8" xfId="0" applyFont="1" applyFill="1" applyBorder="1"/>
    <xf numFmtId="0" fontId="74" fillId="7" borderId="13" xfId="0" applyFont="1" applyFill="1" applyBorder="1"/>
    <xf numFmtId="0" fontId="33" fillId="7" borderId="14" xfId="0" applyFont="1" applyFill="1" applyBorder="1"/>
    <xf numFmtId="0" fontId="74" fillId="7" borderId="14" xfId="0" applyFont="1" applyFill="1" applyBorder="1"/>
    <xf numFmtId="0" fontId="80" fillId="7" borderId="12" xfId="0" applyFont="1" applyFill="1" applyBorder="1"/>
    <xf numFmtId="0" fontId="33" fillId="0" borderId="0" xfId="0" applyFont="1"/>
    <xf numFmtId="173" fontId="91" fillId="20" borderId="13" xfId="0" applyNumberFormat="1" applyFont="1" applyFill="1" applyBorder="1" applyAlignment="1">
      <alignment horizontal="center"/>
    </xf>
    <xf numFmtId="173" fontId="128" fillId="20" borderId="12" xfId="0" applyNumberFormat="1" applyFont="1" applyFill="1" applyBorder="1" applyAlignment="1">
      <alignment horizontal="center"/>
    </xf>
    <xf numFmtId="4" fontId="105" fillId="19" borderId="13" xfId="0" applyNumberFormat="1" applyFont="1" applyFill="1" applyBorder="1" applyAlignment="1">
      <alignment horizontal="center"/>
    </xf>
    <xf numFmtId="49" fontId="33" fillId="15" borderId="48" xfId="0" applyNumberFormat="1" applyFont="1" applyFill="1" applyBorder="1" applyAlignment="1" applyProtection="1">
      <alignment horizontal="center"/>
      <protection locked="0"/>
    </xf>
    <xf numFmtId="2" fontId="93" fillId="20" borderId="48" xfId="0" applyNumberFormat="1" applyFont="1" applyFill="1" applyBorder="1" applyAlignment="1">
      <alignment horizontal="left"/>
    </xf>
    <xf numFmtId="4" fontId="93" fillId="19" borderId="8" xfId="0" applyNumberFormat="1" applyFont="1" applyFill="1" applyBorder="1" applyAlignment="1">
      <alignment horizontal="center"/>
    </xf>
    <xf numFmtId="173" fontId="33" fillId="15" borderId="13" xfId="0" applyNumberFormat="1" applyFont="1" applyFill="1" applyBorder="1" applyAlignment="1" applyProtection="1">
      <alignment horizontal="center"/>
      <protection locked="0"/>
    </xf>
    <xf numFmtId="4" fontId="33" fillId="20" borderId="14" xfId="0" applyNumberFormat="1" applyFont="1" applyFill="1" applyBorder="1"/>
    <xf numFmtId="49" fontId="33" fillId="20" borderId="13" xfId="0" applyNumberFormat="1" applyFont="1" applyFill="1" applyBorder="1" applyAlignment="1" applyProtection="1">
      <alignment horizontal="center"/>
      <protection locked="0"/>
    </xf>
    <xf numFmtId="173" fontId="33" fillId="15" borderId="14" xfId="0" applyNumberFormat="1" applyFont="1" applyFill="1" applyBorder="1" applyAlignment="1" applyProtection="1">
      <alignment horizontal="center"/>
      <protection locked="0"/>
    </xf>
    <xf numFmtId="1" fontId="33" fillId="15" borderId="14" xfId="0" applyNumberFormat="1" applyFont="1" applyFill="1" applyBorder="1" applyAlignment="1" applyProtection="1">
      <alignment horizontal="center"/>
      <protection locked="0"/>
    </xf>
    <xf numFmtId="4" fontId="33" fillId="15" borderId="14" xfId="0" applyNumberFormat="1" applyFont="1" applyFill="1" applyBorder="1" applyAlignment="1" applyProtection="1">
      <alignment horizontal="center"/>
      <protection locked="0"/>
    </xf>
    <xf numFmtId="4" fontId="33" fillId="6" borderId="12" xfId="0" applyNumberFormat="1" applyFont="1" applyFill="1" applyBorder="1" applyAlignment="1" applyProtection="1">
      <alignment horizontal="center"/>
      <protection hidden="1"/>
    </xf>
    <xf numFmtId="4" fontId="33" fillId="6" borderId="14" xfId="0" applyNumberFormat="1" applyFont="1" applyFill="1" applyBorder="1" applyAlignment="1">
      <alignment horizontal="center"/>
    </xf>
    <xf numFmtId="4" fontId="33" fillId="0" borderId="47" xfId="0" applyNumberFormat="1" applyFont="1" applyBorder="1" applyAlignment="1">
      <alignment horizontal="center"/>
    </xf>
    <xf numFmtId="4" fontId="33" fillId="6" borderId="7" xfId="0" applyNumberFormat="1" applyFont="1" applyFill="1" applyBorder="1" applyAlignment="1" applyProtection="1">
      <alignment horizontal="center"/>
      <protection hidden="1"/>
    </xf>
    <xf numFmtId="4" fontId="33" fillId="6" borderId="24" xfId="0" applyNumberFormat="1" applyFont="1" applyFill="1" applyBorder="1" applyAlignment="1">
      <alignment horizontal="center"/>
    </xf>
    <xf numFmtId="173" fontId="33" fillId="20" borderId="15" xfId="0" applyNumberFormat="1" applyFont="1" applyFill="1" applyBorder="1" applyAlignment="1">
      <alignment horizontal="center"/>
    </xf>
    <xf numFmtId="178" fontId="33" fillId="20" borderId="9" xfId="0" applyNumberFormat="1" applyFont="1" applyFill="1" applyBorder="1" applyAlignment="1">
      <alignment horizontal="center"/>
    </xf>
    <xf numFmtId="44" fontId="33" fillId="20" borderId="15" xfId="3" applyFont="1" applyFill="1" applyBorder="1"/>
    <xf numFmtId="178" fontId="33" fillId="20" borderId="15" xfId="0" applyNumberFormat="1" applyFont="1" applyFill="1" applyBorder="1" applyAlignment="1">
      <alignment horizontal="center"/>
    </xf>
    <xf numFmtId="165" fontId="33" fillId="20" borderId="9" xfId="0" applyNumberFormat="1" applyFont="1" applyFill="1" applyBorder="1" applyAlignment="1">
      <alignment horizontal="center"/>
    </xf>
    <xf numFmtId="49" fontId="33" fillId="15" borderId="13" xfId="0" applyNumberFormat="1" applyFont="1" applyFill="1" applyBorder="1" applyAlignment="1" applyProtection="1">
      <alignment horizontal="center"/>
      <protection locked="0"/>
    </xf>
    <xf numFmtId="1" fontId="33" fillId="15" borderId="8" xfId="0" applyNumberFormat="1" applyFont="1" applyFill="1" applyBorder="1" applyAlignment="1" applyProtection="1">
      <alignment horizontal="center"/>
      <protection locked="0"/>
    </xf>
    <xf numFmtId="1" fontId="33" fillId="15" borderId="13" xfId="0" applyNumberFormat="1" applyFont="1" applyFill="1" applyBorder="1" applyAlignment="1" applyProtection="1">
      <alignment horizontal="center"/>
      <protection locked="0"/>
    </xf>
    <xf numFmtId="4" fontId="33" fillId="15" borderId="13" xfId="0" applyNumberFormat="1" applyFont="1" applyFill="1" applyBorder="1" applyAlignment="1" applyProtection="1">
      <alignment horizontal="center"/>
      <protection locked="0"/>
    </xf>
    <xf numFmtId="4" fontId="33" fillId="15" borderId="23" xfId="0" applyNumberFormat="1" applyFont="1" applyFill="1" applyBorder="1" applyAlignment="1" applyProtection="1">
      <alignment horizontal="center"/>
      <protection locked="0"/>
    </xf>
    <xf numFmtId="4" fontId="33" fillId="15" borderId="24" xfId="0" applyNumberFormat="1" applyFont="1" applyFill="1" applyBorder="1" applyAlignment="1" applyProtection="1">
      <alignment horizontal="center"/>
      <protection locked="0"/>
    </xf>
    <xf numFmtId="4" fontId="33" fillId="0" borderId="49" xfId="0" applyNumberFormat="1" applyFont="1" applyBorder="1" applyAlignment="1">
      <alignment horizontal="center"/>
    </xf>
    <xf numFmtId="173" fontId="33" fillId="22" borderId="13" xfId="0" applyNumberFormat="1" applyFont="1" applyFill="1" applyBorder="1" applyAlignment="1" applyProtection="1">
      <alignment horizontal="center"/>
      <protection locked="0"/>
    </xf>
    <xf numFmtId="4" fontId="33" fillId="22" borderId="24" xfId="0" applyNumberFormat="1" applyFont="1" applyFill="1" applyBorder="1" applyAlignment="1" applyProtection="1">
      <alignment horizontal="center"/>
      <protection locked="0"/>
    </xf>
    <xf numFmtId="173" fontId="33" fillId="15" borderId="8" xfId="0" applyNumberFormat="1" applyFont="1" applyFill="1" applyBorder="1" applyAlignment="1" applyProtection="1">
      <alignment horizontal="center"/>
      <protection locked="0"/>
    </xf>
    <xf numFmtId="4" fontId="33" fillId="20" borderId="24" xfId="0" applyNumberFormat="1" applyFont="1" applyFill="1" applyBorder="1"/>
    <xf numFmtId="49" fontId="33" fillId="15" borderId="51" xfId="0" applyNumberFormat="1" applyFont="1" applyFill="1" applyBorder="1" applyAlignment="1" applyProtection="1">
      <alignment horizontal="center"/>
      <protection locked="0"/>
    </xf>
    <xf numFmtId="4" fontId="33" fillId="15" borderId="8" xfId="0" applyNumberFormat="1" applyFont="1" applyFill="1" applyBorder="1" applyAlignment="1" applyProtection="1">
      <alignment horizontal="center"/>
      <protection locked="0"/>
    </xf>
    <xf numFmtId="4" fontId="33" fillId="6" borderId="8" xfId="0" applyNumberFormat="1" applyFont="1" applyFill="1" applyBorder="1" applyAlignment="1" applyProtection="1">
      <alignment horizontal="center"/>
      <protection hidden="1"/>
    </xf>
    <xf numFmtId="4" fontId="33" fillId="6" borderId="52" xfId="0" applyNumberFormat="1" applyFont="1" applyFill="1" applyBorder="1" applyAlignment="1">
      <alignment horizontal="center"/>
    </xf>
    <xf numFmtId="4" fontId="33" fillId="6" borderId="95" xfId="0" applyNumberFormat="1" applyFont="1" applyFill="1" applyBorder="1" applyAlignment="1">
      <alignment horizontal="center"/>
    </xf>
    <xf numFmtId="173" fontId="33" fillId="20" borderId="45" xfId="0" applyNumberFormat="1" applyFont="1" applyFill="1" applyBorder="1" applyAlignment="1">
      <alignment horizontal="center"/>
    </xf>
    <xf numFmtId="178" fontId="33" fillId="6" borderId="9" xfId="0" applyNumberFormat="1" applyFont="1" applyFill="1" applyBorder="1" applyAlignment="1">
      <alignment horizontal="center"/>
    </xf>
    <xf numFmtId="49" fontId="33" fillId="15" borderId="85" xfId="0" applyNumberFormat="1" applyFont="1" applyFill="1" applyBorder="1" applyAlignment="1" applyProtection="1">
      <alignment horizontal="center"/>
      <protection locked="0"/>
    </xf>
    <xf numFmtId="14" fontId="80" fillId="15" borderId="14" xfId="0" applyNumberFormat="1" applyFont="1" applyFill="1" applyBorder="1" applyAlignment="1" applyProtection="1">
      <alignment vertical="center"/>
      <protection locked="0"/>
    </xf>
    <xf numFmtId="14" fontId="80" fillId="15" borderId="49" xfId="0" applyNumberFormat="1" applyFont="1" applyFill="1" applyBorder="1" applyAlignment="1" applyProtection="1">
      <alignment vertical="center"/>
      <protection locked="0"/>
    </xf>
    <xf numFmtId="2" fontId="80" fillId="15" borderId="14" xfId="0" applyNumberFormat="1" applyFont="1" applyFill="1" applyBorder="1" applyAlignment="1" applyProtection="1">
      <alignment vertical="center"/>
      <protection locked="0"/>
    </xf>
    <xf numFmtId="2" fontId="80" fillId="15" borderId="49" xfId="0" applyNumberFormat="1" applyFont="1" applyFill="1" applyBorder="1" applyAlignment="1" applyProtection="1">
      <alignment vertical="center"/>
      <protection locked="0"/>
    </xf>
    <xf numFmtId="14" fontId="80" fillId="15" borderId="14" xfId="0" applyNumberFormat="1" applyFont="1" applyFill="1" applyBorder="1" applyAlignment="1" applyProtection="1">
      <alignment horizontal="center" vertical="center"/>
      <protection locked="0"/>
    </xf>
    <xf numFmtId="2" fontId="93" fillId="7" borderId="48" xfId="0" applyNumberFormat="1" applyFont="1" applyFill="1" applyBorder="1" applyAlignment="1">
      <alignment horizontal="left"/>
    </xf>
    <xf numFmtId="173" fontId="33" fillId="7" borderId="14" xfId="0" applyNumberFormat="1" applyFont="1" applyFill="1" applyBorder="1"/>
    <xf numFmtId="173" fontId="74" fillId="7" borderId="14" xfId="0" applyNumberFormat="1" applyFont="1" applyFill="1" applyBorder="1"/>
    <xf numFmtId="0" fontId="150" fillId="6" borderId="56" xfId="0" applyFont="1" applyFill="1" applyBorder="1" applyAlignment="1">
      <alignment vertical="top"/>
    </xf>
    <xf numFmtId="0" fontId="93" fillId="31" borderId="0" xfId="0" applyFont="1" applyFill="1"/>
    <xf numFmtId="0" fontId="33" fillId="0" borderId="14" xfId="0" applyFont="1" applyBorder="1" applyAlignment="1">
      <alignment horizontal="right"/>
    </xf>
    <xf numFmtId="173" fontId="100" fillId="7" borderId="14" xfId="0" applyNumberFormat="1" applyFont="1" applyFill="1" applyBorder="1"/>
    <xf numFmtId="173" fontId="87" fillId="6" borderId="14" xfId="0" applyNumberFormat="1" applyFont="1" applyFill="1" applyBorder="1" applyAlignment="1" applyProtection="1">
      <alignment vertical="center"/>
      <protection locked="0"/>
    </xf>
    <xf numFmtId="10" fontId="74" fillId="6" borderId="14" xfId="4" applyNumberFormat="1" applyFont="1" applyFill="1" applyBorder="1"/>
    <xf numFmtId="49" fontId="32" fillId="15" borderId="48" xfId="0" applyNumberFormat="1" applyFont="1" applyFill="1" applyBorder="1" applyAlignment="1" applyProtection="1">
      <alignment horizontal="center"/>
      <protection locked="0"/>
    </xf>
    <xf numFmtId="170" fontId="91" fillId="7" borderId="13" xfId="0" applyNumberFormat="1" applyFont="1" applyFill="1" applyBorder="1" applyAlignment="1" applyProtection="1">
      <alignment horizontal="right"/>
      <protection hidden="1"/>
    </xf>
    <xf numFmtId="193" fontId="39" fillId="7" borderId="13" xfId="0" applyNumberFormat="1" applyFont="1" applyFill="1" applyBorder="1"/>
    <xf numFmtId="193" fontId="39" fillId="19" borderId="57" xfId="0" applyNumberFormat="1" applyFont="1" applyFill="1" applyBorder="1"/>
    <xf numFmtId="193" fontId="39" fillId="19" borderId="44" xfId="0" applyNumberFormat="1" applyFont="1" applyFill="1" applyBorder="1"/>
    <xf numFmtId="193" fontId="39" fillId="19" borderId="97" xfId="0" applyNumberFormat="1" applyFont="1" applyFill="1" applyBorder="1"/>
    <xf numFmtId="0" fontId="111" fillId="40" borderId="60" xfId="0" applyFont="1" applyFill="1" applyBorder="1"/>
    <xf numFmtId="0" fontId="39" fillId="7" borderId="5" xfId="0" applyFont="1" applyFill="1" applyBorder="1" applyAlignment="1">
      <alignment wrapText="1"/>
    </xf>
    <xf numFmtId="0" fontId="39" fillId="7" borderId="72" xfId="0" applyFont="1" applyFill="1" applyBorder="1" applyAlignment="1">
      <alignment wrapText="1"/>
    </xf>
    <xf numFmtId="193" fontId="39" fillId="7" borderId="82" xfId="0" applyNumberFormat="1" applyFont="1" applyFill="1" applyBorder="1"/>
    <xf numFmtId="193" fontId="80" fillId="7" borderId="93" xfId="0" applyNumberFormat="1" applyFont="1" applyFill="1" applyBorder="1"/>
    <xf numFmtId="193" fontId="83" fillId="40" borderId="85" xfId="0" applyNumberFormat="1" applyFont="1" applyFill="1" applyBorder="1"/>
    <xf numFmtId="0" fontId="80" fillId="0" borderId="24" xfId="0" applyFont="1" applyBorder="1" applyAlignment="1" applyProtection="1">
      <alignment horizontal="center" vertical="top" wrapText="1"/>
      <protection hidden="1"/>
    </xf>
    <xf numFmtId="1" fontId="81" fillId="6" borderId="23" xfId="0" applyNumberFormat="1" applyFont="1" applyFill="1" applyBorder="1" applyAlignment="1" applyProtection="1">
      <alignment horizontal="center" vertical="center" wrapText="1"/>
      <protection hidden="1"/>
    </xf>
    <xf numFmtId="0" fontId="80" fillId="0" borderId="24" xfId="0" applyFont="1" applyBorder="1" applyAlignment="1" applyProtection="1">
      <alignment horizontal="center" vertical="center" wrapText="1"/>
      <protection hidden="1"/>
    </xf>
    <xf numFmtId="14" fontId="127" fillId="6" borderId="0" xfId="0" applyNumberFormat="1" applyFont="1" applyFill="1" applyProtection="1">
      <protection hidden="1"/>
    </xf>
    <xf numFmtId="0" fontId="92" fillId="42" borderId="0" xfId="0" applyFont="1" applyFill="1" applyAlignment="1" applyProtection="1">
      <alignment horizontal="left" wrapText="1"/>
      <protection hidden="1"/>
    </xf>
    <xf numFmtId="0" fontId="92" fillId="42" borderId="5" xfId="0" applyFont="1" applyFill="1" applyBorder="1" applyAlignment="1" applyProtection="1">
      <alignment horizontal="left" wrapText="1"/>
      <protection hidden="1"/>
    </xf>
    <xf numFmtId="0" fontId="39" fillId="6" borderId="0" xfId="0" applyFont="1" applyFill="1" applyAlignment="1" applyProtection="1">
      <alignment horizontal="right" vertical="top" wrapText="1"/>
      <protection hidden="1"/>
    </xf>
    <xf numFmtId="0" fontId="148" fillId="6" borderId="4" xfId="0" applyFont="1" applyFill="1" applyBorder="1" applyProtection="1">
      <protection hidden="1"/>
    </xf>
    <xf numFmtId="0" fontId="91" fillId="6" borderId="4" xfId="0" applyFont="1" applyFill="1" applyBorder="1" applyProtection="1">
      <protection hidden="1"/>
    </xf>
    <xf numFmtId="1" fontId="39" fillId="22" borderId="14" xfId="0" applyNumberFormat="1" applyFont="1" applyFill="1" applyBorder="1"/>
    <xf numFmtId="0" fontId="0" fillId="41" borderId="0" xfId="0" applyFill="1"/>
    <xf numFmtId="10" fontId="39" fillId="41" borderId="0" xfId="4" applyNumberFormat="1" applyFont="1" applyFill="1" applyBorder="1"/>
    <xf numFmtId="9" fontId="0" fillId="41" borderId="0" xfId="4" applyFont="1" applyFill="1" applyBorder="1"/>
    <xf numFmtId="173" fontId="39" fillId="19" borderId="32" xfId="0" applyNumberFormat="1" applyFont="1" applyFill="1" applyBorder="1"/>
    <xf numFmtId="0" fontId="80" fillId="19" borderId="12" xfId="0" applyFont="1" applyFill="1" applyBorder="1" applyAlignment="1">
      <alignment wrapText="1"/>
    </xf>
    <xf numFmtId="0" fontId="0" fillId="47" borderId="97" xfId="0" applyFill="1" applyBorder="1"/>
    <xf numFmtId="0" fontId="78" fillId="2" borderId="4" xfId="0" applyFont="1" applyFill="1" applyBorder="1" applyProtection="1">
      <protection hidden="1"/>
    </xf>
    <xf numFmtId="0" fontId="78" fillId="2" borderId="0" xfId="0" applyFont="1" applyFill="1" applyProtection="1">
      <protection hidden="1"/>
    </xf>
    <xf numFmtId="0" fontId="78" fillId="2" borderId="5" xfId="0" applyFont="1" applyFill="1" applyBorder="1" applyProtection="1">
      <protection hidden="1"/>
    </xf>
    <xf numFmtId="0" fontId="76" fillId="0" borderId="0" xfId="0" applyFont="1" applyAlignment="1" applyProtection="1">
      <alignment wrapText="1"/>
      <protection hidden="1"/>
    </xf>
    <xf numFmtId="0" fontId="31" fillId="0" borderId="0" xfId="0" applyFont="1" applyProtection="1">
      <protection hidden="1"/>
    </xf>
    <xf numFmtId="0" fontId="0" fillId="46" borderId="18" xfId="0" applyFill="1" applyBorder="1"/>
    <xf numFmtId="0" fontId="0" fillId="31" borderId="7" xfId="0" applyFill="1" applyBorder="1"/>
    <xf numFmtId="170" fontId="86" fillId="6" borderId="13" xfId="0" applyNumberFormat="1" applyFont="1" applyFill="1" applyBorder="1" applyAlignment="1" applyProtection="1">
      <alignment horizontal="right"/>
      <protection hidden="1"/>
    </xf>
    <xf numFmtId="188" fontId="87" fillId="0" borderId="24" xfId="4" applyNumberFormat="1" applyFont="1" applyBorder="1" applyAlignment="1" applyProtection="1">
      <alignment horizontal="center" vertical="center" wrapText="1"/>
      <protection hidden="1"/>
    </xf>
    <xf numFmtId="170" fontId="86" fillId="8" borderId="18" xfId="0" applyNumberFormat="1" applyFont="1" applyFill="1" applyBorder="1" applyAlignment="1" applyProtection="1">
      <alignment horizontal="right" indent="1"/>
      <protection hidden="1"/>
    </xf>
    <xf numFmtId="0" fontId="0" fillId="7" borderId="1" xfId="0" applyFill="1" applyBorder="1" applyProtection="1">
      <protection hidden="1"/>
    </xf>
    <xf numFmtId="170" fontId="86" fillId="7" borderId="3" xfId="0" applyNumberFormat="1" applyFont="1" applyFill="1" applyBorder="1" applyAlignment="1" applyProtection="1">
      <alignment horizontal="right"/>
      <protection hidden="1"/>
    </xf>
    <xf numFmtId="0" fontId="0" fillId="7" borderId="12" xfId="0" applyFill="1" applyBorder="1" applyProtection="1">
      <protection hidden="1"/>
    </xf>
    <xf numFmtId="0" fontId="0" fillId="7" borderId="13" xfId="0" applyFill="1" applyBorder="1" applyProtection="1">
      <protection hidden="1"/>
    </xf>
    <xf numFmtId="0" fontId="0" fillId="7" borderId="6" xfId="0" applyFill="1" applyBorder="1" applyProtection="1">
      <protection hidden="1"/>
    </xf>
    <xf numFmtId="0" fontId="0" fillId="7" borderId="8" xfId="0" applyFill="1" applyBorder="1" applyProtection="1">
      <protection hidden="1"/>
    </xf>
    <xf numFmtId="0" fontId="164" fillId="6" borderId="4" xfId="0" applyFont="1" applyFill="1" applyBorder="1" applyProtection="1">
      <protection hidden="1"/>
    </xf>
    <xf numFmtId="1" fontId="74" fillId="0" borderId="0" xfId="0" applyNumberFormat="1" applyFont="1" applyAlignment="1" applyProtection="1">
      <alignment vertical="center"/>
      <protection hidden="1"/>
    </xf>
    <xf numFmtId="0" fontId="30" fillId="0" borderId="0" xfId="0" applyFont="1"/>
    <xf numFmtId="1" fontId="81" fillId="6" borderId="0" xfId="0" applyNumberFormat="1" applyFont="1" applyFill="1" applyAlignment="1" applyProtection="1">
      <alignment horizontal="center" vertical="center" wrapText="1"/>
      <protection hidden="1"/>
    </xf>
    <xf numFmtId="0" fontId="188" fillId="6" borderId="5" xfId="0" applyFont="1" applyFill="1" applyBorder="1" applyAlignment="1" applyProtection="1">
      <alignment horizontal="center" vertical="center" wrapText="1"/>
      <protection hidden="1"/>
    </xf>
    <xf numFmtId="0" fontId="188" fillId="0" borderId="0" xfId="0" applyFont="1" applyAlignment="1" applyProtection="1">
      <alignment horizontal="center" vertical="center" wrapText="1"/>
      <protection hidden="1"/>
    </xf>
    <xf numFmtId="173" fontId="111" fillId="6" borderId="0" xfId="0" applyNumberFormat="1" applyFont="1" applyFill="1" applyAlignment="1" applyProtection="1">
      <alignment horizontal="center" vertical="center"/>
      <protection hidden="1"/>
    </xf>
    <xf numFmtId="10" fontId="86" fillId="7" borderId="13" xfId="4" applyNumberFormat="1" applyFont="1" applyFill="1" applyBorder="1" applyAlignment="1" applyProtection="1">
      <alignment horizontal="center" vertical="center"/>
      <protection hidden="1"/>
    </xf>
    <xf numFmtId="173" fontId="111" fillId="6" borderId="5" xfId="0" applyNumberFormat="1" applyFont="1" applyFill="1" applyBorder="1" applyAlignment="1" applyProtection="1">
      <alignment horizontal="center" vertical="center"/>
      <protection hidden="1"/>
    </xf>
    <xf numFmtId="0" fontId="111" fillId="6" borderId="0" xfId="0" applyFont="1" applyFill="1" applyAlignment="1" applyProtection="1">
      <alignment horizontal="right"/>
      <protection hidden="1"/>
    </xf>
    <xf numFmtId="0" fontId="111" fillId="6" borderId="5" xfId="0" applyFont="1" applyFill="1" applyBorder="1" applyProtection="1">
      <protection hidden="1"/>
    </xf>
    <xf numFmtId="2" fontId="111" fillId="6" borderId="0" xfId="0" applyNumberFormat="1" applyFont="1" applyFill="1" applyProtection="1">
      <protection hidden="1"/>
    </xf>
    <xf numFmtId="0" fontId="111" fillId="0" borderId="5" xfId="0" applyFont="1" applyBorder="1" applyProtection="1">
      <protection hidden="1"/>
    </xf>
    <xf numFmtId="0" fontId="30" fillId="42" borderId="0" xfId="0" applyFont="1" applyFill="1" applyAlignment="1" applyProtection="1">
      <alignment vertical="center"/>
      <protection hidden="1"/>
    </xf>
    <xf numFmtId="0" fontId="30" fillId="44" borderId="0" xfId="0" applyFont="1" applyFill="1" applyAlignment="1" applyProtection="1">
      <alignment horizontal="center" vertical="center"/>
      <protection hidden="1"/>
    </xf>
    <xf numFmtId="170" fontId="142" fillId="7" borderId="13" xfId="0" applyNumberFormat="1" applyFont="1" applyFill="1" applyBorder="1" applyAlignment="1" applyProtection="1">
      <alignment horizontal="right"/>
      <protection hidden="1"/>
    </xf>
    <xf numFmtId="170" fontId="111" fillId="7" borderId="13" xfId="0" applyNumberFormat="1" applyFont="1" applyFill="1" applyBorder="1" applyAlignment="1" applyProtection="1">
      <alignment horizontal="right"/>
      <protection hidden="1"/>
    </xf>
    <xf numFmtId="10" fontId="0" fillId="0" borderId="0" xfId="4" applyNumberFormat="1" applyFont="1" applyBorder="1"/>
    <xf numFmtId="1" fontId="39" fillId="6" borderId="0" xfId="0" applyNumberFormat="1" applyFont="1" applyFill="1" applyAlignment="1">
      <alignment horizontal="right" vertical="center"/>
    </xf>
    <xf numFmtId="0" fontId="80" fillId="41" borderId="0" xfId="0" applyFont="1" applyFill="1"/>
    <xf numFmtId="9" fontId="0" fillId="41" borderId="0" xfId="0" applyNumberFormat="1" applyFill="1"/>
    <xf numFmtId="0" fontId="0" fillId="31" borderId="0" xfId="0" applyFill="1"/>
    <xf numFmtId="173" fontId="39" fillId="19" borderId="0" xfId="0" applyNumberFormat="1" applyFont="1" applyFill="1"/>
    <xf numFmtId="173" fontId="86" fillId="19" borderId="0" xfId="0" applyNumberFormat="1" applyFont="1" applyFill="1"/>
    <xf numFmtId="168" fontId="39" fillId="41" borderId="0" xfId="0" applyNumberFormat="1" applyFont="1" applyFill="1"/>
    <xf numFmtId="10" fontId="0" fillId="31" borderId="0" xfId="0" applyNumberFormat="1" applyFill="1"/>
    <xf numFmtId="1" fontId="39" fillId="6" borderId="0" xfId="0" applyNumberFormat="1" applyFont="1" applyFill="1" applyAlignment="1">
      <alignment horizontal="right"/>
    </xf>
    <xf numFmtId="0" fontId="39" fillId="41" borderId="0" xfId="0" applyFont="1" applyFill="1"/>
    <xf numFmtId="9" fontId="47" fillId="41" borderId="0" xfId="0" applyNumberFormat="1" applyFont="1" applyFill="1"/>
    <xf numFmtId="0" fontId="39" fillId="19" borderId="0" xfId="0" applyFont="1" applyFill="1"/>
    <xf numFmtId="0" fontId="86" fillId="19" borderId="0" xfId="0" applyFont="1" applyFill="1"/>
    <xf numFmtId="0" fontId="39" fillId="6" borderId="0" xfId="0" applyFont="1" applyFill="1"/>
    <xf numFmtId="9" fontId="80" fillId="41" borderId="0" xfId="0" applyNumberFormat="1" applyFont="1" applyFill="1"/>
    <xf numFmtId="0" fontId="0" fillId="47" borderId="0" xfId="0" applyFill="1"/>
    <xf numFmtId="0" fontId="0" fillId="0" borderId="56" xfId="0" applyBorder="1"/>
    <xf numFmtId="10" fontId="0" fillId="0" borderId="56" xfId="4" applyNumberFormat="1" applyFont="1" applyBorder="1"/>
    <xf numFmtId="0" fontId="0" fillId="0" borderId="58" xfId="0" applyBorder="1"/>
    <xf numFmtId="0" fontId="0" fillId="31" borderId="59" xfId="0" applyFill="1" applyBorder="1"/>
    <xf numFmtId="10" fontId="0" fillId="0" borderId="43" xfId="0" applyNumberFormat="1" applyBorder="1"/>
    <xf numFmtId="0" fontId="93" fillId="20" borderId="63" xfId="0" applyFont="1" applyFill="1" applyBorder="1"/>
    <xf numFmtId="170" fontId="193" fillId="7" borderId="13" xfId="0" applyNumberFormat="1" applyFont="1" applyFill="1" applyBorder="1" applyAlignment="1" applyProtection="1">
      <alignment horizontal="right"/>
      <protection hidden="1"/>
    </xf>
    <xf numFmtId="170" fontId="225" fillId="7" borderId="13" xfId="0" applyNumberFormat="1" applyFont="1" applyFill="1" applyBorder="1" applyAlignment="1" applyProtection="1">
      <alignment horizontal="right"/>
      <protection hidden="1"/>
    </xf>
    <xf numFmtId="0" fontId="37" fillId="6" borderId="0" xfId="0" applyFont="1" applyFill="1" applyAlignment="1" applyProtection="1">
      <alignment horizontal="left"/>
      <protection hidden="1"/>
    </xf>
    <xf numFmtId="0" fontId="166" fillId="0" borderId="0" xfId="0" applyFont="1"/>
    <xf numFmtId="10" fontId="124" fillId="0" borderId="23" xfId="4" applyNumberFormat="1" applyFont="1" applyBorder="1" applyAlignment="1" applyProtection="1">
      <alignment horizontal="center" wrapText="1"/>
      <protection hidden="1"/>
    </xf>
    <xf numFmtId="0" fontId="86" fillId="0" borderId="4" xfId="0" applyFont="1" applyBorder="1" applyAlignment="1" applyProtection="1">
      <alignment vertical="center"/>
      <protection hidden="1"/>
    </xf>
    <xf numFmtId="0" fontId="86" fillId="0" borderId="5" xfId="0" applyFont="1" applyBorder="1" applyAlignment="1" applyProtection="1">
      <alignment vertical="center"/>
      <protection hidden="1"/>
    </xf>
    <xf numFmtId="0" fontId="74" fillId="0" borderId="0" xfId="0" applyFont="1" applyAlignment="1">
      <alignment vertical="center"/>
    </xf>
    <xf numFmtId="187" fontId="107" fillId="0" borderId="0" xfId="0" applyNumberFormat="1" applyFont="1" applyAlignment="1">
      <alignment vertical="center"/>
    </xf>
    <xf numFmtId="187" fontId="74" fillId="0" borderId="0" xfId="0" applyNumberFormat="1" applyFont="1" applyAlignment="1">
      <alignment vertical="center"/>
    </xf>
    <xf numFmtId="0" fontId="188" fillId="0" borderId="0" xfId="0" applyFont="1" applyAlignment="1" applyProtection="1">
      <alignment horizontal="right" vertical="center"/>
      <protection hidden="1"/>
    </xf>
    <xf numFmtId="0" fontId="92" fillId="6" borderId="0" xfId="0" applyFont="1" applyFill="1" applyAlignment="1" applyProtection="1">
      <alignment horizontal="left"/>
      <protection hidden="1"/>
    </xf>
    <xf numFmtId="0" fontId="85" fillId="45" borderId="0" xfId="0" applyFont="1" applyFill="1" applyProtection="1">
      <protection hidden="1"/>
    </xf>
    <xf numFmtId="0" fontId="74" fillId="33" borderId="14" xfId="0" applyFont="1" applyFill="1" applyBorder="1" applyAlignment="1" applyProtection="1">
      <alignment horizontal="center"/>
      <protection locked="0"/>
    </xf>
    <xf numFmtId="14" fontId="29" fillId="7" borderId="14" xfId="0" applyNumberFormat="1" applyFont="1" applyFill="1" applyBorder="1" applyAlignment="1" applyProtection="1">
      <alignment vertical="center"/>
      <protection hidden="1"/>
    </xf>
    <xf numFmtId="0" fontId="0" fillId="0" borderId="66" xfId="0" applyBorder="1" applyProtection="1">
      <protection hidden="1"/>
    </xf>
    <xf numFmtId="0" fontId="29" fillId="44" borderId="0" xfId="0" applyFont="1" applyFill="1" applyAlignment="1" applyProtection="1">
      <alignment horizontal="center" vertical="center"/>
      <protection hidden="1"/>
    </xf>
    <xf numFmtId="0" fontId="80" fillId="28" borderId="6" xfId="0" applyFont="1" applyFill="1" applyBorder="1" applyAlignment="1">
      <alignment horizontal="center" vertical="top" wrapText="1"/>
    </xf>
    <xf numFmtId="0" fontId="80" fillId="28" borderId="23" xfId="0" applyFont="1" applyFill="1" applyBorder="1" applyAlignment="1">
      <alignment horizontal="center" vertical="top" wrapText="1"/>
    </xf>
    <xf numFmtId="0" fontId="68" fillId="7" borderId="13" xfId="0" applyFont="1" applyFill="1" applyBorder="1" applyAlignment="1" applyProtection="1">
      <alignment horizontal="center"/>
      <protection hidden="1"/>
    </xf>
    <xf numFmtId="14" fontId="93" fillId="11" borderId="2" xfId="0" applyNumberFormat="1" applyFont="1" applyFill="1" applyBorder="1" applyAlignment="1" applyProtection="1">
      <alignment vertical="center"/>
      <protection hidden="1"/>
    </xf>
    <xf numFmtId="173" fontId="33" fillId="32" borderId="13" xfId="0" applyNumberFormat="1" applyFont="1" applyFill="1" applyBorder="1" applyAlignment="1" applyProtection="1">
      <alignment horizontal="center"/>
      <protection locked="0"/>
    </xf>
    <xf numFmtId="49" fontId="33" fillId="22" borderId="46" xfId="0" applyNumberFormat="1" applyFont="1" applyFill="1" applyBorder="1" applyAlignment="1" applyProtection="1">
      <alignment horizontal="center"/>
      <protection locked="0"/>
    </xf>
    <xf numFmtId="173" fontId="33" fillId="22" borderId="8" xfId="0" applyNumberFormat="1" applyFont="1" applyFill="1" applyBorder="1" applyAlignment="1" applyProtection="1">
      <alignment horizontal="center"/>
      <protection locked="0"/>
    </xf>
    <xf numFmtId="4" fontId="33" fillId="22" borderId="24" xfId="0" applyNumberFormat="1" applyFont="1" applyFill="1" applyBorder="1" applyProtection="1">
      <protection locked="0"/>
    </xf>
    <xf numFmtId="49" fontId="33" fillId="22" borderId="48" xfId="0" applyNumberFormat="1" applyFont="1" applyFill="1" applyBorder="1" applyAlignment="1" applyProtection="1">
      <alignment horizontal="center"/>
      <protection locked="0"/>
    </xf>
    <xf numFmtId="4" fontId="33" fillId="22" borderId="14" xfId="0" applyNumberFormat="1" applyFont="1" applyFill="1" applyBorder="1" applyProtection="1">
      <protection locked="0"/>
    </xf>
    <xf numFmtId="49" fontId="33" fillId="22" borderId="85" xfId="0" applyNumberFormat="1" applyFont="1" applyFill="1" applyBorder="1" applyAlignment="1" applyProtection="1">
      <alignment horizontal="center"/>
      <protection locked="0"/>
    </xf>
    <xf numFmtId="49" fontId="33" fillId="22" borderId="82" xfId="0" applyNumberFormat="1" applyFont="1" applyFill="1" applyBorder="1" applyAlignment="1" applyProtection="1">
      <alignment horizontal="center"/>
      <protection locked="0"/>
    </xf>
    <xf numFmtId="4" fontId="74" fillId="22" borderId="14" xfId="0" applyNumberFormat="1" applyFont="1" applyFill="1" applyBorder="1" applyProtection="1">
      <protection locked="0"/>
    </xf>
    <xf numFmtId="4" fontId="74" fillId="22" borderId="23" xfId="0" applyNumberFormat="1" applyFont="1" applyFill="1" applyBorder="1" applyProtection="1">
      <protection locked="0"/>
    </xf>
    <xf numFmtId="3" fontId="74" fillId="22" borderId="14" xfId="0" applyNumberFormat="1" applyFont="1" applyFill="1" applyBorder="1" applyAlignment="1" applyProtection="1">
      <alignment horizontal="center"/>
      <protection locked="0"/>
    </xf>
    <xf numFmtId="4" fontId="74" fillId="22" borderId="14" xfId="0" applyNumberFormat="1" applyFont="1" applyFill="1" applyBorder="1" applyAlignment="1" applyProtection="1">
      <alignment horizontal="center"/>
      <protection locked="0"/>
    </xf>
    <xf numFmtId="3" fontId="74" fillId="22" borderId="23" xfId="0" applyNumberFormat="1" applyFont="1" applyFill="1" applyBorder="1" applyAlignment="1" applyProtection="1">
      <alignment horizontal="center"/>
      <protection locked="0"/>
    </xf>
    <xf numFmtId="49" fontId="80" fillId="15" borderId="52" xfId="0" applyNumberFormat="1" applyFont="1" applyFill="1" applyBorder="1" applyAlignment="1" applyProtection="1">
      <alignment horizontal="center" vertical="center"/>
      <protection locked="0"/>
    </xf>
    <xf numFmtId="0" fontId="88" fillId="6" borderId="0" xfId="2" applyFill="1" applyAlignment="1" applyProtection="1">
      <protection hidden="1"/>
    </xf>
    <xf numFmtId="0" fontId="30" fillId="42" borderId="0" xfId="0" applyFont="1" applyFill="1" applyAlignment="1" applyProtection="1">
      <alignment horizontal="center" vertical="center"/>
      <protection hidden="1"/>
    </xf>
    <xf numFmtId="0" fontId="0" fillId="6" borderId="0" xfId="0" applyFill="1" applyAlignment="1" applyProtection="1">
      <alignment horizontal="left"/>
      <protection hidden="1"/>
    </xf>
    <xf numFmtId="0" fontId="28" fillId="7" borderId="100" xfId="0" applyFont="1" applyFill="1" applyBorder="1" applyAlignment="1">
      <alignment horizontal="center" vertical="center"/>
    </xf>
    <xf numFmtId="0" fontId="174" fillId="7" borderId="100" xfId="0" applyFont="1" applyFill="1" applyBorder="1" applyAlignment="1">
      <alignment horizontal="center" vertical="center"/>
    </xf>
    <xf numFmtId="0" fontId="174" fillId="7" borderId="7" xfId="0" applyFont="1" applyFill="1" applyBorder="1" applyAlignment="1">
      <alignment horizontal="center" vertical="center"/>
    </xf>
    <xf numFmtId="0" fontId="130" fillId="7" borderId="100" xfId="0" applyFont="1" applyFill="1" applyBorder="1" applyAlignment="1">
      <alignment horizontal="center" vertical="center"/>
    </xf>
    <xf numFmtId="0" fontId="28" fillId="31" borderId="7" xfId="0" applyFont="1" applyFill="1" applyBorder="1" applyAlignment="1">
      <alignment vertical="center" wrapText="1"/>
    </xf>
    <xf numFmtId="49" fontId="27" fillId="15" borderId="46" xfId="0" applyNumberFormat="1" applyFont="1" applyFill="1" applyBorder="1" applyAlignment="1" applyProtection="1">
      <alignment horizontal="center"/>
      <protection locked="0"/>
    </xf>
    <xf numFmtId="2" fontId="27" fillId="7" borderId="14" xfId="0" applyNumberFormat="1" applyFont="1" applyFill="1" applyBorder="1" applyAlignment="1" applyProtection="1">
      <alignment horizontal="center" vertical="center"/>
      <protection hidden="1"/>
    </xf>
    <xf numFmtId="4" fontId="27" fillId="0" borderId="24" xfId="0" applyNumberFormat="1" applyFont="1" applyBorder="1" applyAlignment="1">
      <alignment horizontal="center"/>
    </xf>
    <xf numFmtId="165" fontId="27" fillId="20" borderId="9" xfId="0" applyNumberFormat="1" applyFont="1" applyFill="1" applyBorder="1" applyAlignment="1">
      <alignment horizontal="center"/>
    </xf>
    <xf numFmtId="4" fontId="85" fillId="0" borderId="0" xfId="0" applyNumberFormat="1" applyFont="1" applyAlignment="1">
      <alignment horizontal="left"/>
    </xf>
    <xf numFmtId="0" fontId="0" fillId="0" borderId="0" xfId="0" applyAlignment="1">
      <alignment wrapText="1"/>
    </xf>
    <xf numFmtId="0" fontId="0" fillId="0" borderId="0" xfId="0" applyAlignment="1">
      <alignment vertical="top"/>
    </xf>
    <xf numFmtId="2" fontId="85" fillId="0" borderId="0" xfId="0" applyNumberFormat="1" applyFont="1" applyAlignment="1" applyProtection="1">
      <alignment horizontal="right"/>
      <protection hidden="1"/>
    </xf>
    <xf numFmtId="4" fontId="27" fillId="0" borderId="47" xfId="0" applyNumberFormat="1" applyFont="1" applyBorder="1" applyAlignment="1">
      <alignment horizontal="center"/>
    </xf>
    <xf numFmtId="4" fontId="27" fillId="0" borderId="14" xfId="0" applyNumberFormat="1" applyFont="1" applyBorder="1" applyAlignment="1">
      <alignment horizontal="center"/>
    </xf>
    <xf numFmtId="1" fontId="27" fillId="7" borderId="14" xfId="0" applyNumberFormat="1" applyFont="1" applyFill="1" applyBorder="1"/>
    <xf numFmtId="0" fontId="93" fillId="0" borderId="0" xfId="0" applyFont="1" applyAlignment="1" applyProtection="1">
      <alignment vertical="center"/>
      <protection hidden="1"/>
    </xf>
    <xf numFmtId="2" fontId="80" fillId="6" borderId="23" xfId="0" applyNumberFormat="1" applyFont="1" applyFill="1" applyBorder="1" applyAlignment="1" applyProtection="1">
      <alignment horizontal="center" wrapText="1"/>
      <protection hidden="1"/>
    </xf>
    <xf numFmtId="2" fontId="91" fillId="6" borderId="0" xfId="0" applyNumberFormat="1" applyFont="1" applyFill="1" applyAlignment="1" applyProtection="1">
      <alignment horizontal="left"/>
      <protection hidden="1"/>
    </xf>
    <xf numFmtId="2" fontId="111" fillId="6" borderId="0" xfId="0" applyNumberFormat="1" applyFont="1" applyFill="1" applyAlignment="1" applyProtection="1">
      <alignment horizontal="left"/>
      <protection hidden="1"/>
    </xf>
    <xf numFmtId="170" fontId="76" fillId="8" borderId="0" xfId="0" applyNumberFormat="1" applyFont="1" applyFill="1" applyProtection="1">
      <protection hidden="1"/>
    </xf>
    <xf numFmtId="170" fontId="76" fillId="0" borderId="0" xfId="0" applyNumberFormat="1" applyFont="1" applyProtection="1">
      <protection hidden="1"/>
    </xf>
    <xf numFmtId="0" fontId="26" fillId="42" borderId="0" xfId="0" applyFont="1" applyFill="1" applyAlignment="1" applyProtection="1">
      <alignment horizontal="left" vertical="center"/>
      <protection hidden="1"/>
    </xf>
    <xf numFmtId="170" fontId="91" fillId="7" borderId="13" xfId="0" applyNumberFormat="1" applyFont="1" applyFill="1" applyBorder="1" applyProtection="1">
      <protection hidden="1"/>
    </xf>
    <xf numFmtId="16" fontId="86" fillId="0" borderId="18" xfId="0" applyNumberFormat="1" applyFont="1" applyBorder="1" applyProtection="1">
      <protection hidden="1"/>
    </xf>
    <xf numFmtId="2" fontId="76" fillId="0" borderId="0" xfId="0" applyNumberFormat="1" applyFont="1"/>
    <xf numFmtId="2" fontId="99" fillId="0" borderId="0" xfId="0" applyNumberFormat="1" applyFont="1"/>
    <xf numFmtId="2" fontId="0" fillId="6" borderId="0" xfId="0" applyNumberFormat="1" applyFill="1"/>
    <xf numFmtId="2" fontId="216" fillId="0" borderId="0" xfId="0" applyNumberFormat="1" applyFont="1"/>
    <xf numFmtId="2" fontId="79" fillId="6" borderId="0" xfId="0" applyNumberFormat="1" applyFont="1" applyFill="1"/>
    <xf numFmtId="2" fontId="79" fillId="0" borderId="0" xfId="0" applyNumberFormat="1" applyFont="1"/>
    <xf numFmtId="2" fontId="76" fillId="0" borderId="15" xfId="4" applyNumberFormat="1" applyFont="1" applyBorder="1"/>
    <xf numFmtId="2" fontId="0" fillId="0" borderId="0" xfId="4" applyNumberFormat="1" applyFont="1"/>
    <xf numFmtId="2" fontId="0" fillId="0" borderId="0" xfId="0" applyNumberFormat="1" applyAlignment="1">
      <alignment wrapText="1"/>
    </xf>
    <xf numFmtId="0" fontId="26" fillId="0" borderId="7" xfId="0" applyFont="1" applyBorder="1" applyAlignment="1" applyProtection="1">
      <alignment horizontal="right"/>
      <protection hidden="1"/>
    </xf>
    <xf numFmtId="191" fontId="74" fillId="27" borderId="14" xfId="0" applyNumberFormat="1" applyFont="1" applyFill="1" applyBorder="1" applyAlignment="1" applyProtection="1">
      <alignment horizontal="center" vertical="center"/>
      <protection locked="0" hidden="1"/>
    </xf>
    <xf numFmtId="2" fontId="93" fillId="0" borderId="0" xfId="0" applyNumberFormat="1" applyFont="1" applyAlignment="1">
      <alignment horizontal="left" vertical="center" indent="1"/>
    </xf>
    <xf numFmtId="2" fontId="0" fillId="48" borderId="14" xfId="0" applyNumberFormat="1" applyFill="1" applyBorder="1" applyAlignment="1">
      <alignment horizontal="left" vertical="top" wrapText="1"/>
    </xf>
    <xf numFmtId="2" fontId="76" fillId="48" borderId="14" xfId="0" applyNumberFormat="1" applyFont="1" applyFill="1" applyBorder="1" applyAlignment="1">
      <alignment horizontal="left" vertical="top" wrapText="1"/>
    </xf>
    <xf numFmtId="2" fontId="0" fillId="0" borderId="0" xfId="0" applyNumberFormat="1" applyAlignment="1">
      <alignment horizontal="left" vertical="top" wrapText="1"/>
    </xf>
    <xf numFmtId="2" fontId="0" fillId="36" borderId="14" xfId="0" applyNumberFormat="1" applyFill="1" applyBorder="1" applyAlignment="1">
      <alignment horizontal="left" vertical="top" wrapText="1"/>
    </xf>
    <xf numFmtId="2" fontId="0" fillId="15" borderId="14" xfId="0" applyNumberFormat="1" applyFill="1" applyBorder="1" applyAlignment="1">
      <alignment horizontal="left" vertical="top" wrapText="1"/>
    </xf>
    <xf numFmtId="2" fontId="76" fillId="0" borderId="14" xfId="0" applyNumberFormat="1" applyFont="1" applyBorder="1" applyAlignment="1">
      <alignment wrapText="1"/>
    </xf>
    <xf numFmtId="14" fontId="0" fillId="0" borderId="14" xfId="0" applyNumberFormat="1" applyBorder="1" applyAlignment="1">
      <alignment wrapText="1"/>
    </xf>
    <xf numFmtId="2" fontId="0" fillId="0" borderId="14" xfId="0" applyNumberFormat="1" applyBorder="1" applyAlignment="1">
      <alignment wrapText="1"/>
    </xf>
    <xf numFmtId="2" fontId="0" fillId="7" borderId="14" xfId="0" applyNumberFormat="1" applyFill="1" applyBorder="1" applyAlignment="1">
      <alignment wrapText="1"/>
    </xf>
    <xf numFmtId="1" fontId="0" fillId="0" borderId="14" xfId="0" applyNumberFormat="1" applyBorder="1" applyAlignment="1">
      <alignment wrapText="1"/>
    </xf>
    <xf numFmtId="173" fontId="0" fillId="0" borderId="14" xfId="0" applyNumberFormat="1" applyBorder="1" applyAlignment="1">
      <alignment wrapText="1"/>
    </xf>
    <xf numFmtId="4" fontId="0" fillId="0" borderId="14" xfId="0" applyNumberFormat="1" applyBorder="1" applyAlignment="1">
      <alignment wrapText="1"/>
    </xf>
    <xf numFmtId="173" fontId="0" fillId="6" borderId="14" xfId="4" applyNumberFormat="1" applyFont="1" applyFill="1" applyBorder="1" applyAlignment="1">
      <alignment wrapText="1"/>
    </xf>
    <xf numFmtId="2" fontId="0" fillId="6" borderId="14" xfId="4" applyNumberFormat="1" applyFont="1" applyFill="1" applyBorder="1" applyAlignment="1">
      <alignment wrapText="1"/>
    </xf>
    <xf numFmtId="4" fontId="0" fillId="6" borderId="14" xfId="4" applyNumberFormat="1" applyFont="1" applyFill="1" applyBorder="1" applyAlignment="1">
      <alignment wrapText="1"/>
    </xf>
    <xf numFmtId="2" fontId="0" fillId="49" borderId="14" xfId="0" applyNumberFormat="1" applyFill="1" applyBorder="1" applyAlignment="1">
      <alignment horizontal="left" vertical="top" wrapText="1"/>
    </xf>
    <xf numFmtId="2" fontId="0" fillId="50" borderId="14" xfId="0" applyNumberFormat="1" applyFill="1" applyBorder="1" applyAlignment="1">
      <alignment horizontal="left" vertical="top" wrapText="1"/>
    </xf>
    <xf numFmtId="49" fontId="25" fillId="15" borderId="51" xfId="0" applyNumberFormat="1" applyFont="1" applyFill="1" applyBorder="1" applyAlignment="1" applyProtection="1">
      <alignment horizontal="center"/>
      <protection locked="0"/>
    </xf>
    <xf numFmtId="0" fontId="93" fillId="0" borderId="0" xfId="0" applyFont="1" applyProtection="1">
      <protection hidden="1"/>
    </xf>
    <xf numFmtId="0" fontId="80" fillId="0" borderId="0" xfId="0" applyFont="1" applyAlignment="1" applyProtection="1">
      <alignment horizontal="center" vertical="center" wrapText="1"/>
      <protection hidden="1"/>
    </xf>
    <xf numFmtId="0" fontId="199" fillId="31" borderId="96" xfId="0" applyFont="1" applyFill="1" applyBorder="1" applyAlignment="1">
      <alignment vertical="center"/>
    </xf>
    <xf numFmtId="0" fontId="199" fillId="31" borderId="72" xfId="0" applyFont="1" applyFill="1" applyBorder="1" applyAlignment="1">
      <alignment vertical="center"/>
    </xf>
    <xf numFmtId="0" fontId="129" fillId="31" borderId="55" xfId="0" applyFont="1" applyFill="1" applyBorder="1"/>
    <xf numFmtId="0" fontId="24" fillId="7" borderId="100" xfId="0" applyFont="1" applyFill="1" applyBorder="1" applyAlignment="1">
      <alignment horizontal="center" vertical="center"/>
    </xf>
    <xf numFmtId="14" fontId="23" fillId="27" borderId="14" xfId="0" applyNumberFormat="1" applyFont="1" applyFill="1" applyBorder="1" applyAlignment="1" applyProtection="1">
      <alignment horizontal="center"/>
      <protection locked="0"/>
    </xf>
    <xf numFmtId="0" fontId="80" fillId="7" borderId="2" xfId="0" applyFont="1" applyFill="1" applyBorder="1"/>
    <xf numFmtId="0" fontId="26" fillId="0" borderId="18" xfId="0" applyFont="1" applyBorder="1" applyAlignment="1">
      <alignment wrapText="1"/>
    </xf>
    <xf numFmtId="0" fontId="26" fillId="0" borderId="7" xfId="0" applyFont="1" applyBorder="1" applyAlignment="1">
      <alignment wrapText="1"/>
    </xf>
    <xf numFmtId="0" fontId="38" fillId="0" borderId="7" xfId="0" applyFont="1" applyBorder="1"/>
    <xf numFmtId="0" fontId="38" fillId="0" borderId="18" xfId="0" applyFont="1" applyBorder="1"/>
    <xf numFmtId="0" fontId="100" fillId="0" borderId="14" xfId="0" applyFont="1" applyBorder="1" applyAlignment="1">
      <alignment horizontal="left" vertical="top" wrapText="1"/>
    </xf>
    <xf numFmtId="0" fontId="100" fillId="0" borderId="37" xfId="0" applyFont="1" applyBorder="1" applyAlignment="1">
      <alignment horizontal="left" vertical="top" wrapText="1"/>
    </xf>
    <xf numFmtId="0" fontId="77" fillId="0" borderId="13" xfId="0" applyFont="1" applyBorder="1"/>
    <xf numFmtId="0" fontId="100" fillId="0" borderId="13" xfId="0" applyFont="1" applyBorder="1" applyAlignment="1">
      <alignment wrapText="1"/>
    </xf>
    <xf numFmtId="0" fontId="23" fillId="7" borderId="48" xfId="0" applyFont="1" applyFill="1" applyBorder="1" applyAlignment="1">
      <alignment wrapText="1"/>
    </xf>
    <xf numFmtId="0" fontId="125" fillId="20" borderId="48" xfId="0" applyFont="1" applyFill="1" applyBorder="1" applyAlignment="1">
      <alignment horizontal="center" vertical="top"/>
    </xf>
    <xf numFmtId="0" fontId="100" fillId="0" borderId="49" xfId="0" applyFont="1" applyBorder="1" applyAlignment="1">
      <alignment horizontal="left" vertical="top" wrapText="1"/>
    </xf>
    <xf numFmtId="0" fontId="0" fillId="0" borderId="48" xfId="0" applyBorder="1" applyAlignment="1">
      <alignment horizontal="center" vertical="top"/>
    </xf>
    <xf numFmtId="0" fontId="0" fillId="51" borderId="48" xfId="0" applyFill="1" applyBorder="1" applyAlignment="1">
      <alignment horizontal="center" vertical="top"/>
    </xf>
    <xf numFmtId="0" fontId="0" fillId="0" borderId="85" xfId="0" applyBorder="1" applyAlignment="1">
      <alignment horizontal="center" vertical="top"/>
    </xf>
    <xf numFmtId="0" fontId="100" fillId="0" borderId="76" xfId="0" applyFont="1" applyBorder="1" applyAlignment="1">
      <alignment horizontal="left" vertical="top" wrapText="1"/>
    </xf>
    <xf numFmtId="0" fontId="100" fillId="0" borderId="50" xfId="0" applyFont="1" applyBorder="1" applyAlignment="1">
      <alignment horizontal="left" vertical="top" wrapText="1"/>
    </xf>
    <xf numFmtId="0" fontId="0" fillId="31" borderId="52" xfId="0" applyFill="1" applyBorder="1"/>
    <xf numFmtId="0" fontId="77" fillId="31" borderId="52" xfId="0" applyFont="1" applyFill="1" applyBorder="1"/>
    <xf numFmtId="0" fontId="77" fillId="31" borderId="89" xfId="0" applyFont="1" applyFill="1" applyBorder="1"/>
    <xf numFmtId="0" fontId="107" fillId="34" borderId="14" xfId="0" applyFont="1" applyFill="1" applyBorder="1" applyAlignment="1">
      <alignment wrapText="1"/>
    </xf>
    <xf numFmtId="0" fontId="107" fillId="34" borderId="49" xfId="0" applyFont="1" applyFill="1" applyBorder="1" applyAlignment="1">
      <alignment wrapText="1"/>
    </xf>
    <xf numFmtId="0" fontId="80" fillId="0" borderId="18" xfId="0" applyFont="1" applyBorder="1"/>
    <xf numFmtId="0" fontId="23" fillId="0" borderId="18" xfId="0" applyFont="1" applyBorder="1"/>
    <xf numFmtId="173" fontId="100" fillId="27" borderId="14" xfId="0" applyNumberFormat="1" applyFont="1" applyFill="1" applyBorder="1" applyProtection="1">
      <protection locked="0"/>
    </xf>
    <xf numFmtId="0" fontId="85" fillId="6" borderId="0" xfId="0" applyFont="1" applyFill="1" applyAlignment="1">
      <alignment horizontal="center" vertical="center"/>
    </xf>
    <xf numFmtId="167" fontId="74" fillId="6" borderId="19" xfId="1" applyNumberFormat="1" applyFont="1" applyFill="1" applyBorder="1" applyAlignment="1" applyProtection="1">
      <alignment vertical="center"/>
    </xf>
    <xf numFmtId="167" fontId="86" fillId="6" borderId="19" xfId="1" applyNumberFormat="1" applyFont="1" applyFill="1" applyBorder="1" applyAlignment="1" applyProtection="1">
      <alignment vertical="center"/>
    </xf>
    <xf numFmtId="0" fontId="82" fillId="0" borderId="14" xfId="0" applyFont="1" applyBorder="1" applyAlignment="1">
      <alignment horizontal="left" vertical="top" wrapText="1"/>
    </xf>
    <xf numFmtId="2" fontId="86" fillId="6" borderId="0" xfId="0" applyNumberFormat="1" applyFont="1" applyFill="1" applyAlignment="1" applyProtection="1">
      <alignment horizontal="right"/>
      <protection hidden="1"/>
    </xf>
    <xf numFmtId="195" fontId="0" fillId="0" borderId="14" xfId="0" applyNumberFormat="1" applyBorder="1" applyAlignment="1">
      <alignment wrapText="1"/>
    </xf>
    <xf numFmtId="196" fontId="0" fillId="0" borderId="14" xfId="0" applyNumberFormat="1" applyBorder="1" applyAlignment="1">
      <alignment wrapText="1"/>
    </xf>
    <xf numFmtId="173" fontId="0" fillId="20" borderId="14" xfId="0" applyNumberFormat="1" applyFill="1" applyBorder="1" applyAlignment="1">
      <alignment wrapText="1"/>
    </xf>
    <xf numFmtId="10" fontId="0" fillId="6" borderId="14" xfId="4" applyNumberFormat="1" applyFont="1" applyFill="1" applyBorder="1" applyAlignment="1">
      <alignment wrapText="1"/>
    </xf>
    <xf numFmtId="10" fontId="0" fillId="0" borderId="14" xfId="4" applyNumberFormat="1" applyFont="1" applyFill="1" applyBorder="1" applyAlignment="1">
      <alignment wrapText="1"/>
    </xf>
    <xf numFmtId="9" fontId="0" fillId="0" borderId="14" xfId="4" applyFont="1" applyFill="1" applyBorder="1" applyAlignment="1">
      <alignment wrapText="1"/>
    </xf>
    <xf numFmtId="2" fontId="0" fillId="20" borderId="14" xfId="0" applyNumberFormat="1" applyFill="1" applyBorder="1" applyAlignment="1">
      <alignment wrapText="1"/>
    </xf>
    <xf numFmtId="14" fontId="0" fillId="20" borderId="14" xfId="0" applyNumberFormat="1" applyFill="1" applyBorder="1" applyAlignment="1">
      <alignment wrapText="1"/>
    </xf>
    <xf numFmtId="173" fontId="79" fillId="0" borderId="14" xfId="0" applyNumberFormat="1" applyFont="1" applyBorder="1" applyAlignment="1">
      <alignment wrapText="1"/>
    </xf>
    <xf numFmtId="4" fontId="0" fillId="0" borderId="13" xfId="0" applyNumberFormat="1" applyBorder="1" applyAlignment="1">
      <alignment wrapText="1"/>
    </xf>
    <xf numFmtId="0" fontId="97" fillId="0" borderId="0" xfId="0" applyFont="1" applyAlignment="1">
      <alignment wrapText="1"/>
    </xf>
    <xf numFmtId="0" fontId="22" fillId="7" borderId="100" xfId="0" applyFont="1" applyFill="1" applyBorder="1" applyAlignment="1">
      <alignment horizontal="center" vertical="center"/>
    </xf>
    <xf numFmtId="14" fontId="99" fillId="0" borderId="0" xfId="0" applyNumberFormat="1" applyFont="1"/>
    <xf numFmtId="170" fontId="91" fillId="49" borderId="12" xfId="0" applyNumberFormat="1" applyFont="1" applyFill="1" applyBorder="1" applyProtection="1">
      <protection hidden="1"/>
    </xf>
    <xf numFmtId="170" fontId="91" fillId="49" borderId="18" xfId="0" applyNumberFormat="1" applyFont="1" applyFill="1" applyBorder="1" applyProtection="1">
      <protection hidden="1"/>
    </xf>
    <xf numFmtId="14" fontId="93" fillId="31" borderId="4" xfId="0" applyNumberFormat="1" applyFont="1" applyFill="1" applyBorder="1" applyAlignment="1" applyProtection="1">
      <alignment horizontal="left" vertical="center"/>
      <protection hidden="1"/>
    </xf>
    <xf numFmtId="2" fontId="0" fillId="52" borderId="14" xfId="0" applyNumberFormat="1" applyFill="1" applyBorder="1" applyAlignment="1">
      <alignment horizontal="left" vertical="top" wrapText="1"/>
    </xf>
    <xf numFmtId="2" fontId="79" fillId="52" borderId="14" xfId="0" applyNumberFormat="1" applyFont="1" applyFill="1" applyBorder="1" applyAlignment="1">
      <alignment horizontal="left" vertical="top" wrapText="1"/>
    </xf>
    <xf numFmtId="2" fontId="0" fillId="52" borderId="12" xfId="0" applyNumberFormat="1" applyFill="1" applyBorder="1" applyAlignment="1">
      <alignment horizontal="left" vertical="top" wrapText="1"/>
    </xf>
    <xf numFmtId="2" fontId="0" fillId="53" borderId="14" xfId="0" applyNumberFormat="1" applyFill="1" applyBorder="1" applyAlignment="1">
      <alignment horizontal="left" vertical="top" wrapText="1"/>
    </xf>
    <xf numFmtId="0" fontId="21" fillId="7" borderId="100" xfId="0" applyFont="1" applyFill="1" applyBorder="1" applyAlignment="1">
      <alignment horizontal="center" vertical="center"/>
    </xf>
    <xf numFmtId="16" fontId="86" fillId="7" borderId="18" xfId="0" quotePrefix="1" applyNumberFormat="1" applyFont="1" applyFill="1" applyBorder="1" applyAlignment="1" applyProtection="1">
      <alignment horizontal="left"/>
      <protection hidden="1"/>
    </xf>
    <xf numFmtId="170" fontId="81" fillId="8" borderId="13" xfId="0" applyNumberFormat="1" applyFont="1" applyFill="1" applyBorder="1" applyProtection="1">
      <protection hidden="1"/>
    </xf>
    <xf numFmtId="170" fontId="79" fillId="8" borderId="0" xfId="0" applyNumberFormat="1" applyFont="1" applyFill="1" applyAlignment="1" applyProtection="1">
      <alignment horizontal="left"/>
      <protection hidden="1"/>
    </xf>
    <xf numFmtId="170" fontId="78" fillId="8" borderId="0" xfId="0" applyNumberFormat="1" applyFont="1" applyFill="1" applyAlignment="1" applyProtection="1">
      <alignment horizontal="left"/>
      <protection hidden="1"/>
    </xf>
    <xf numFmtId="16" fontId="86" fillId="7" borderId="18" xfId="0" quotePrefix="1" applyNumberFormat="1" applyFont="1" applyFill="1" applyBorder="1" applyAlignment="1" applyProtection="1">
      <alignment horizontal="left" wrapText="1"/>
      <protection hidden="1"/>
    </xf>
    <xf numFmtId="0" fontId="21" fillId="42" borderId="0" xfId="0" applyFont="1" applyFill="1" applyAlignment="1" applyProtection="1">
      <alignment vertical="center"/>
      <protection hidden="1"/>
    </xf>
    <xf numFmtId="0" fontId="105" fillId="20" borderId="56" xfId="0" applyFont="1" applyFill="1" applyBorder="1" applyAlignment="1">
      <alignment horizontal="center"/>
    </xf>
    <xf numFmtId="0" fontId="105" fillId="20" borderId="56" xfId="0" applyFont="1" applyFill="1" applyBorder="1" applyAlignment="1">
      <alignment horizontal="left"/>
    </xf>
    <xf numFmtId="0" fontId="79" fillId="6" borderId="0" xfId="0" applyFont="1" applyFill="1"/>
    <xf numFmtId="14" fontId="20" fillId="20" borderId="15" xfId="0" applyNumberFormat="1" applyFont="1" applyFill="1" applyBorder="1" applyProtection="1">
      <protection hidden="1"/>
    </xf>
    <xf numFmtId="14" fontId="218" fillId="0" borderId="0" xfId="0" applyNumberFormat="1" applyFont="1"/>
    <xf numFmtId="0" fontId="20" fillId="0" borderId="7" xfId="0" applyFont="1" applyBorder="1"/>
    <xf numFmtId="0" fontId="85" fillId="12" borderId="0" xfId="0" applyFont="1" applyFill="1" applyAlignment="1" applyProtection="1">
      <alignment horizontal="right"/>
      <protection hidden="1"/>
    </xf>
    <xf numFmtId="0" fontId="0" fillId="0" borderId="0" xfId="0" applyAlignment="1">
      <alignment horizontal="left"/>
    </xf>
    <xf numFmtId="0" fontId="19" fillId="42" borderId="0" xfId="0" applyFont="1" applyFill="1" applyAlignment="1" applyProtection="1">
      <alignment horizontal="left" vertical="center"/>
      <protection hidden="1"/>
    </xf>
    <xf numFmtId="0" fontId="74" fillId="0" borderId="104" xfId="0" applyFont="1" applyBorder="1"/>
    <xf numFmtId="0" fontId="74" fillId="0" borderId="92" xfId="0" applyFont="1" applyBorder="1"/>
    <xf numFmtId="0" fontId="74" fillId="0" borderId="18" xfId="0" applyFont="1" applyBorder="1"/>
    <xf numFmtId="0" fontId="80" fillId="6" borderId="18" xfId="0" applyFont="1" applyFill="1" applyBorder="1"/>
    <xf numFmtId="10" fontId="142" fillId="6" borderId="14" xfId="4" applyNumberFormat="1" applyFont="1" applyFill="1" applyBorder="1" applyAlignment="1">
      <alignment horizontal="center" vertical="center"/>
    </xf>
    <xf numFmtId="10" fontId="142" fillId="6" borderId="14" xfId="0" applyNumberFormat="1" applyFont="1" applyFill="1" applyBorder="1" applyAlignment="1">
      <alignment horizontal="center" vertical="center"/>
    </xf>
    <xf numFmtId="0" fontId="80" fillId="0" borderId="2" xfId="0" applyFont="1" applyBorder="1" applyAlignment="1">
      <alignment vertical="center"/>
    </xf>
    <xf numFmtId="0" fontId="80" fillId="0" borderId="18" xfId="0" applyFont="1" applyBorder="1" applyAlignment="1">
      <alignment vertical="center"/>
    </xf>
    <xf numFmtId="0" fontId="81" fillId="0" borderId="18" xfId="0" applyFont="1" applyBorder="1" applyAlignment="1">
      <alignment vertical="center"/>
    </xf>
    <xf numFmtId="10" fontId="80" fillId="0" borderId="23" xfId="4" applyNumberFormat="1" applyFont="1" applyBorder="1" applyAlignment="1">
      <alignment horizontal="center" vertical="center"/>
    </xf>
    <xf numFmtId="10" fontId="80" fillId="0" borderId="14" xfId="4" applyNumberFormat="1" applyFont="1" applyBorder="1" applyAlignment="1">
      <alignment horizontal="center" vertical="center"/>
    </xf>
    <xf numFmtId="0" fontId="0" fillId="6" borderId="105" xfId="0" applyFill="1" applyBorder="1" applyAlignment="1">
      <alignment horizontal="right" vertical="center"/>
    </xf>
    <xf numFmtId="0" fontId="0" fillId="6" borderId="19" xfId="0" applyFill="1" applyBorder="1"/>
    <xf numFmtId="9" fontId="0" fillId="6" borderId="19" xfId="0" applyNumberFormat="1" applyFill="1" applyBorder="1"/>
    <xf numFmtId="10" fontId="188" fillId="6" borderId="19" xfId="0" applyNumberFormat="1" applyFont="1" applyFill="1" applyBorder="1"/>
    <xf numFmtId="10" fontId="131" fillId="6" borderId="19" xfId="0" applyNumberFormat="1" applyFont="1" applyFill="1" applyBorder="1"/>
    <xf numFmtId="173" fontId="86" fillId="19" borderId="19" xfId="0" applyNumberFormat="1" applyFont="1" applyFill="1" applyBorder="1"/>
    <xf numFmtId="0" fontId="188" fillId="0" borderId="4" xfId="0" applyFont="1" applyBorder="1"/>
    <xf numFmtId="173" fontId="19" fillId="7" borderId="19" xfId="0" applyNumberFormat="1" applyFont="1" applyFill="1" applyBorder="1"/>
    <xf numFmtId="192" fontId="80" fillId="6" borderId="13" xfId="0" applyNumberFormat="1" applyFont="1" applyFill="1" applyBorder="1" applyAlignment="1">
      <alignment horizontal="left" vertical="center"/>
    </xf>
    <xf numFmtId="0" fontId="0" fillId="0" borderId="14" xfId="0" applyBorder="1" applyAlignment="1">
      <alignment wrapText="1"/>
    </xf>
    <xf numFmtId="197" fontId="74" fillId="0" borderId="0" xfId="0" applyNumberFormat="1" applyFont="1"/>
    <xf numFmtId="2" fontId="0" fillId="50" borderId="0" xfId="0" applyNumberFormat="1" applyFill="1" applyAlignment="1">
      <alignment horizontal="left" vertical="top" wrapText="1"/>
    </xf>
    <xf numFmtId="0" fontId="18" fillId="0" borderId="18" xfId="0" applyFont="1" applyBorder="1" applyAlignment="1" applyProtection="1">
      <alignment horizontal="left"/>
      <protection hidden="1"/>
    </xf>
    <xf numFmtId="0" fontId="18" fillId="0" borderId="18" xfId="0" applyFont="1" applyBorder="1" applyProtection="1">
      <protection hidden="1"/>
    </xf>
    <xf numFmtId="170" fontId="91" fillId="6" borderId="13" xfId="0" applyNumberFormat="1" applyFont="1" applyFill="1" applyBorder="1" applyProtection="1">
      <protection hidden="1"/>
    </xf>
    <xf numFmtId="170" fontId="74" fillId="6" borderId="13" xfId="0" applyNumberFormat="1" applyFont="1" applyFill="1" applyBorder="1" applyProtection="1">
      <protection hidden="1"/>
    </xf>
    <xf numFmtId="165" fontId="0" fillId="0" borderId="0" xfId="0" applyNumberFormat="1" applyProtection="1">
      <protection hidden="1"/>
    </xf>
    <xf numFmtId="0" fontId="74" fillId="0" borderId="56" xfId="0" applyFont="1" applyBorder="1"/>
    <xf numFmtId="0" fontId="196" fillId="0" borderId="61" xfId="0" applyFont="1" applyBorder="1" applyAlignment="1">
      <alignment horizontal="right"/>
    </xf>
    <xf numFmtId="4" fontId="80" fillId="0" borderId="0" xfId="0" applyNumberFormat="1" applyFont="1" applyAlignment="1" applyProtection="1">
      <alignment horizontal="left"/>
      <protection hidden="1"/>
    </xf>
    <xf numFmtId="4" fontId="80" fillId="0" borderId="61" xfId="0" applyNumberFormat="1" applyFont="1" applyBorder="1" applyAlignment="1" applyProtection="1">
      <alignment horizontal="left"/>
      <protection hidden="1"/>
    </xf>
    <xf numFmtId="4" fontId="80" fillId="0" borderId="0" xfId="0" applyNumberFormat="1" applyFont="1" applyAlignment="1">
      <alignment horizontal="left"/>
    </xf>
    <xf numFmtId="0" fontId="86" fillId="0" borderId="0" xfId="0" applyFont="1" applyAlignment="1" applyProtection="1">
      <alignment horizontal="center"/>
      <protection hidden="1"/>
    </xf>
    <xf numFmtId="0" fontId="85" fillId="0" borderId="0" xfId="0" applyFont="1" applyAlignment="1" applyProtection="1">
      <alignment horizontal="center"/>
      <protection hidden="1"/>
    </xf>
    <xf numFmtId="0" fontId="86" fillId="10" borderId="0" xfId="0" applyFont="1" applyFill="1" applyProtection="1">
      <protection hidden="1"/>
    </xf>
    <xf numFmtId="44" fontId="229" fillId="10" borderId="0" xfId="3" applyFont="1" applyFill="1" applyBorder="1" applyProtection="1">
      <protection hidden="1"/>
    </xf>
    <xf numFmtId="0" fontId="86" fillId="2" borderId="0" xfId="0" applyFont="1" applyFill="1" applyProtection="1">
      <protection hidden="1"/>
    </xf>
    <xf numFmtId="0" fontId="86" fillId="0" borderId="0" xfId="0" applyFont="1" applyAlignment="1" applyProtection="1">
      <alignment vertical="center"/>
      <protection hidden="1"/>
    </xf>
    <xf numFmtId="0" fontId="86" fillId="10" borderId="0" xfId="0" applyFont="1" applyFill="1" applyAlignment="1" applyProtection="1">
      <alignment vertical="center"/>
      <protection hidden="1"/>
    </xf>
    <xf numFmtId="0" fontId="107" fillId="6" borderId="0" xfId="0" applyFont="1" applyFill="1" applyAlignment="1" applyProtection="1">
      <alignment horizontal="right" vertical="top" wrapText="1"/>
      <protection hidden="1"/>
    </xf>
    <xf numFmtId="0" fontId="86" fillId="39" borderId="0" xfId="0" applyFont="1" applyFill="1" applyAlignment="1" applyProtection="1">
      <alignment vertical="center"/>
      <protection hidden="1"/>
    </xf>
    <xf numFmtId="2" fontId="86" fillId="0" borderId="0" xfId="0" applyNumberFormat="1" applyFont="1" applyAlignment="1" applyProtection="1">
      <alignment vertical="center"/>
      <protection hidden="1"/>
    </xf>
    <xf numFmtId="167" fontId="86" fillId="0" borderId="0" xfId="0" applyNumberFormat="1" applyFont="1" applyAlignment="1" applyProtection="1">
      <alignment vertical="center"/>
      <protection hidden="1"/>
    </xf>
    <xf numFmtId="167" fontId="86" fillId="10" borderId="0" xfId="0" applyNumberFormat="1" applyFont="1" applyFill="1" applyAlignment="1" applyProtection="1">
      <alignment vertical="center"/>
      <protection hidden="1"/>
    </xf>
    <xf numFmtId="10" fontId="111" fillId="6" borderId="0" xfId="0" applyNumberFormat="1" applyFont="1" applyFill="1" applyAlignment="1" applyProtection="1">
      <alignment vertical="center"/>
      <protection hidden="1"/>
    </xf>
    <xf numFmtId="0" fontId="85" fillId="6" borderId="0" xfId="0" applyFont="1" applyFill="1" applyAlignment="1" applyProtection="1">
      <alignment horizontal="center" vertical="center"/>
      <protection hidden="1"/>
    </xf>
    <xf numFmtId="0" fontId="85" fillId="12" borderId="0" xfId="0" applyFont="1" applyFill="1" applyAlignment="1" applyProtection="1">
      <alignment horizontal="center" vertical="center"/>
      <protection hidden="1"/>
    </xf>
    <xf numFmtId="0" fontId="46" fillId="6" borderId="0" xfId="0" applyFont="1" applyFill="1" applyAlignment="1" applyProtection="1">
      <alignment horizontal="left" vertical="center" wrapText="1"/>
      <protection hidden="1"/>
    </xf>
    <xf numFmtId="168" fontId="86" fillId="6" borderId="0" xfId="0" applyNumberFormat="1" applyFont="1" applyFill="1" applyAlignment="1" applyProtection="1">
      <alignment vertical="center"/>
      <protection hidden="1"/>
    </xf>
    <xf numFmtId="0" fontId="86" fillId="6" borderId="0" xfId="0" applyFont="1" applyFill="1" applyAlignment="1" applyProtection="1">
      <alignment vertical="center"/>
      <protection hidden="1"/>
    </xf>
    <xf numFmtId="0" fontId="127" fillId="31" borderId="0" xfId="0" applyFont="1" applyFill="1" applyAlignment="1" applyProtection="1">
      <alignment horizontal="center" vertical="center"/>
      <protection hidden="1"/>
    </xf>
    <xf numFmtId="0" fontId="81" fillId="0" borderId="0" xfId="0" applyFont="1" applyAlignment="1" applyProtection="1">
      <alignment vertical="center"/>
      <protection hidden="1"/>
    </xf>
    <xf numFmtId="0" fontId="127" fillId="0" borderId="0" xfId="0" applyFont="1" applyAlignment="1" applyProtection="1">
      <alignment vertical="center"/>
      <protection hidden="1"/>
    </xf>
    <xf numFmtId="0" fontId="82" fillId="0" borderId="0" xfId="0" applyFont="1" applyAlignment="1" applyProtection="1">
      <alignment vertical="center" wrapText="1"/>
      <protection hidden="1"/>
    </xf>
    <xf numFmtId="0" fontId="74" fillId="10" borderId="0" xfId="0" applyFont="1" applyFill="1" applyAlignment="1" applyProtection="1">
      <alignment vertical="center"/>
      <protection hidden="1"/>
    </xf>
    <xf numFmtId="168" fontId="81" fillId="6" borderId="0" xfId="0" applyNumberFormat="1" applyFont="1" applyFill="1" applyAlignment="1" applyProtection="1">
      <alignment vertical="center"/>
      <protection hidden="1"/>
    </xf>
    <xf numFmtId="165" fontId="86" fillId="6" borderId="0" xfId="0" applyNumberFormat="1" applyFont="1" applyFill="1" applyAlignment="1" applyProtection="1">
      <alignment horizontal="right" vertical="center"/>
      <protection hidden="1"/>
    </xf>
    <xf numFmtId="0" fontId="74" fillId="10" borderId="0" xfId="0" applyFont="1" applyFill="1" applyProtection="1">
      <protection hidden="1"/>
    </xf>
    <xf numFmtId="167" fontId="86" fillId="0" borderId="0" xfId="0" applyNumberFormat="1" applyFont="1" applyProtection="1">
      <protection hidden="1"/>
    </xf>
    <xf numFmtId="167" fontId="86" fillId="10" borderId="0" xfId="0" applyNumberFormat="1" applyFont="1" applyFill="1" applyProtection="1">
      <protection hidden="1"/>
    </xf>
    <xf numFmtId="0" fontId="87" fillId="6" borderId="0" xfId="0" applyFont="1" applyFill="1" applyAlignment="1" applyProtection="1">
      <alignment horizontal="right"/>
      <protection hidden="1"/>
    </xf>
    <xf numFmtId="10" fontId="86" fillId="6" borderId="0" xfId="0" applyNumberFormat="1" applyFont="1" applyFill="1" applyAlignment="1" applyProtection="1">
      <alignment horizontal="right" vertical="center"/>
      <protection hidden="1"/>
    </xf>
    <xf numFmtId="0" fontId="81" fillId="32" borderId="0" xfId="0" applyFont="1" applyFill="1" applyProtection="1">
      <protection hidden="1"/>
    </xf>
    <xf numFmtId="0" fontId="86" fillId="32" borderId="0" xfId="0" applyFont="1" applyFill="1" applyProtection="1">
      <protection hidden="1"/>
    </xf>
    <xf numFmtId="10" fontId="86" fillId="12" borderId="0" xfId="0" applyNumberFormat="1" applyFont="1" applyFill="1" applyAlignment="1" applyProtection="1">
      <alignment horizontal="right" vertical="center"/>
      <protection hidden="1"/>
    </xf>
    <xf numFmtId="0" fontId="87" fillId="0" borderId="0" xfId="0" applyFont="1" applyAlignment="1" applyProtection="1">
      <alignment horizontal="right"/>
      <protection hidden="1"/>
    </xf>
    <xf numFmtId="167" fontId="127" fillId="12" borderId="0" xfId="0" applyNumberFormat="1" applyFont="1" applyFill="1" applyAlignment="1" applyProtection="1">
      <alignment horizontal="right"/>
      <protection hidden="1"/>
    </xf>
    <xf numFmtId="0" fontId="124" fillId="0" borderId="0" xfId="0" applyFont="1" applyAlignment="1" applyProtection="1">
      <alignment horizontal="center"/>
      <protection hidden="1"/>
    </xf>
    <xf numFmtId="167" fontId="124" fillId="0" borderId="0" xfId="0" applyNumberFormat="1" applyFont="1" applyProtection="1">
      <protection hidden="1"/>
    </xf>
    <xf numFmtId="1" fontId="81" fillId="0" borderId="0" xfId="0" applyNumberFormat="1" applyFont="1" applyProtection="1">
      <protection hidden="1"/>
    </xf>
    <xf numFmtId="167" fontId="86" fillId="0" borderId="0" xfId="0" applyNumberFormat="1" applyFont="1" applyAlignment="1" applyProtection="1">
      <alignment horizontal="right"/>
      <protection hidden="1"/>
    </xf>
    <xf numFmtId="0" fontId="74" fillId="0" borderId="6" xfId="0" applyFont="1" applyBorder="1"/>
    <xf numFmtId="0" fontId="102" fillId="0" borderId="0" xfId="0" applyFont="1" applyAlignment="1" applyProtection="1">
      <alignment horizontal="left" vertical="top"/>
      <protection hidden="1"/>
    </xf>
    <xf numFmtId="0" fontId="107" fillId="6" borderId="0" xfId="0" applyFont="1" applyFill="1" applyAlignment="1" applyProtection="1">
      <alignment horizontal="left" vertical="top" wrapText="1"/>
      <protection hidden="1"/>
    </xf>
    <xf numFmtId="0" fontId="74" fillId="0" borderId="0" xfId="0" applyFont="1" applyAlignment="1">
      <alignment horizontal="left"/>
    </xf>
    <xf numFmtId="0" fontId="88" fillId="0" borderId="0" xfId="2" applyBorder="1" applyAlignment="1" applyProtection="1">
      <alignment horizontal="left"/>
    </xf>
    <xf numFmtId="0" fontId="81" fillId="7" borderId="14" xfId="0" applyFont="1" applyFill="1" applyBorder="1" applyAlignment="1" applyProtection="1">
      <alignment horizontal="center" vertical="center"/>
      <protection locked="0"/>
    </xf>
    <xf numFmtId="0" fontId="75" fillId="7" borderId="14" xfId="0" applyFont="1" applyFill="1" applyBorder="1" applyAlignment="1" applyProtection="1">
      <alignment horizontal="center" vertical="center"/>
      <protection locked="0"/>
    </xf>
    <xf numFmtId="0" fontId="85" fillId="6" borderId="0" xfId="0" applyFont="1" applyFill="1" applyAlignment="1" applyProtection="1">
      <alignment vertical="center" wrapText="1"/>
      <protection hidden="1"/>
    </xf>
    <xf numFmtId="0" fontId="80" fillId="2" borderId="23" xfId="0" applyFont="1" applyFill="1" applyBorder="1" applyAlignment="1" applyProtection="1">
      <alignment horizontal="center" wrapText="1"/>
      <protection hidden="1"/>
    </xf>
    <xf numFmtId="4" fontId="16" fillId="15" borderId="14" xfId="0" applyNumberFormat="1" applyFont="1" applyFill="1" applyBorder="1" applyAlignment="1" applyProtection="1">
      <alignment horizontal="center"/>
      <protection locked="0"/>
    </xf>
    <xf numFmtId="0" fontId="16" fillId="0" borderId="0" xfId="0" applyFont="1" applyProtection="1">
      <protection hidden="1"/>
    </xf>
    <xf numFmtId="0" fontId="127" fillId="6" borderId="0" xfId="0" applyFont="1" applyFill="1" applyAlignment="1" applyProtection="1">
      <alignment horizontal="left"/>
      <protection hidden="1"/>
    </xf>
    <xf numFmtId="1" fontId="80" fillId="3" borderId="15" xfId="0" applyNumberFormat="1" applyFont="1" applyFill="1" applyBorder="1" applyAlignment="1" applyProtection="1">
      <alignment horizontal="center"/>
      <protection locked="0"/>
    </xf>
    <xf numFmtId="0" fontId="81" fillId="11" borderId="0" xfId="0" applyFont="1" applyFill="1" applyAlignment="1">
      <alignment horizontal="left" vertical="center"/>
    </xf>
    <xf numFmtId="1" fontId="81" fillId="11" borderId="0" xfId="0" applyNumberFormat="1" applyFont="1" applyFill="1" applyAlignment="1">
      <alignment horizontal="left" vertical="center"/>
    </xf>
    <xf numFmtId="0" fontId="75" fillId="0" borderId="0" xfId="0" applyFont="1" applyAlignment="1">
      <alignment vertical="top" readingOrder="1"/>
    </xf>
    <xf numFmtId="0" fontId="75" fillId="0" borderId="0" xfId="0" applyFont="1" applyAlignment="1">
      <alignment vertical="top" wrapText="1" readingOrder="1"/>
    </xf>
    <xf numFmtId="0" fontId="0" fillId="0" borderId="0" xfId="0" applyAlignment="1">
      <alignment vertical="top" readingOrder="1"/>
    </xf>
    <xf numFmtId="0" fontId="233" fillId="57" borderId="0" xfId="0" applyFont="1" applyFill="1" applyAlignment="1">
      <alignment vertical="center"/>
    </xf>
    <xf numFmtId="0" fontId="0" fillId="57" borderId="0" xfId="0" applyFill="1"/>
    <xf numFmtId="0" fontId="233" fillId="57" borderId="0" xfId="0" applyFont="1" applyFill="1" applyAlignment="1">
      <alignment vertical="center" wrapText="1"/>
    </xf>
    <xf numFmtId="0" fontId="233" fillId="57" borderId="14" xfId="0" applyFont="1" applyFill="1" applyBorder="1" applyAlignment="1">
      <alignment horizontal="center" vertical="center" wrapText="1"/>
    </xf>
    <xf numFmtId="0" fontId="233" fillId="57" borderId="14" xfId="0" applyFont="1" applyFill="1" applyBorder="1" applyAlignment="1">
      <alignment vertical="center" wrapText="1"/>
    </xf>
    <xf numFmtId="173" fontId="233" fillId="57" borderId="14" xfId="0" applyNumberFormat="1" applyFont="1" applyFill="1" applyBorder="1" applyAlignment="1">
      <alignment horizontal="center" vertical="center" wrapText="1"/>
    </xf>
    <xf numFmtId="0" fontId="235" fillId="57" borderId="14" xfId="0" applyFont="1" applyFill="1" applyBorder="1" applyAlignment="1">
      <alignment vertical="center" wrapText="1"/>
    </xf>
    <xf numFmtId="0" fontId="235" fillId="57" borderId="14" xfId="0" applyFont="1" applyFill="1" applyBorder="1" applyAlignment="1">
      <alignment horizontal="center" vertical="center" wrapText="1"/>
    </xf>
    <xf numFmtId="10" fontId="235" fillId="57" borderId="14" xfId="0" applyNumberFormat="1" applyFont="1" applyFill="1" applyBorder="1" applyAlignment="1">
      <alignment horizontal="center" vertical="center" wrapText="1"/>
    </xf>
    <xf numFmtId="0" fontId="88" fillId="0" borderId="0" xfId="2" applyAlignment="1" applyProtection="1">
      <alignment vertical="top" readingOrder="1"/>
    </xf>
    <xf numFmtId="0" fontId="233" fillId="0" borderId="0" xfId="0" applyFont="1" applyAlignment="1">
      <alignment vertical="top" readingOrder="1"/>
    </xf>
    <xf numFmtId="0" fontId="237" fillId="0" borderId="0" xfId="0" applyFont="1" applyAlignment="1">
      <alignment vertical="center" readingOrder="1"/>
    </xf>
    <xf numFmtId="0" fontId="237" fillId="0" borderId="0" xfId="0" applyFont="1" applyAlignment="1">
      <alignment vertical="center" wrapText="1" readingOrder="1"/>
    </xf>
    <xf numFmtId="0" fontId="75" fillId="0" borderId="0" xfId="0" applyFont="1" applyAlignment="1">
      <alignment horizontal="left" vertical="center" readingOrder="1"/>
    </xf>
    <xf numFmtId="0" fontId="75" fillId="0" borderId="0" xfId="0" applyFont="1" applyAlignment="1">
      <alignment horizontal="left" vertical="top" readingOrder="1"/>
    </xf>
    <xf numFmtId="0" fontId="238" fillId="8" borderId="0" xfId="2" applyFont="1" applyFill="1" applyBorder="1" applyAlignment="1" applyProtection="1">
      <alignment vertical="center" textRotation="255" wrapText="1" readingOrder="1"/>
    </xf>
    <xf numFmtId="0" fontId="239" fillId="8" borderId="0" xfId="2" applyFont="1" applyFill="1" applyBorder="1" applyAlignment="1" applyProtection="1">
      <alignment vertical="center" textRotation="255" wrapText="1" readingOrder="1"/>
    </xf>
    <xf numFmtId="0" fontId="240" fillId="0" borderId="0" xfId="2" applyFont="1" applyFill="1" applyBorder="1" applyAlignment="1" applyProtection="1">
      <alignment horizontal="center" vertical="center" textRotation="255" readingOrder="1"/>
    </xf>
    <xf numFmtId="0" fontId="178" fillId="0" borderId="0" xfId="2" applyFont="1" applyFill="1" applyBorder="1" applyAlignment="1" applyProtection="1">
      <alignment vertical="center" readingOrder="1"/>
    </xf>
    <xf numFmtId="0" fontId="178" fillId="0" borderId="0" xfId="2" applyFont="1" applyFill="1" applyBorder="1" applyAlignment="1" applyProtection="1">
      <alignment vertical="center" textRotation="255" wrapText="1" readingOrder="1"/>
    </xf>
    <xf numFmtId="0" fontId="241" fillId="0" borderId="0" xfId="0" applyFont="1" applyAlignment="1">
      <alignment vertical="center" readingOrder="1"/>
    </xf>
    <xf numFmtId="0" fontId="240" fillId="0" borderId="0" xfId="2" applyFont="1" applyFill="1" applyBorder="1" applyAlignment="1" applyProtection="1">
      <alignment vertical="center" textRotation="255" wrapText="1" readingOrder="1"/>
    </xf>
    <xf numFmtId="0" fontId="14" fillId="0" borderId="0" xfId="0" applyFont="1"/>
    <xf numFmtId="14" fontId="14" fillId="0" borderId="0" xfId="0" applyNumberFormat="1" applyFont="1"/>
    <xf numFmtId="0" fontId="14" fillId="0" borderId="0" xfId="0" applyFont="1" applyAlignment="1">
      <alignment wrapText="1"/>
    </xf>
    <xf numFmtId="0" fontId="14" fillId="0" borderId="0" xfId="0" applyFont="1" applyAlignment="1">
      <alignment vertical="top"/>
    </xf>
    <xf numFmtId="165" fontId="86" fillId="26" borderId="11" xfId="0" applyNumberFormat="1" applyFont="1" applyFill="1" applyBorder="1" applyAlignment="1" applyProtection="1">
      <alignment horizontal="right" vertical="center"/>
      <protection hidden="1"/>
    </xf>
    <xf numFmtId="173" fontId="81" fillId="7" borderId="14" xfId="1" applyNumberFormat="1" applyFont="1" applyFill="1" applyBorder="1" applyAlignment="1" applyProtection="1">
      <alignment vertical="center"/>
      <protection hidden="1"/>
    </xf>
    <xf numFmtId="198" fontId="111" fillId="12" borderId="32" xfId="0" applyNumberFormat="1" applyFont="1" applyFill="1" applyBorder="1" applyAlignment="1" applyProtection="1">
      <alignment vertical="center"/>
      <protection hidden="1"/>
    </xf>
    <xf numFmtId="0" fontId="13" fillId="0" borderId="0" xfId="0" applyFont="1" applyAlignment="1" applyProtection="1">
      <alignment vertical="center"/>
      <protection hidden="1"/>
    </xf>
    <xf numFmtId="0" fontId="13" fillId="0" borderId="12" xfId="0" applyFont="1" applyBorder="1" applyAlignment="1" applyProtection="1">
      <alignment vertical="center"/>
      <protection hidden="1"/>
    </xf>
    <xf numFmtId="16" fontId="13" fillId="0" borderId="0" xfId="0" quotePrefix="1" applyNumberFormat="1" applyFont="1" applyAlignment="1" applyProtection="1">
      <alignment vertical="center"/>
      <protection hidden="1"/>
    </xf>
    <xf numFmtId="0" fontId="13" fillId="0" borderId="0" xfId="0" quotePrefix="1" applyFont="1" applyAlignment="1" applyProtection="1">
      <alignment vertical="center"/>
      <protection hidden="1"/>
    </xf>
    <xf numFmtId="0" fontId="13" fillId="0" borderId="18" xfId="0" applyFont="1" applyBorder="1" applyAlignment="1" applyProtection="1">
      <alignment vertical="center"/>
      <protection hidden="1"/>
    </xf>
    <xf numFmtId="0" fontId="13" fillId="0" borderId="13" xfId="0" applyFont="1" applyBorder="1" applyAlignment="1" applyProtection="1">
      <alignment vertical="center"/>
      <protection hidden="1"/>
    </xf>
    <xf numFmtId="165" fontId="13" fillId="0" borderId="0" xfId="0" applyNumberFormat="1" applyFont="1" applyAlignment="1" applyProtection="1">
      <alignment vertical="center"/>
      <protection hidden="1"/>
    </xf>
    <xf numFmtId="0" fontId="107" fillId="0" borderId="12" xfId="0" applyFont="1" applyBorder="1" applyAlignment="1" applyProtection="1">
      <alignment vertical="center"/>
      <protection hidden="1"/>
    </xf>
    <xf numFmtId="0" fontId="107" fillId="0" borderId="18" xfId="0" applyFont="1" applyBorder="1" applyAlignment="1" applyProtection="1">
      <alignment vertical="center"/>
      <protection hidden="1"/>
    </xf>
    <xf numFmtId="0" fontId="12" fillId="0" borderId="0" xfId="0" applyFont="1" applyAlignment="1" applyProtection="1">
      <alignment vertical="center"/>
      <protection hidden="1"/>
    </xf>
    <xf numFmtId="0" fontId="12" fillId="0" borderId="12" xfId="0" applyFont="1" applyBorder="1"/>
    <xf numFmtId="0" fontId="12" fillId="0" borderId="18" xfId="0" applyFont="1" applyBorder="1"/>
    <xf numFmtId="0" fontId="12" fillId="0" borderId="0" xfId="0" applyFont="1"/>
    <xf numFmtId="0" fontId="12" fillId="0" borderId="14" xfId="0" applyFont="1" applyBorder="1"/>
    <xf numFmtId="0" fontId="12" fillId="0" borderId="4" xfId="0" applyFont="1" applyBorder="1"/>
    <xf numFmtId="0" fontId="12" fillId="0" borderId="23" xfId="0" applyFont="1" applyBorder="1"/>
    <xf numFmtId="173" fontId="12" fillId="0" borderId="23" xfId="0" applyNumberFormat="1" applyFont="1" applyBorder="1"/>
    <xf numFmtId="173" fontId="12" fillId="0" borderId="0" xfId="0" applyNumberFormat="1" applyFont="1"/>
    <xf numFmtId="0" fontId="12" fillId="0" borderId="19" xfId="0" applyFont="1" applyBorder="1"/>
    <xf numFmtId="173" fontId="12" fillId="0" borderId="19" xfId="0" applyNumberFormat="1" applyFont="1" applyBorder="1"/>
    <xf numFmtId="0" fontId="12" fillId="0" borderId="6" xfId="0" applyFont="1" applyBorder="1"/>
    <xf numFmtId="0" fontId="12" fillId="0" borderId="24" xfId="0" applyFont="1" applyBorder="1"/>
    <xf numFmtId="173" fontId="12" fillId="0" borderId="24" xfId="0" applyNumberFormat="1" applyFont="1" applyBorder="1"/>
    <xf numFmtId="1" fontId="12" fillId="0" borderId="0" xfId="0" applyNumberFormat="1" applyFont="1"/>
    <xf numFmtId="16" fontId="81" fillId="7" borderId="18" xfId="0" applyNumberFormat="1" applyFont="1" applyFill="1" applyBorder="1" applyProtection="1">
      <protection hidden="1"/>
    </xf>
    <xf numFmtId="16" fontId="81" fillId="7" borderId="18" xfId="0" quotePrefix="1" applyNumberFormat="1" applyFont="1" applyFill="1" applyBorder="1" applyProtection="1">
      <protection hidden="1"/>
    </xf>
    <xf numFmtId="49" fontId="12" fillId="0" borderId="18" xfId="0" applyNumberFormat="1" applyFont="1" applyBorder="1" applyProtection="1">
      <protection hidden="1"/>
    </xf>
    <xf numFmtId="199" fontId="12" fillId="20" borderId="0" xfId="4" applyNumberFormat="1" applyFont="1" applyFill="1"/>
    <xf numFmtId="165" fontId="12" fillId="20" borderId="0" xfId="0" applyNumberFormat="1" applyFont="1" applyFill="1"/>
    <xf numFmtId="0" fontId="0" fillId="20" borderId="0" xfId="0" applyFill="1" applyAlignment="1">
      <alignment horizontal="center"/>
    </xf>
    <xf numFmtId="0" fontId="12" fillId="0" borderId="13" xfId="0" applyFont="1" applyBorder="1"/>
    <xf numFmtId="0" fontId="12" fillId="0" borderId="5" xfId="0" applyFont="1" applyBorder="1"/>
    <xf numFmtId="173" fontId="12" fillId="20" borderId="5" xfId="0" applyNumberFormat="1" applyFont="1" applyFill="1" applyBorder="1"/>
    <xf numFmtId="0" fontId="12" fillId="0" borderId="8" xfId="0" applyFont="1" applyBorder="1"/>
    <xf numFmtId="0" fontId="77" fillId="0" borderId="7" xfId="0" applyFont="1" applyBorder="1"/>
    <xf numFmtId="2" fontId="85" fillId="0" borderId="0" xfId="0" applyNumberFormat="1" applyFont="1" applyAlignment="1" applyProtection="1">
      <alignment horizontal="center" vertical="center"/>
      <protection hidden="1"/>
    </xf>
    <xf numFmtId="0" fontId="11" fillId="42" borderId="0" xfId="0" applyFont="1" applyFill="1" applyAlignment="1" applyProtection="1">
      <alignment horizontal="center"/>
      <protection hidden="1"/>
    </xf>
    <xf numFmtId="0" fontId="81" fillId="0" borderId="9" xfId="0" applyFont="1" applyBorder="1" applyAlignment="1">
      <alignment horizontal="left"/>
    </xf>
    <xf numFmtId="0" fontId="10" fillId="0" borderId="12" xfId="0" applyFont="1" applyBorder="1" applyAlignment="1" applyProtection="1">
      <alignment vertical="center"/>
      <protection hidden="1"/>
    </xf>
    <xf numFmtId="16" fontId="10" fillId="0" borderId="12" xfId="0" applyNumberFormat="1" applyFont="1" applyBorder="1" applyAlignment="1" applyProtection="1">
      <alignment vertical="center"/>
      <protection hidden="1"/>
    </xf>
    <xf numFmtId="0" fontId="80" fillId="0" borderId="7" xfId="0" applyFont="1" applyBorder="1"/>
    <xf numFmtId="0" fontId="85" fillId="0" borderId="0" xfId="0" applyFont="1" applyAlignment="1" applyProtection="1">
      <alignment horizontal="right" vertical="center"/>
      <protection hidden="1"/>
    </xf>
    <xf numFmtId="165" fontId="107" fillId="0" borderId="13" xfId="0" applyNumberFormat="1" applyFont="1" applyBorder="1" applyAlignment="1" applyProtection="1">
      <alignment vertical="center"/>
      <protection hidden="1"/>
    </xf>
    <xf numFmtId="0" fontId="107" fillId="0" borderId="13" xfId="0" applyFont="1" applyBorder="1" applyAlignment="1" applyProtection="1">
      <alignment vertical="center"/>
      <protection hidden="1"/>
    </xf>
    <xf numFmtId="0" fontId="107" fillId="0" borderId="0" xfId="0" applyFont="1" applyAlignment="1" applyProtection="1">
      <alignment vertical="center"/>
      <protection hidden="1"/>
    </xf>
    <xf numFmtId="16" fontId="107" fillId="0" borderId="12" xfId="0" applyNumberFormat="1" applyFont="1" applyBorder="1" applyAlignment="1" applyProtection="1">
      <alignment vertical="center"/>
      <protection hidden="1"/>
    </xf>
    <xf numFmtId="0" fontId="13" fillId="3" borderId="14" xfId="0" applyFont="1" applyFill="1" applyBorder="1" applyAlignment="1" applyProtection="1">
      <alignment horizontal="center" vertical="center"/>
      <protection locked="0"/>
    </xf>
    <xf numFmtId="0" fontId="9" fillId="7" borderId="7" xfId="0" applyFont="1" applyFill="1" applyBorder="1" applyAlignment="1">
      <alignment wrapText="1"/>
    </xf>
    <xf numFmtId="0" fontId="81" fillId="2" borderId="0" xfId="0" applyFont="1" applyFill="1" applyAlignment="1" applyProtection="1">
      <alignment vertical="center"/>
      <protection hidden="1"/>
    </xf>
    <xf numFmtId="0" fontId="8" fillId="42" borderId="0" xfId="0" applyFont="1" applyFill="1" applyProtection="1">
      <protection hidden="1"/>
    </xf>
    <xf numFmtId="0" fontId="85" fillId="34" borderId="0" xfId="0" applyFont="1" applyFill="1" applyProtection="1">
      <protection hidden="1"/>
    </xf>
    <xf numFmtId="0" fontId="85" fillId="0" borderId="14" xfId="0" applyFont="1" applyBorder="1" applyAlignment="1">
      <alignment vertical="top" wrapText="1"/>
    </xf>
    <xf numFmtId="14" fontId="85" fillId="0" borderId="107" xfId="0" applyNumberFormat="1" applyFont="1" applyBorder="1" applyAlignment="1">
      <alignment vertical="top" wrapText="1"/>
    </xf>
    <xf numFmtId="0" fontId="85" fillId="0" borderId="107" xfId="0" applyFont="1" applyBorder="1" applyAlignment="1">
      <alignment vertical="top" wrapText="1"/>
    </xf>
    <xf numFmtId="0" fontId="85" fillId="0" borderId="24" xfId="0" applyFont="1" applyBorder="1" applyAlignment="1">
      <alignment vertical="top" wrapText="1"/>
    </xf>
    <xf numFmtId="14" fontId="86" fillId="0" borderId="14" xfId="0" applyNumberFormat="1" applyFont="1" applyBorder="1" applyAlignment="1">
      <alignment horizontal="center" vertical="top" wrapText="1"/>
    </xf>
    <xf numFmtId="0" fontId="86" fillId="0" borderId="14" xfId="0" applyFont="1" applyBorder="1" applyAlignment="1">
      <alignment vertical="top" wrapText="1"/>
    </xf>
    <xf numFmtId="14" fontId="86" fillId="6" borderId="106" xfId="0" applyNumberFormat="1" applyFont="1" applyFill="1" applyBorder="1" applyAlignment="1">
      <alignment horizontal="center" vertical="top" wrapText="1"/>
    </xf>
    <xf numFmtId="0" fontId="86" fillId="0" borderId="106" xfId="0" applyFont="1" applyBorder="1" applyAlignment="1">
      <alignment vertical="top" wrapText="1"/>
    </xf>
    <xf numFmtId="0" fontId="91" fillId="8" borderId="12" xfId="0" applyFont="1" applyFill="1" applyBorder="1" applyProtection="1">
      <protection hidden="1"/>
    </xf>
    <xf numFmtId="14" fontId="7" fillId="0" borderId="107" xfId="0" applyNumberFormat="1" applyFont="1" applyBorder="1" applyAlignment="1">
      <alignment vertical="top" wrapText="1"/>
    </xf>
    <xf numFmtId="0" fontId="7" fillId="0" borderId="107" xfId="0" applyFont="1" applyBorder="1" applyAlignment="1">
      <alignment vertical="top" wrapText="1"/>
    </xf>
    <xf numFmtId="0" fontId="7" fillId="0" borderId="24" xfId="0" applyFont="1" applyBorder="1" applyAlignment="1">
      <alignment vertical="top" wrapText="1"/>
    </xf>
    <xf numFmtId="14" fontId="7" fillId="6" borderId="106" xfId="0" applyNumberFormat="1" applyFont="1" applyFill="1" applyBorder="1" applyAlignment="1">
      <alignment horizontal="center" vertical="top" wrapText="1"/>
    </xf>
    <xf numFmtId="0" fontId="7" fillId="0" borderId="106" xfId="0" applyFont="1" applyBorder="1" applyAlignment="1">
      <alignment vertical="top" wrapText="1"/>
    </xf>
    <xf numFmtId="0" fontId="85" fillId="0" borderId="106" xfId="0" applyFont="1" applyBorder="1" applyAlignment="1">
      <alignment vertical="top" wrapText="1"/>
    </xf>
    <xf numFmtId="14" fontId="12" fillId="0" borderId="108" xfId="0" applyNumberFormat="1" applyFont="1" applyBorder="1"/>
    <xf numFmtId="0" fontId="12" fillId="0" borderId="108" xfId="0" applyFont="1" applyBorder="1"/>
    <xf numFmtId="0" fontId="12" fillId="0" borderId="108" xfId="0" applyFont="1" applyBorder="1" applyAlignment="1">
      <alignment wrapText="1"/>
    </xf>
    <xf numFmtId="0" fontId="14" fillId="0" borderId="108" xfId="0" applyFont="1" applyBorder="1"/>
    <xf numFmtId="0" fontId="86" fillId="0" borderId="108" xfId="0" applyFont="1" applyBorder="1" applyAlignment="1">
      <alignment wrapText="1"/>
    </xf>
    <xf numFmtId="0" fontId="12" fillId="0" borderId="108" xfId="0" applyFont="1" applyBorder="1" applyAlignment="1">
      <alignment vertical="top"/>
    </xf>
    <xf numFmtId="0" fontId="14" fillId="0" borderId="108" xfId="0" applyFont="1" applyBorder="1" applyAlignment="1">
      <alignment wrapText="1"/>
    </xf>
    <xf numFmtId="0" fontId="9" fillId="0" borderId="108" xfId="0" applyFont="1" applyBorder="1"/>
    <xf numFmtId="0" fontId="11" fillId="0" borderId="108" xfId="0" applyFont="1" applyBorder="1"/>
    <xf numFmtId="0" fontId="93" fillId="0" borderId="4" xfId="19" applyFont="1" applyBorder="1" applyAlignment="1">
      <alignment horizontal="center" vertical="center" wrapText="1"/>
    </xf>
    <xf numFmtId="0" fontId="85" fillId="0" borderId="4" xfId="0" applyFont="1" applyBorder="1" applyAlignment="1">
      <alignment vertical="top"/>
    </xf>
    <xf numFmtId="0" fontId="61" fillId="0" borderId="4" xfId="0" applyFont="1" applyBorder="1"/>
    <xf numFmtId="0" fontId="85" fillId="0" borderId="4" xfId="0" applyFont="1" applyBorder="1"/>
    <xf numFmtId="0" fontId="55" fillId="0" borderId="4" xfId="0" applyFont="1" applyBorder="1"/>
    <xf numFmtId="2" fontId="0" fillId="58" borderId="0" xfId="0" applyNumberFormat="1" applyFill="1"/>
    <xf numFmtId="2" fontId="0" fillId="46" borderId="0" xfId="0" applyNumberFormat="1" applyFill="1"/>
    <xf numFmtId="2" fontId="0" fillId="59" borderId="0" xfId="0" applyNumberFormat="1" applyFill="1"/>
    <xf numFmtId="2" fontId="0" fillId="28" borderId="0" xfId="0" applyNumberFormat="1" applyFill="1"/>
    <xf numFmtId="2" fontId="95" fillId="0" borderId="0" xfId="0" applyNumberFormat="1" applyFont="1"/>
    <xf numFmtId="165" fontId="107" fillId="7" borderId="14" xfId="0" applyNumberFormat="1" applyFont="1" applyFill="1" applyBorder="1" applyAlignment="1" applyProtection="1">
      <alignment vertical="center"/>
      <protection hidden="1"/>
    </xf>
    <xf numFmtId="165" fontId="13" fillId="7" borderId="14" xfId="0" applyNumberFormat="1" applyFont="1" applyFill="1" applyBorder="1" applyAlignment="1" applyProtection="1">
      <alignment vertical="center"/>
      <protection hidden="1"/>
    </xf>
    <xf numFmtId="165" fontId="13" fillId="7" borderId="34" xfId="0" applyNumberFormat="1" applyFont="1" applyFill="1" applyBorder="1" applyAlignment="1" applyProtection="1">
      <alignment vertical="center"/>
      <protection hidden="1"/>
    </xf>
    <xf numFmtId="173" fontId="107" fillId="7" borderId="14" xfId="0" applyNumberFormat="1" applyFont="1" applyFill="1" applyBorder="1" applyAlignment="1" applyProtection="1">
      <alignment vertical="center"/>
      <protection hidden="1"/>
    </xf>
    <xf numFmtId="10" fontId="0" fillId="0" borderId="14" xfId="0" applyNumberFormat="1" applyBorder="1" applyAlignment="1">
      <alignment wrapText="1"/>
    </xf>
    <xf numFmtId="0" fontId="74" fillId="0" borderId="2" xfId="0" applyFont="1" applyBorder="1"/>
    <xf numFmtId="0" fontId="81" fillId="36" borderId="0" xfId="0" applyFont="1" applyFill="1" applyAlignment="1">
      <alignment horizontal="left" vertical="center"/>
    </xf>
    <xf numFmtId="0" fontId="81" fillId="36" borderId="0" xfId="0" applyFont="1" applyFill="1" applyAlignment="1">
      <alignment vertical="center"/>
    </xf>
    <xf numFmtId="0" fontId="81" fillId="36" borderId="0" xfId="0" applyFont="1" applyFill="1" applyAlignment="1">
      <alignment horizontal="center" vertical="center"/>
    </xf>
    <xf numFmtId="0" fontId="205" fillId="36" borderId="0" xfId="0" applyFont="1" applyFill="1" applyAlignment="1">
      <alignment horizontal="center" vertical="center"/>
    </xf>
    <xf numFmtId="0" fontId="81" fillId="36" borderId="61" xfId="0" applyFont="1" applyFill="1" applyBorder="1" applyAlignment="1">
      <alignment horizontal="center" vertical="center"/>
    </xf>
    <xf numFmtId="0" fontId="74" fillId="36" borderId="62" xfId="0" applyFont="1" applyFill="1" applyBorder="1"/>
    <xf numFmtId="0" fontId="101" fillId="0" borderId="1" xfId="0" applyFont="1" applyBorder="1" applyAlignment="1">
      <alignment vertical="center"/>
    </xf>
    <xf numFmtId="0" fontId="74" fillId="36" borderId="80" xfId="0" applyFont="1" applyFill="1" applyBorder="1"/>
    <xf numFmtId="0" fontId="80" fillId="36" borderId="4" xfId="0" applyFont="1" applyFill="1" applyBorder="1"/>
    <xf numFmtId="0" fontId="81" fillId="36" borderId="4" xfId="0" applyFont="1" applyFill="1" applyBorder="1" applyAlignment="1">
      <alignment horizontal="left"/>
    </xf>
    <xf numFmtId="0" fontId="205" fillId="36" borderId="4" xfId="0" applyFont="1" applyFill="1" applyBorder="1"/>
    <xf numFmtId="0" fontId="80" fillId="36" borderId="73" xfId="0" applyFont="1" applyFill="1" applyBorder="1"/>
    <xf numFmtId="0" fontId="81" fillId="11" borderId="2" xfId="0" applyFont="1" applyFill="1" applyBorder="1" applyAlignment="1">
      <alignment horizontal="right" vertical="center"/>
    </xf>
    <xf numFmtId="0" fontId="0" fillId="0" borderId="19" xfId="0" applyBorder="1" applyProtection="1">
      <protection hidden="1"/>
    </xf>
    <xf numFmtId="49" fontId="245" fillId="0" borderId="43" xfId="0" applyNumberFormat="1" applyFont="1" applyBorder="1" applyAlignment="1">
      <alignment vertical="center" wrapText="1"/>
    </xf>
    <xf numFmtId="49" fontId="86" fillId="0" borderId="43" xfId="0" quotePrefix="1" applyNumberFormat="1" applyFont="1" applyBorder="1" applyAlignment="1">
      <alignment vertical="center" wrapText="1"/>
    </xf>
    <xf numFmtId="49" fontId="245" fillId="0" borderId="55" xfId="0" applyNumberFormat="1" applyFont="1" applyBorder="1" applyAlignment="1">
      <alignment vertical="center" wrapText="1"/>
    </xf>
    <xf numFmtId="49" fontId="81" fillId="0" borderId="0" xfId="0" applyNumberFormat="1" applyFont="1" applyAlignment="1">
      <alignment vertical="center" wrapText="1"/>
    </xf>
    <xf numFmtId="49" fontId="86" fillId="0" borderId="0" xfId="0" applyNumberFormat="1" applyFont="1" applyAlignment="1">
      <alignment vertical="center" wrapText="1"/>
    </xf>
    <xf numFmtId="49" fontId="81" fillId="25" borderId="11" xfId="0" applyNumberFormat="1" applyFont="1" applyFill="1" applyBorder="1" applyAlignment="1">
      <alignment vertical="center" wrapText="1"/>
    </xf>
    <xf numFmtId="49" fontId="81" fillId="0" borderId="53" xfId="0" applyNumberFormat="1" applyFont="1" applyBorder="1" applyAlignment="1">
      <alignment vertical="center" wrapText="1"/>
    </xf>
    <xf numFmtId="49" fontId="81" fillId="0" borderId="54" xfId="0" applyNumberFormat="1" applyFont="1" applyBorder="1" applyAlignment="1">
      <alignment vertical="center" wrapText="1"/>
    </xf>
    <xf numFmtId="49" fontId="86" fillId="0" borderId="43" xfId="0" applyNumberFormat="1" applyFont="1" applyBorder="1" applyAlignment="1">
      <alignment vertical="center" wrapText="1"/>
    </xf>
    <xf numFmtId="49" fontId="86" fillId="0" borderId="62" xfId="0" quotePrefix="1" applyNumberFormat="1" applyFont="1" applyBorder="1" applyAlignment="1">
      <alignment vertical="top" wrapText="1"/>
    </xf>
    <xf numFmtId="49" fontId="245" fillId="0" borderId="53" xfId="0" applyNumberFormat="1" applyFont="1" applyBorder="1" applyAlignment="1">
      <alignment vertical="center" wrapText="1"/>
    </xf>
    <xf numFmtId="49" fontId="81" fillId="0" borderId="55" xfId="0" applyNumberFormat="1" applyFont="1" applyBorder="1" applyAlignment="1">
      <alignment vertical="center" wrapText="1"/>
    </xf>
    <xf numFmtId="49" fontId="86" fillId="0" borderId="62" xfId="0" applyNumberFormat="1" applyFont="1" applyBorder="1" applyAlignment="1">
      <alignment vertical="center" wrapText="1"/>
    </xf>
    <xf numFmtId="49" fontId="86" fillId="0" borderId="55" xfId="0" applyNumberFormat="1" applyFont="1" applyBorder="1" applyAlignment="1">
      <alignment vertical="center" wrapText="1"/>
    </xf>
    <xf numFmtId="49" fontId="79" fillId="0" borderId="43" xfId="0" applyNumberFormat="1" applyFont="1" applyBorder="1" applyAlignment="1">
      <alignment vertical="top" wrapText="1"/>
    </xf>
    <xf numFmtId="49" fontId="245" fillId="0" borderId="62" xfId="0" applyNumberFormat="1" applyFont="1" applyBorder="1" applyAlignment="1">
      <alignment vertical="center" wrapText="1"/>
    </xf>
    <xf numFmtId="49" fontId="79" fillId="0" borderId="62" xfId="0" applyNumberFormat="1" applyFont="1" applyBorder="1" applyAlignment="1">
      <alignment vertical="top" wrapText="1"/>
    </xf>
    <xf numFmtId="49" fontId="86" fillId="0" borderId="62" xfId="0" quotePrefix="1" applyNumberFormat="1" applyFont="1" applyBorder="1" applyAlignment="1">
      <alignment vertical="center" wrapText="1"/>
    </xf>
    <xf numFmtId="49" fontId="86" fillId="0" borderId="15" xfId="0" quotePrefix="1" applyNumberFormat="1" applyFont="1" applyBorder="1" applyAlignment="1">
      <alignment vertical="center" wrapText="1"/>
    </xf>
    <xf numFmtId="49" fontId="86" fillId="0" borderId="58" xfId="0" quotePrefix="1" applyNumberFormat="1" applyFont="1" applyBorder="1" applyAlignment="1">
      <alignment vertical="center" wrapText="1"/>
    </xf>
    <xf numFmtId="49" fontId="86" fillId="0" borderId="0" xfId="0" applyNumberFormat="1" applyFont="1" applyAlignment="1">
      <alignment wrapText="1"/>
    </xf>
    <xf numFmtId="49" fontId="242" fillId="0" borderId="0" xfId="0" applyNumberFormat="1" applyFont="1" applyAlignment="1">
      <alignment wrapText="1"/>
    </xf>
    <xf numFmtId="49" fontId="243" fillId="0" borderId="0" xfId="0" applyNumberFormat="1" applyFont="1" applyAlignment="1">
      <alignment wrapText="1"/>
    </xf>
    <xf numFmtId="49" fontId="86" fillId="0" borderId="0" xfId="0" applyNumberFormat="1" applyFont="1" applyAlignment="1" applyProtection="1">
      <alignment wrapText="1"/>
      <protection hidden="1"/>
    </xf>
    <xf numFmtId="49" fontId="242" fillId="0" borderId="0" xfId="0" applyNumberFormat="1" applyFont="1" applyAlignment="1">
      <alignment vertical="center" wrapText="1"/>
    </xf>
    <xf numFmtId="49" fontId="243" fillId="0" borderId="0" xfId="0" applyNumberFormat="1" applyFont="1" applyAlignment="1">
      <alignment vertical="center" wrapText="1"/>
    </xf>
    <xf numFmtId="49" fontId="81" fillId="25" borderId="15" xfId="0" applyNumberFormat="1" applyFont="1" applyFill="1" applyBorder="1" applyAlignment="1">
      <alignment vertical="center" wrapText="1"/>
    </xf>
    <xf numFmtId="49" fontId="86" fillId="0" borderId="0" xfId="0" applyNumberFormat="1" applyFont="1" applyAlignment="1">
      <alignment horizontal="left" vertical="top" wrapText="1"/>
    </xf>
    <xf numFmtId="49" fontId="245" fillId="0" borderId="0" xfId="0" applyNumberFormat="1" applyFont="1" applyAlignment="1">
      <alignment horizontal="left" vertical="center" wrapText="1"/>
    </xf>
    <xf numFmtId="49" fontId="245" fillId="0" borderId="0" xfId="0" applyNumberFormat="1" applyFont="1" applyAlignment="1">
      <alignment wrapText="1"/>
    </xf>
    <xf numFmtId="49" fontId="245" fillId="0" borderId="61" xfId="0" applyNumberFormat="1" applyFont="1" applyBorder="1" applyAlignment="1">
      <alignment horizontal="left" vertical="center" wrapText="1"/>
    </xf>
    <xf numFmtId="49" fontId="242" fillId="6" borderId="0" xfId="0" applyNumberFormat="1" applyFont="1" applyFill="1" applyAlignment="1">
      <alignment wrapText="1"/>
    </xf>
    <xf numFmtId="14" fontId="14" fillId="0" borderId="109" xfId="0" applyNumberFormat="1" applyFont="1" applyBorder="1" applyAlignment="1">
      <alignment horizontal="center"/>
    </xf>
    <xf numFmtId="0" fontId="6" fillId="0" borderId="109" xfId="0" applyFont="1" applyBorder="1"/>
    <xf numFmtId="0" fontId="6" fillId="0" borderId="109" xfId="0" applyFont="1" applyBorder="1" applyAlignment="1">
      <alignment wrapText="1"/>
    </xf>
    <xf numFmtId="0" fontId="14" fillId="0" borderId="109" xfId="0" applyFont="1" applyBorder="1"/>
    <xf numFmtId="0" fontId="14" fillId="0" borderId="110" xfId="0" applyFont="1" applyBorder="1"/>
    <xf numFmtId="0" fontId="7" fillId="0" borderId="110" xfId="0" applyFont="1" applyBorder="1" applyAlignment="1">
      <alignment vertical="top" wrapText="1"/>
    </xf>
    <xf numFmtId="0" fontId="6" fillId="0" borderId="110" xfId="0" applyFont="1" applyBorder="1" applyAlignment="1">
      <alignment wrapText="1"/>
    </xf>
    <xf numFmtId="0" fontId="78" fillId="2" borderId="0" xfId="0" applyFont="1" applyFill="1" applyProtection="1">
      <protection locked="0"/>
    </xf>
    <xf numFmtId="0" fontId="74" fillId="0" borderId="73" xfId="0" applyFont="1" applyBorder="1" applyProtection="1">
      <protection locked="0"/>
    </xf>
    <xf numFmtId="0" fontId="86" fillId="0" borderId="4" xfId="0" applyFont="1" applyBorder="1" applyProtection="1">
      <protection locked="0"/>
    </xf>
    <xf numFmtId="0" fontId="76" fillId="0" borderId="4" xfId="0" applyFont="1" applyBorder="1" applyProtection="1">
      <protection locked="0"/>
    </xf>
    <xf numFmtId="0" fontId="118" fillId="6" borderId="0" xfId="0" applyFont="1" applyFill="1"/>
    <xf numFmtId="0" fontId="81" fillId="6" borderId="0" xfId="0" applyFont="1" applyFill="1"/>
    <xf numFmtId="0" fontId="107" fillId="6" borderId="0" xfId="0" applyFont="1" applyFill="1"/>
    <xf numFmtId="0" fontId="76" fillId="6" borderId="0" xfId="0" applyFont="1" applyFill="1"/>
    <xf numFmtId="0" fontId="227" fillId="6" borderId="0" xfId="0" applyFont="1" applyFill="1"/>
    <xf numFmtId="0" fontId="75" fillId="6" borderId="0" xfId="0" applyFont="1" applyFill="1" applyProtection="1">
      <protection hidden="1"/>
    </xf>
    <xf numFmtId="0" fontId="81" fillId="6" borderId="0" xfId="0" applyFont="1" applyFill="1" applyAlignment="1" applyProtection="1">
      <alignment horizontal="center"/>
      <protection hidden="1"/>
    </xf>
    <xf numFmtId="0" fontId="79" fillId="2" borderId="6" xfId="0" applyFont="1" applyFill="1" applyBorder="1" applyProtection="1">
      <protection locked="0"/>
    </xf>
    <xf numFmtId="14" fontId="14" fillId="0" borderId="14" xfId="0" applyNumberFormat="1" applyFont="1" applyBorder="1" applyAlignment="1">
      <alignment horizontal="center"/>
    </xf>
    <xf numFmtId="0" fontId="5" fillId="0" borderId="14" xfId="0" applyFont="1" applyBorder="1"/>
    <xf numFmtId="0" fontId="14" fillId="0" borderId="14" xfId="0" applyFont="1" applyBorder="1"/>
    <xf numFmtId="0" fontId="4" fillId="0" borderId="14" xfId="0" applyFont="1" applyBorder="1" applyAlignment="1">
      <alignment wrapText="1"/>
    </xf>
    <xf numFmtId="14" fontId="3" fillId="0" borderId="109" xfId="0" applyNumberFormat="1" applyFont="1" applyBorder="1" applyAlignment="1">
      <alignment horizontal="center"/>
    </xf>
    <xf numFmtId="0" fontId="3" fillId="0" borderId="109" xfId="0" applyFont="1" applyBorder="1"/>
    <xf numFmtId="0" fontId="3" fillId="0" borderId="109" xfId="0" applyFont="1" applyBorder="1" applyAlignment="1">
      <alignment wrapText="1"/>
    </xf>
    <xf numFmtId="0" fontId="80" fillId="6" borderId="55" xfId="0" applyFont="1" applyFill="1" applyBorder="1" applyAlignment="1">
      <alignment horizontal="left" vertical="top" wrapText="1"/>
    </xf>
    <xf numFmtId="0" fontId="80" fillId="6" borderId="15" xfId="0" applyFont="1" applyFill="1" applyBorder="1" applyAlignment="1">
      <alignment horizontal="left" vertical="top" wrapText="1"/>
    </xf>
    <xf numFmtId="0" fontId="80" fillId="0" borderId="10" xfId="0" applyFont="1" applyBorder="1" applyAlignment="1" applyProtection="1">
      <alignment wrapText="1"/>
      <protection locked="0"/>
    </xf>
    <xf numFmtId="0" fontId="80" fillId="6" borderId="10" xfId="0" applyFont="1" applyFill="1" applyBorder="1" applyAlignment="1">
      <alignment wrapText="1"/>
    </xf>
    <xf numFmtId="0" fontId="81" fillId="0" borderId="9" xfId="0" applyFont="1" applyBorder="1" applyAlignment="1" applyProtection="1">
      <alignment horizontal="left"/>
      <protection locked="0"/>
    </xf>
    <xf numFmtId="0" fontId="2" fillId="0" borderId="108" xfId="0" applyFont="1" applyBorder="1"/>
    <xf numFmtId="14" fontId="2" fillId="0" borderId="107" xfId="0" applyNumberFormat="1" applyFont="1" applyBorder="1" applyAlignment="1">
      <alignment vertical="top" wrapText="1"/>
    </xf>
    <xf numFmtId="0" fontId="2" fillId="0" borderId="107" xfId="0" applyFont="1" applyBorder="1" applyAlignment="1">
      <alignment vertical="top" wrapText="1"/>
    </xf>
    <xf numFmtId="0" fontId="0" fillId="0" borderId="0" xfId="0" applyAlignment="1">
      <alignment vertical="top" wrapText="1" readingOrder="1"/>
    </xf>
    <xf numFmtId="0" fontId="75" fillId="0" borderId="0" xfId="0" applyFont="1" applyAlignment="1">
      <alignment vertical="top" readingOrder="1"/>
    </xf>
    <xf numFmtId="0" fontId="0" fillId="0" borderId="0" xfId="0" applyAlignment="1">
      <alignment vertical="top" readingOrder="1"/>
    </xf>
    <xf numFmtId="0" fontId="77" fillId="0" borderId="0" xfId="0" applyFont="1" applyAlignment="1">
      <alignment vertical="top" wrapText="1" readingOrder="1"/>
    </xf>
    <xf numFmtId="0" fontId="232" fillId="0" borderId="0" xfId="0" applyFont="1" applyAlignment="1">
      <alignment vertical="top" wrapText="1" readingOrder="1"/>
    </xf>
    <xf numFmtId="0" fontId="75" fillId="0" borderId="0" xfId="0" applyFont="1" applyAlignment="1">
      <alignment vertical="top" wrapText="1" readingOrder="1"/>
    </xf>
    <xf numFmtId="0" fontId="77" fillId="0" borderId="0" xfId="0" applyFont="1" applyAlignment="1">
      <alignment vertical="top" readingOrder="1"/>
    </xf>
    <xf numFmtId="0" fontId="232" fillId="0" borderId="0" xfId="0" applyFont="1" applyAlignment="1">
      <alignment vertical="top" readingOrder="1"/>
    </xf>
    <xf numFmtId="0" fontId="75" fillId="0" borderId="0" xfId="2" applyFont="1" applyAlignment="1" applyProtection="1">
      <alignment horizontal="left" vertical="top" readingOrder="1"/>
    </xf>
    <xf numFmtId="0" fontId="75" fillId="54" borderId="0" xfId="2" applyFont="1" applyFill="1" applyAlignment="1" applyProtection="1">
      <alignment horizontal="left" vertical="top" readingOrder="1"/>
    </xf>
    <xf numFmtId="0" fontId="75" fillId="50" borderId="0" xfId="2" applyFont="1" applyFill="1" applyAlignment="1" applyProtection="1">
      <alignment horizontal="left" vertical="top" readingOrder="1"/>
    </xf>
    <xf numFmtId="0" fontId="75" fillId="57" borderId="0" xfId="2" applyFont="1" applyFill="1" applyAlignment="1" applyProtection="1">
      <alignment horizontal="left" vertical="top" readingOrder="1"/>
    </xf>
    <xf numFmtId="0" fontId="75" fillId="31" borderId="0" xfId="2" applyFont="1" applyFill="1" applyAlignment="1" applyProtection="1">
      <alignment horizontal="left" vertical="top" readingOrder="1"/>
    </xf>
    <xf numFmtId="0" fontId="238" fillId="8" borderId="0" xfId="2" applyFont="1" applyFill="1" applyBorder="1" applyAlignment="1" applyProtection="1">
      <alignment horizontal="center" vertical="center" textRotation="255" readingOrder="1"/>
    </xf>
    <xf numFmtId="0" fontId="0" fillId="54" borderId="0" xfId="0" applyFill="1" applyAlignment="1">
      <alignment vertical="top" wrapText="1" readingOrder="1"/>
    </xf>
    <xf numFmtId="0" fontId="75" fillId="54" borderId="0" xfId="0" applyFont="1" applyFill="1" applyAlignment="1">
      <alignment vertical="top" wrapText="1" readingOrder="1"/>
    </xf>
    <xf numFmtId="0" fontId="233" fillId="55" borderId="0" xfId="0" applyFont="1" applyFill="1" applyAlignment="1">
      <alignment vertical="top" wrapText="1" readingOrder="1"/>
    </xf>
    <xf numFmtId="0" fontId="0" fillId="55" borderId="0" xfId="0" applyFill="1" applyAlignment="1">
      <alignment vertical="top" wrapText="1" readingOrder="1"/>
    </xf>
    <xf numFmtId="0" fontId="233" fillId="33" borderId="0" xfId="0" applyFont="1" applyFill="1" applyAlignment="1">
      <alignment vertical="top" wrapText="1" readingOrder="1"/>
    </xf>
    <xf numFmtId="0" fontId="0" fillId="33" borderId="0" xfId="0" applyFill="1" applyAlignment="1">
      <alignment vertical="top" wrapText="1" readingOrder="1"/>
    </xf>
    <xf numFmtId="0" fontId="238" fillId="8" borderId="0" xfId="2" applyFont="1" applyFill="1" applyBorder="1" applyAlignment="1" applyProtection="1">
      <alignment vertical="center" readingOrder="1"/>
    </xf>
    <xf numFmtId="0" fontId="75" fillId="33" borderId="0" xfId="0" applyFont="1" applyFill="1" applyAlignment="1">
      <alignment vertical="top" wrapText="1" readingOrder="1"/>
    </xf>
    <xf numFmtId="0" fontId="238" fillId="8" borderId="0" xfId="2" applyFont="1" applyFill="1" applyBorder="1" applyAlignment="1" applyProtection="1">
      <alignment vertical="center" textRotation="255" wrapText="1" readingOrder="1"/>
    </xf>
    <xf numFmtId="0" fontId="238" fillId="8" borderId="0" xfId="2" applyFont="1" applyFill="1" applyAlignment="1" applyProtection="1">
      <alignment vertical="center" readingOrder="1"/>
    </xf>
    <xf numFmtId="0" fontId="235" fillId="57" borderId="12" xfId="0" applyFont="1" applyFill="1" applyBorder="1" applyAlignment="1">
      <alignment horizontal="center" vertical="center" wrapText="1"/>
    </xf>
    <xf numFmtId="0" fontId="235" fillId="57" borderId="13" xfId="0" applyFont="1" applyFill="1" applyBorder="1" applyAlignment="1">
      <alignment horizontal="center" vertical="center" wrapText="1"/>
    </xf>
    <xf numFmtId="0" fontId="233" fillId="57" borderId="0" xfId="0" applyFont="1" applyFill="1" applyAlignment="1">
      <alignment vertical="top" wrapText="1" readingOrder="1"/>
    </xf>
    <xf numFmtId="0" fontId="233" fillId="56" borderId="0" xfId="0" applyFont="1" applyFill="1" applyAlignment="1">
      <alignment vertical="top" wrapText="1" readingOrder="1"/>
    </xf>
    <xf numFmtId="0" fontId="0" fillId="56" borderId="0" xfId="0" applyFill="1" applyAlignment="1">
      <alignment vertical="top" wrapText="1" readingOrder="1"/>
    </xf>
    <xf numFmtId="0" fontId="0" fillId="0" borderId="0" xfId="0" applyAlignment="1">
      <alignment vertical="center" textRotation="255" wrapText="1" readingOrder="1"/>
    </xf>
    <xf numFmtId="0" fontId="233" fillId="50" borderId="0" xfId="0" applyFont="1" applyFill="1" applyAlignment="1">
      <alignment vertical="top" wrapText="1" readingOrder="1"/>
    </xf>
    <xf numFmtId="0" fontId="77" fillId="0" borderId="0" xfId="0" applyFont="1" applyAlignment="1">
      <alignment vertical="top" wrapText="1"/>
    </xf>
    <xf numFmtId="0" fontId="0" fillId="0" borderId="0" xfId="0" applyAlignment="1">
      <alignment vertical="top" wrapText="1"/>
    </xf>
    <xf numFmtId="0" fontId="233" fillId="31" borderId="0" xfId="0" applyFont="1" applyFill="1" applyAlignment="1">
      <alignment vertical="top" wrapText="1" readingOrder="1"/>
    </xf>
    <xf numFmtId="0" fontId="233" fillId="0" borderId="0" xfId="0" applyFont="1" applyAlignment="1">
      <alignment vertical="top" wrapText="1" readingOrder="1"/>
    </xf>
    <xf numFmtId="0" fontId="0" fillId="50" borderId="0" xfId="0" applyFill="1" applyAlignment="1">
      <alignment vertical="top" wrapText="1" readingOrder="1"/>
    </xf>
    <xf numFmtId="0" fontId="0" fillId="57" borderId="0" xfId="0" applyFill="1" applyAlignment="1">
      <alignment vertical="top" wrapText="1" readingOrder="1"/>
    </xf>
    <xf numFmtId="0" fontId="75" fillId="55" borderId="0" xfId="0" applyFont="1" applyFill="1" applyAlignment="1">
      <alignment vertical="top" wrapText="1" readingOrder="1"/>
    </xf>
    <xf numFmtId="0" fontId="75" fillId="55" borderId="0" xfId="2" applyFont="1" applyFill="1" applyAlignment="1" applyProtection="1">
      <alignment horizontal="left" vertical="top" readingOrder="1"/>
    </xf>
    <xf numFmtId="0" fontId="75" fillId="33" borderId="0" xfId="2" applyFont="1" applyFill="1" applyAlignment="1" applyProtection="1">
      <alignment horizontal="left" vertical="top" readingOrder="1"/>
    </xf>
    <xf numFmtId="0" fontId="75" fillId="56" borderId="0" xfId="2" applyFont="1" applyFill="1" applyAlignment="1" applyProtection="1">
      <alignment horizontal="left" vertical="top" readingOrder="1"/>
    </xf>
    <xf numFmtId="0" fontId="86" fillId="4" borderId="7" xfId="0" applyFont="1" applyFill="1" applyBorder="1" applyAlignment="1" applyProtection="1">
      <alignment horizontal="left"/>
      <protection locked="0"/>
    </xf>
    <xf numFmtId="49" fontId="86" fillId="4" borderId="7" xfId="0" applyNumberFormat="1" applyFont="1" applyFill="1" applyBorder="1" applyAlignment="1" applyProtection="1">
      <alignment horizontal="left"/>
      <protection locked="0"/>
    </xf>
    <xf numFmtId="195" fontId="86" fillId="4" borderId="7" xfId="0" applyNumberFormat="1" applyFont="1" applyFill="1" applyBorder="1" applyAlignment="1" applyProtection="1">
      <alignment horizontal="left"/>
      <protection locked="0"/>
    </xf>
    <xf numFmtId="0" fontId="78" fillId="2" borderId="1" xfId="0" applyFont="1" applyFill="1" applyBorder="1" applyAlignment="1" applyProtection="1">
      <alignment horizontal="center"/>
      <protection hidden="1"/>
    </xf>
    <xf numFmtId="0" fontId="78" fillId="2" borderId="2" xfId="0" applyFont="1" applyFill="1" applyBorder="1" applyAlignment="1" applyProtection="1">
      <alignment horizontal="center"/>
      <protection hidden="1"/>
    </xf>
    <xf numFmtId="0" fontId="78" fillId="2" borderId="3" xfId="0" applyFont="1" applyFill="1" applyBorder="1" applyAlignment="1" applyProtection="1">
      <alignment horizontal="center"/>
      <protection hidden="1"/>
    </xf>
    <xf numFmtId="0" fontId="78" fillId="2" borderId="4" xfId="0" applyFont="1" applyFill="1" applyBorder="1" applyAlignment="1" applyProtection="1">
      <alignment horizontal="center"/>
      <protection hidden="1"/>
    </xf>
    <xf numFmtId="0" fontId="78" fillId="2" borderId="0" xfId="0" applyFont="1" applyFill="1" applyAlignment="1" applyProtection="1">
      <alignment horizontal="center"/>
      <protection hidden="1"/>
    </xf>
    <xf numFmtId="0" fontId="78" fillId="2" borderId="5" xfId="0" applyFont="1" applyFill="1" applyBorder="1" applyAlignment="1" applyProtection="1">
      <alignment horizontal="center"/>
      <protection hidden="1"/>
    </xf>
    <xf numFmtId="0" fontId="68" fillId="3" borderId="9" xfId="0" applyFont="1" applyFill="1" applyBorder="1" applyAlignment="1" applyProtection="1">
      <alignment horizontal="center"/>
      <protection locked="0"/>
    </xf>
    <xf numFmtId="0" fontId="74" fillId="3" borderId="10" xfId="0" applyFont="1" applyFill="1" applyBorder="1" applyAlignment="1" applyProtection="1">
      <alignment horizontal="center"/>
      <protection locked="0"/>
    </xf>
    <xf numFmtId="0" fontId="74" fillId="3" borderId="11" xfId="0" applyFont="1" applyFill="1" applyBorder="1" applyAlignment="1" applyProtection="1">
      <alignment horizontal="center"/>
      <protection locked="0"/>
    </xf>
    <xf numFmtId="0" fontId="58" fillId="3" borderId="12" xfId="0" applyFont="1" applyFill="1" applyBorder="1" applyAlignment="1" applyProtection="1">
      <alignment horizontal="center"/>
      <protection locked="0"/>
    </xf>
    <xf numFmtId="0" fontId="73" fillId="3" borderId="13" xfId="0" applyFont="1" applyFill="1" applyBorder="1" applyAlignment="1" applyProtection="1">
      <alignment horizontal="center"/>
      <protection locked="0"/>
    </xf>
    <xf numFmtId="14" fontId="57" fillId="3" borderId="12" xfId="0" applyNumberFormat="1" applyFont="1" applyFill="1" applyBorder="1" applyAlignment="1" applyProtection="1">
      <alignment horizontal="center"/>
      <protection locked="0"/>
    </xf>
    <xf numFmtId="14" fontId="73" fillId="3" borderId="13" xfId="0" applyNumberFormat="1" applyFont="1" applyFill="1" applyBorder="1" applyAlignment="1" applyProtection="1">
      <alignment horizontal="center"/>
      <protection locked="0"/>
    </xf>
    <xf numFmtId="14" fontId="198" fillId="0" borderId="1" xfId="0" applyNumberFormat="1" applyFont="1" applyBorder="1" applyAlignment="1" applyProtection="1">
      <alignment horizontal="center"/>
      <protection hidden="1"/>
    </xf>
    <xf numFmtId="0" fontId="198" fillId="0" borderId="2" xfId="0" applyFont="1" applyBorder="1" applyAlignment="1">
      <alignment horizontal="center"/>
    </xf>
    <xf numFmtId="0" fontId="0" fillId="0" borderId="2" xfId="0" applyBorder="1"/>
    <xf numFmtId="0" fontId="88" fillId="5" borderId="9" xfId="2" applyFill="1" applyBorder="1" applyAlignment="1" applyProtection="1">
      <alignment horizontal="center" wrapText="1"/>
      <protection locked="0"/>
    </xf>
    <xf numFmtId="0" fontId="88" fillId="5" borderId="10" xfId="2" applyFill="1" applyBorder="1" applyAlignment="1" applyProtection="1">
      <alignment horizontal="center" wrapText="1"/>
      <protection locked="0"/>
    </xf>
    <xf numFmtId="0" fontId="88" fillId="5" borderId="11" xfId="2" applyFill="1" applyBorder="1" applyAlignment="1" applyProtection="1">
      <alignment horizontal="center" wrapText="1"/>
      <protection locked="0"/>
    </xf>
    <xf numFmtId="0" fontId="86" fillId="4" borderId="7" xfId="0" applyFont="1" applyFill="1" applyBorder="1" applyAlignment="1" applyProtection="1">
      <alignment horizontal="left" vertical="top"/>
      <protection locked="0"/>
    </xf>
    <xf numFmtId="49" fontId="88" fillId="4" borderId="7" xfId="2" applyNumberFormat="1" applyFill="1" applyBorder="1" applyAlignment="1" applyProtection="1">
      <alignment horizontal="left"/>
      <protection locked="0"/>
    </xf>
    <xf numFmtId="0" fontId="79" fillId="2" borderId="4" xfId="0" applyFont="1" applyFill="1" applyBorder="1" applyAlignment="1" applyProtection="1">
      <alignment horizontal="center"/>
      <protection hidden="1"/>
    </xf>
    <xf numFmtId="0" fontId="79" fillId="2" borderId="0" xfId="0" applyFont="1" applyFill="1" applyAlignment="1" applyProtection="1">
      <alignment horizontal="center"/>
      <protection hidden="1"/>
    </xf>
    <xf numFmtId="0" fontId="79" fillId="2" borderId="5" xfId="0" applyFont="1" applyFill="1" applyBorder="1" applyAlignment="1" applyProtection="1">
      <alignment horizontal="center"/>
      <protection hidden="1"/>
    </xf>
    <xf numFmtId="0" fontId="88" fillId="0" borderId="10" xfId="2" applyBorder="1" applyAlignment="1" applyProtection="1">
      <protection locked="0"/>
    </xf>
    <xf numFmtId="0" fontId="88" fillId="0" borderId="11" xfId="2" applyBorder="1" applyAlignment="1" applyProtection="1">
      <protection locked="0"/>
    </xf>
    <xf numFmtId="0" fontId="85" fillId="6" borderId="0" xfId="0" applyFont="1" applyFill="1" applyAlignment="1" applyProtection="1">
      <alignment horizontal="left"/>
      <protection hidden="1"/>
    </xf>
    <xf numFmtId="0" fontId="76" fillId="6" borderId="0" xfId="0" applyFont="1" applyFill="1" applyAlignment="1" applyProtection="1">
      <alignment horizontal="left"/>
      <protection hidden="1"/>
    </xf>
    <xf numFmtId="0" fontId="85" fillId="6" borderId="0" xfId="0" applyFont="1" applyFill="1" applyAlignment="1" applyProtection="1">
      <alignment horizontal="center" vertical="center" wrapText="1"/>
      <protection hidden="1"/>
    </xf>
    <xf numFmtId="0" fontId="85" fillId="6" borderId="0" xfId="0" applyFont="1" applyFill="1" applyAlignment="1" applyProtection="1">
      <alignment horizontal="left" vertical="top" wrapText="1"/>
      <protection hidden="1"/>
    </xf>
    <xf numFmtId="0" fontId="60" fillId="20" borderId="63" xfId="0" applyFont="1" applyFill="1" applyBorder="1" applyAlignment="1">
      <alignment horizontal="center"/>
    </xf>
    <xf numFmtId="0" fontId="74" fillId="20" borderId="64" xfId="0" applyFont="1" applyFill="1" applyBorder="1" applyAlignment="1">
      <alignment horizontal="center"/>
    </xf>
    <xf numFmtId="0" fontId="59" fillId="0" borderId="88" xfId="0" applyFont="1" applyBorder="1" applyAlignment="1">
      <alignment horizontal="center"/>
    </xf>
    <xf numFmtId="0" fontId="74" fillId="0" borderId="86" xfId="0" applyFont="1" applyBorder="1" applyAlignment="1">
      <alignment horizontal="center"/>
    </xf>
    <xf numFmtId="0" fontId="86" fillId="6" borderId="0" xfId="0" applyFont="1" applyFill="1" applyAlignment="1">
      <alignment horizontal="center"/>
    </xf>
    <xf numFmtId="0" fontId="88" fillId="20" borderId="9" xfId="2" applyFill="1" applyBorder="1" applyAlignment="1" applyProtection="1">
      <alignment horizontal="center"/>
      <protection locked="0"/>
    </xf>
    <xf numFmtId="0" fontId="88" fillId="20" borderId="10" xfId="2" applyFill="1" applyBorder="1" applyAlignment="1" applyProtection="1">
      <alignment horizontal="center"/>
      <protection locked="0"/>
    </xf>
    <xf numFmtId="0" fontId="88" fillId="20" borderId="11" xfId="2" applyFill="1" applyBorder="1" applyAlignment="1" applyProtection="1">
      <alignment horizontal="center"/>
      <protection locked="0"/>
    </xf>
    <xf numFmtId="0" fontId="128" fillId="0" borderId="0" xfId="0" applyFont="1" applyAlignment="1">
      <alignment horizontal="center" vertical="center" wrapText="1"/>
    </xf>
    <xf numFmtId="0" fontId="81" fillId="11" borderId="68" xfId="0" applyFont="1" applyFill="1" applyBorder="1" applyAlignment="1">
      <alignment horizontal="center" vertical="center" wrapText="1"/>
    </xf>
    <xf numFmtId="0" fontId="81" fillId="11" borderId="19" xfId="0" applyFont="1" applyFill="1" applyBorder="1" applyAlignment="1">
      <alignment horizontal="center" vertical="center" wrapText="1"/>
    </xf>
    <xf numFmtId="0" fontId="81" fillId="11" borderId="95" xfId="0" applyFont="1" applyFill="1" applyBorder="1" applyAlignment="1">
      <alignment horizontal="center" vertical="center" wrapText="1"/>
    </xf>
    <xf numFmtId="0" fontId="81" fillId="11" borderId="81" xfId="0" applyFont="1" applyFill="1" applyBorder="1" applyAlignment="1">
      <alignment horizontal="center" vertical="center" wrapText="1"/>
    </xf>
    <xf numFmtId="0" fontId="81" fillId="11" borderId="65" xfId="0" applyFont="1" applyFill="1" applyBorder="1" applyAlignment="1">
      <alignment horizontal="center" vertical="center" wrapText="1"/>
    </xf>
    <xf numFmtId="0" fontId="81" fillId="11" borderId="69" xfId="0" applyFont="1" applyFill="1" applyBorder="1" applyAlignment="1">
      <alignment horizontal="center" vertical="center" wrapText="1"/>
    </xf>
    <xf numFmtId="0" fontId="81" fillId="11" borderId="70" xfId="0" applyFont="1" applyFill="1" applyBorder="1" applyAlignment="1">
      <alignment horizontal="center" vertical="center" wrapText="1"/>
    </xf>
    <xf numFmtId="0" fontId="81" fillId="11" borderId="84" xfId="0" applyFont="1" applyFill="1" applyBorder="1" applyAlignment="1">
      <alignment horizontal="center" vertical="center" wrapText="1"/>
    </xf>
    <xf numFmtId="0" fontId="74" fillId="6" borderId="1" xfId="0" applyFont="1" applyFill="1" applyBorder="1" applyAlignment="1">
      <alignment horizontal="center"/>
    </xf>
    <xf numFmtId="0" fontId="74" fillId="6" borderId="2" xfId="0" applyFont="1" applyFill="1" applyBorder="1" applyAlignment="1">
      <alignment horizontal="center"/>
    </xf>
    <xf numFmtId="0" fontId="74" fillId="6" borderId="3" xfId="0" applyFont="1" applyFill="1" applyBorder="1" applyAlignment="1">
      <alignment horizontal="center"/>
    </xf>
    <xf numFmtId="0" fontId="74" fillId="6" borderId="4" xfId="0" applyFont="1" applyFill="1" applyBorder="1" applyAlignment="1">
      <alignment horizontal="center"/>
    </xf>
    <xf numFmtId="0" fontId="74" fillId="6" borderId="0" xfId="0" applyFont="1" applyFill="1" applyAlignment="1">
      <alignment horizontal="center"/>
    </xf>
    <xf numFmtId="0" fontId="74" fillId="6" borderId="5" xfId="0" applyFont="1" applyFill="1" applyBorder="1" applyAlignment="1">
      <alignment horizontal="center"/>
    </xf>
    <xf numFmtId="0" fontId="74" fillId="6" borderId="73" xfId="0" applyFont="1" applyFill="1" applyBorder="1" applyAlignment="1">
      <alignment horizontal="center"/>
    </xf>
    <xf numFmtId="0" fontId="74" fillId="6" borderId="61" xfId="0" applyFont="1" applyFill="1" applyBorder="1" applyAlignment="1">
      <alignment horizontal="center"/>
    </xf>
    <xf numFmtId="0" fontId="74" fillId="6" borderId="74" xfId="0" applyFont="1" applyFill="1" applyBorder="1" applyAlignment="1">
      <alignment horizontal="center"/>
    </xf>
    <xf numFmtId="0" fontId="150" fillId="6" borderId="7" xfId="0" applyFont="1" applyFill="1" applyBorder="1" applyAlignment="1">
      <alignment horizontal="left"/>
    </xf>
    <xf numFmtId="0" fontId="150" fillId="6" borderId="59" xfId="0" applyFont="1" applyFill="1" applyBorder="1" applyAlignment="1">
      <alignment horizontal="left"/>
    </xf>
    <xf numFmtId="0" fontId="60" fillId="20" borderId="51" xfId="0" applyFont="1" applyFill="1" applyBorder="1" applyAlignment="1">
      <alignment horizontal="center"/>
    </xf>
    <xf numFmtId="0" fontId="74" fillId="20" borderId="89" xfId="0" applyFont="1" applyFill="1" applyBorder="1" applyAlignment="1">
      <alignment horizontal="center"/>
    </xf>
    <xf numFmtId="0" fontId="59" fillId="0" borderId="85" xfId="0" applyFont="1" applyBorder="1" applyAlignment="1">
      <alignment horizontal="center"/>
    </xf>
    <xf numFmtId="0" fontId="74" fillId="0" borderId="50" xfId="0" applyFont="1" applyBorder="1" applyAlignment="1">
      <alignment horizontal="center"/>
    </xf>
    <xf numFmtId="173" fontId="74" fillId="0" borderId="14" xfId="0" applyNumberFormat="1" applyFont="1" applyBorder="1" applyAlignment="1">
      <alignment horizontal="center"/>
    </xf>
    <xf numFmtId="165" fontId="60" fillId="6" borderId="14" xfId="3" applyNumberFormat="1" applyFont="1" applyFill="1" applyBorder="1" applyAlignment="1" applyProtection="1">
      <alignment horizontal="center" vertical="center"/>
    </xf>
    <xf numFmtId="165" fontId="74" fillId="0" borderId="14" xfId="3" applyNumberFormat="1" applyFont="1" applyBorder="1" applyAlignment="1" applyProtection="1">
      <alignment horizontal="center" vertical="center"/>
    </xf>
    <xf numFmtId="2" fontId="74" fillId="0" borderId="19" xfId="0" applyNumberFormat="1" applyFont="1" applyBorder="1" applyAlignment="1">
      <alignment horizontal="center"/>
    </xf>
    <xf numFmtId="2" fontId="74" fillId="0" borderId="23" xfId="0" applyNumberFormat="1" applyFont="1" applyBorder="1" applyAlignment="1">
      <alignment horizontal="center"/>
    </xf>
    <xf numFmtId="183" fontId="80" fillId="35" borderId="9" xfId="3" applyNumberFormat="1" applyFont="1" applyFill="1" applyBorder="1" applyAlignment="1" applyProtection="1">
      <alignment horizontal="center" vertical="center"/>
    </xf>
    <xf numFmtId="183" fontId="80" fillId="35" borderId="11" xfId="3" applyNumberFormat="1" applyFont="1" applyFill="1" applyBorder="1" applyAlignment="1" applyProtection="1">
      <alignment horizontal="center" vertical="center"/>
    </xf>
    <xf numFmtId="173" fontId="74" fillId="0" borderId="12" xfId="0" applyNumberFormat="1" applyFont="1" applyBorder="1" applyAlignment="1">
      <alignment horizontal="center"/>
    </xf>
    <xf numFmtId="173" fontId="74" fillId="0" borderId="13" xfId="0" applyNumberFormat="1" applyFont="1" applyBorder="1" applyAlignment="1">
      <alignment horizontal="center"/>
    </xf>
    <xf numFmtId="185" fontId="193" fillId="30" borderId="12" xfId="3" applyNumberFormat="1" applyFont="1" applyFill="1" applyBorder="1" applyAlignment="1" applyProtection="1">
      <alignment horizontal="center" vertical="center"/>
    </xf>
    <xf numFmtId="185" fontId="193" fillId="30" borderId="13" xfId="3" applyNumberFormat="1" applyFont="1" applyFill="1" applyBorder="1" applyAlignment="1" applyProtection="1">
      <alignment horizontal="center" vertical="center"/>
    </xf>
    <xf numFmtId="173" fontId="74" fillId="0" borderId="23" xfId="0" applyNumberFormat="1" applyFont="1" applyBorder="1" applyAlignment="1">
      <alignment horizontal="center"/>
    </xf>
    <xf numFmtId="10" fontId="74" fillId="26" borderId="90" xfId="4" applyNumberFormat="1" applyFont="1" applyFill="1" applyBorder="1" applyAlignment="1" applyProtection="1">
      <alignment horizontal="center"/>
    </xf>
    <xf numFmtId="10" fontId="74" fillId="26" borderId="77" xfId="4" applyNumberFormat="1" applyFont="1" applyFill="1" applyBorder="1" applyAlignment="1" applyProtection="1">
      <alignment horizontal="center"/>
    </xf>
    <xf numFmtId="10" fontId="74" fillId="26" borderId="45" xfId="4" applyNumberFormat="1" applyFont="1" applyFill="1" applyBorder="1" applyAlignment="1" applyProtection="1">
      <alignment horizontal="center"/>
    </xf>
    <xf numFmtId="10" fontId="74" fillId="26" borderId="28" xfId="4" applyNumberFormat="1" applyFont="1" applyFill="1" applyBorder="1" applyAlignment="1" applyProtection="1">
      <alignment horizontal="center"/>
    </xf>
    <xf numFmtId="184" fontId="113" fillId="35" borderId="9" xfId="0" applyNumberFormat="1" applyFont="1" applyFill="1" applyBorder="1" applyAlignment="1">
      <alignment horizontal="center"/>
    </xf>
    <xf numFmtId="184" fontId="113" fillId="35" borderId="10" xfId="0" applyNumberFormat="1" applyFont="1" applyFill="1" applyBorder="1" applyAlignment="1">
      <alignment horizontal="center"/>
    </xf>
    <xf numFmtId="184" fontId="113" fillId="35" borderId="11" xfId="0" applyNumberFormat="1" applyFont="1" applyFill="1" applyBorder="1" applyAlignment="1">
      <alignment horizontal="center"/>
    </xf>
    <xf numFmtId="0" fontId="81" fillId="28" borderId="71" xfId="0" applyFont="1" applyFill="1" applyBorder="1" applyAlignment="1">
      <alignment horizontal="center" vertical="top" wrapText="1"/>
    </xf>
    <xf numFmtId="0" fontId="81" fillId="28" borderId="84" xfId="0" applyFont="1" applyFill="1" applyBorder="1" applyAlignment="1">
      <alignment horizontal="center" vertical="top" wrapText="1"/>
    </xf>
    <xf numFmtId="0" fontId="81" fillId="36" borderId="0" xfId="0" applyFont="1" applyFill="1" applyAlignment="1">
      <alignment horizontal="left" vertical="center"/>
    </xf>
    <xf numFmtId="0" fontId="207" fillId="20" borderId="57" xfId="0" applyFont="1" applyFill="1" applyBorder="1" applyAlignment="1">
      <alignment horizontal="center" vertical="center" wrapText="1"/>
    </xf>
    <xf numFmtId="0" fontId="207" fillId="20" borderId="56" xfId="0" applyFont="1" applyFill="1" applyBorder="1" applyAlignment="1">
      <alignment horizontal="center" vertical="center" wrapText="1"/>
    </xf>
    <xf numFmtId="0" fontId="207" fillId="20" borderId="58" xfId="0" applyFont="1" applyFill="1" applyBorder="1" applyAlignment="1">
      <alignment horizontal="center" vertical="center" wrapText="1"/>
    </xf>
    <xf numFmtId="0" fontId="81" fillId="37" borderId="67" xfId="0" applyFont="1" applyFill="1" applyBorder="1" applyAlignment="1">
      <alignment horizontal="center" vertical="center" wrapText="1"/>
    </xf>
    <xf numFmtId="0" fontId="81" fillId="37" borderId="78" xfId="0" applyFont="1" applyFill="1" applyBorder="1" applyAlignment="1">
      <alignment horizontal="center" vertical="center" wrapText="1"/>
    </xf>
    <xf numFmtId="0" fontId="0" fillId="37" borderId="83" xfId="0" applyFill="1" applyBorder="1" applyAlignment="1">
      <alignment horizontal="center" vertical="center" wrapText="1"/>
    </xf>
    <xf numFmtId="0" fontId="80" fillId="0" borderId="61" xfId="0" applyFont="1" applyBorder="1" applyAlignment="1">
      <alignment horizontal="center"/>
    </xf>
    <xf numFmtId="0" fontId="80" fillId="0" borderId="62" xfId="0" applyFont="1" applyBorder="1" applyAlignment="1">
      <alignment horizontal="center"/>
    </xf>
    <xf numFmtId="0" fontId="93" fillId="11" borderId="12" xfId="0" applyFont="1" applyFill="1" applyBorder="1" applyAlignment="1">
      <alignment horizontal="center" vertical="center" wrapText="1"/>
    </xf>
    <xf numFmtId="0" fontId="93" fillId="11" borderId="92" xfId="0" applyFont="1" applyFill="1" applyBorder="1" applyAlignment="1">
      <alignment horizontal="center" vertical="center" wrapText="1"/>
    </xf>
    <xf numFmtId="0" fontId="81" fillId="28" borderId="12" xfId="0" applyFont="1" applyFill="1" applyBorder="1" applyAlignment="1">
      <alignment horizontal="center" vertical="top" wrapText="1"/>
    </xf>
    <xf numFmtId="0" fontId="81" fillId="28" borderId="13" xfId="0" applyFont="1" applyFill="1" applyBorder="1" applyAlignment="1">
      <alignment horizontal="center" vertical="top" wrapText="1"/>
    </xf>
    <xf numFmtId="0" fontId="78" fillId="7" borderId="60" xfId="6" applyFont="1" applyFill="1" applyBorder="1" applyAlignment="1" applyProtection="1">
      <alignment horizontal="left" vertical="center"/>
    </xf>
    <xf numFmtId="0" fontId="78" fillId="7" borderId="61" xfId="6" applyFont="1" applyFill="1" applyBorder="1" applyAlignment="1" applyProtection="1">
      <alignment horizontal="left" vertical="center"/>
    </xf>
    <xf numFmtId="0" fontId="75" fillId="0" borderId="61" xfId="0" applyFont="1" applyBorder="1" applyAlignment="1">
      <alignment horizontal="left" vertical="center"/>
    </xf>
    <xf numFmtId="0" fontId="75" fillId="0" borderId="62" xfId="0" applyFont="1" applyBorder="1" applyAlignment="1">
      <alignment horizontal="left" vertical="center"/>
    </xf>
    <xf numFmtId="0" fontId="81" fillId="7" borderId="9" xfId="6" applyFont="1" applyFill="1" applyBorder="1" applyAlignment="1" applyProtection="1">
      <alignment horizontal="left" vertical="center"/>
    </xf>
    <xf numFmtId="0" fontId="81" fillId="7" borderId="10" xfId="6" applyFont="1" applyFill="1" applyBorder="1" applyAlignment="1" applyProtection="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49" fontId="80" fillId="33" borderId="12" xfId="0" applyNumberFormat="1" applyFont="1" applyFill="1" applyBorder="1" applyAlignment="1" applyProtection="1">
      <alignment horizontal="left" vertical="center"/>
      <protection locked="0"/>
    </xf>
    <xf numFmtId="49" fontId="80" fillId="33" borderId="18" xfId="0" applyNumberFormat="1" applyFont="1" applyFill="1" applyBorder="1" applyAlignment="1" applyProtection="1">
      <alignment horizontal="left" vertical="center"/>
      <protection locked="0"/>
    </xf>
    <xf numFmtId="49" fontId="80" fillId="33" borderId="13" xfId="0" applyNumberFormat="1" applyFont="1" applyFill="1" applyBorder="1" applyAlignment="1" applyProtection="1">
      <alignment horizontal="left" vertical="center"/>
      <protection locked="0"/>
    </xf>
    <xf numFmtId="0" fontId="80" fillId="15" borderId="12" xfId="0" applyFont="1" applyFill="1" applyBorder="1" applyAlignment="1" applyProtection="1">
      <alignment horizontal="left" vertical="center"/>
      <protection locked="0"/>
    </xf>
    <xf numFmtId="0" fontId="80" fillId="15" borderId="18" xfId="0" applyFont="1" applyFill="1" applyBorder="1" applyAlignment="1" applyProtection="1">
      <alignment horizontal="left" vertical="center"/>
      <protection locked="0"/>
    </xf>
    <xf numFmtId="0" fontId="80" fillId="15" borderId="13" xfId="0" applyFont="1" applyFill="1" applyBorder="1" applyAlignment="1" applyProtection="1">
      <alignment horizontal="left" vertical="center"/>
      <protection locked="0"/>
    </xf>
    <xf numFmtId="0" fontId="80" fillId="6" borderId="9" xfId="0" applyFont="1" applyFill="1" applyBorder="1" applyAlignment="1" applyProtection="1">
      <alignment horizontal="left" wrapText="1"/>
      <protection locked="0"/>
    </xf>
    <xf numFmtId="0" fontId="80" fillId="6" borderId="77" xfId="0" applyFont="1" applyFill="1" applyBorder="1" applyAlignment="1" applyProtection="1">
      <alignment horizontal="left" wrapText="1"/>
      <protection locked="0"/>
    </xf>
    <xf numFmtId="0" fontId="80" fillId="0" borderId="9" xfId="0" applyFont="1" applyBorder="1" applyAlignment="1">
      <alignment horizontal="left" vertical="top" wrapText="1"/>
    </xf>
    <xf numFmtId="0" fontId="80" fillId="0" borderId="77" xfId="0" applyFont="1" applyBorder="1" applyAlignment="1">
      <alignment horizontal="left" vertical="top" wrapText="1"/>
    </xf>
    <xf numFmtId="186" fontId="98" fillId="19" borderId="12" xfId="0" applyNumberFormat="1" applyFont="1" applyFill="1" applyBorder="1" applyAlignment="1">
      <alignment horizontal="center"/>
    </xf>
    <xf numFmtId="186" fontId="98" fillId="19" borderId="18" xfId="0" applyNumberFormat="1" applyFont="1" applyFill="1" applyBorder="1" applyAlignment="1">
      <alignment horizontal="center"/>
    </xf>
    <xf numFmtId="186" fontId="98" fillId="19" borderId="13" xfId="0" applyNumberFormat="1" applyFont="1" applyFill="1" applyBorder="1" applyAlignment="1">
      <alignment horizontal="center"/>
    </xf>
    <xf numFmtId="0" fontId="192" fillId="34" borderId="0" xfId="0" applyFont="1" applyFill="1" applyAlignment="1">
      <alignment horizontal="center" wrapText="1"/>
    </xf>
    <xf numFmtId="0" fontId="150" fillId="6" borderId="0" xfId="0" applyFont="1" applyFill="1" applyAlignment="1">
      <alignment horizontal="left"/>
    </xf>
    <xf numFmtId="0" fontId="150" fillId="6" borderId="43" xfId="0" applyFont="1" applyFill="1" applyBorder="1" applyAlignment="1">
      <alignment horizontal="left"/>
    </xf>
    <xf numFmtId="0" fontId="81" fillId="28" borderId="1" xfId="0" applyFont="1" applyFill="1" applyBorder="1" applyAlignment="1">
      <alignment horizontal="center" vertical="top" wrapText="1"/>
    </xf>
    <xf numFmtId="0" fontId="81" fillId="28" borderId="73" xfId="0" applyFont="1" applyFill="1" applyBorder="1" applyAlignment="1">
      <alignment horizontal="center" vertical="top" wrapText="1"/>
    </xf>
    <xf numFmtId="0" fontId="192" fillId="29" borderId="0" xfId="0" applyFont="1" applyFill="1" applyAlignment="1">
      <alignment horizontal="center" wrapText="1"/>
    </xf>
    <xf numFmtId="0" fontId="113" fillId="20" borderId="0" xfId="0" applyFont="1" applyFill="1" applyAlignment="1">
      <alignment horizontal="center"/>
    </xf>
    <xf numFmtId="186" fontId="85" fillId="11" borderId="12" xfId="0" applyNumberFormat="1" applyFont="1" applyFill="1" applyBorder="1" applyAlignment="1">
      <alignment horizontal="center"/>
    </xf>
    <xf numFmtId="186" fontId="85" fillId="11" borderId="18" xfId="0" applyNumberFormat="1" applyFont="1" applyFill="1" applyBorder="1" applyAlignment="1">
      <alignment horizontal="center"/>
    </xf>
    <xf numFmtId="186" fontId="85" fillId="11" borderId="13" xfId="0" applyNumberFormat="1" applyFont="1" applyFill="1" applyBorder="1" applyAlignment="1">
      <alignment horizontal="center"/>
    </xf>
    <xf numFmtId="186" fontId="91" fillId="31" borderId="12" xfId="0" applyNumberFormat="1" applyFont="1" applyFill="1" applyBorder="1" applyAlignment="1">
      <alignment horizontal="center"/>
    </xf>
    <xf numFmtId="186" fontId="91" fillId="31" borderId="18" xfId="0" applyNumberFormat="1" applyFont="1" applyFill="1" applyBorder="1" applyAlignment="1">
      <alignment horizontal="center"/>
    </xf>
    <xf numFmtId="186" fontId="91" fillId="31" borderId="13" xfId="0" applyNumberFormat="1" applyFont="1" applyFill="1" applyBorder="1" applyAlignment="1">
      <alignment horizontal="center"/>
    </xf>
    <xf numFmtId="0" fontId="80" fillId="6" borderId="4" xfId="0" applyFont="1" applyFill="1" applyBorder="1" applyAlignment="1">
      <alignment horizontal="center" vertical="top" wrapText="1"/>
    </xf>
    <xf numFmtId="0" fontId="80" fillId="6" borderId="0" xfId="0" applyFont="1" applyFill="1" applyAlignment="1">
      <alignment horizontal="center" vertical="top" wrapText="1"/>
    </xf>
    <xf numFmtId="0" fontId="81" fillId="11" borderId="96" xfId="0" applyFont="1" applyFill="1" applyBorder="1" applyAlignment="1">
      <alignment horizontal="center" vertical="center" wrapText="1"/>
    </xf>
    <xf numFmtId="0" fontId="81" fillId="11" borderId="8" xfId="0" applyFont="1" applyFill="1" applyBorder="1" applyAlignment="1">
      <alignment horizontal="center" vertical="center" wrapText="1"/>
    </xf>
    <xf numFmtId="0" fontId="80" fillId="31" borderId="0" xfId="0" applyFont="1" applyFill="1" applyAlignment="1">
      <alignment horizontal="right"/>
    </xf>
    <xf numFmtId="0" fontId="80" fillId="31" borderId="5" xfId="0" applyFont="1" applyFill="1" applyBorder="1" applyAlignment="1">
      <alignment horizontal="right"/>
    </xf>
    <xf numFmtId="0" fontId="81" fillId="6" borderId="72" xfId="0" applyFont="1" applyFill="1" applyBorder="1" applyAlignment="1">
      <alignment horizontal="left" vertical="center" wrapText="1"/>
    </xf>
    <xf numFmtId="0" fontId="81" fillId="6" borderId="18" xfId="0" applyFont="1" applyFill="1" applyBorder="1" applyAlignment="1">
      <alignment horizontal="left" vertical="center" wrapText="1"/>
    </xf>
    <xf numFmtId="0" fontId="81" fillId="6" borderId="13" xfId="0" applyFont="1" applyFill="1" applyBorder="1" applyAlignment="1">
      <alignment horizontal="left" vertical="center" wrapText="1"/>
    </xf>
    <xf numFmtId="0" fontId="80" fillId="6" borderId="0" xfId="0" applyFont="1" applyFill="1" applyAlignment="1">
      <alignment horizontal="center" wrapText="1"/>
    </xf>
    <xf numFmtId="4" fontId="208" fillId="7" borderId="0" xfId="0" applyNumberFormat="1" applyFont="1" applyFill="1" applyAlignment="1">
      <alignment horizontal="center" wrapText="1"/>
    </xf>
    <xf numFmtId="0" fontId="208" fillId="7" borderId="0" xfId="0" applyFont="1" applyFill="1" applyAlignment="1">
      <alignment horizontal="center" wrapText="1"/>
    </xf>
    <xf numFmtId="4" fontId="209" fillId="7" borderId="0" xfId="0" applyNumberFormat="1" applyFont="1" applyFill="1" applyAlignment="1">
      <alignment horizontal="center" wrapText="1"/>
    </xf>
    <xf numFmtId="0" fontId="209" fillId="7" borderId="0" xfId="0" applyFont="1" applyFill="1" applyAlignment="1">
      <alignment horizontal="center" wrapText="1"/>
    </xf>
    <xf numFmtId="4" fontId="210" fillId="7" borderId="0" xfId="0" applyNumberFormat="1" applyFont="1" applyFill="1" applyAlignment="1">
      <alignment horizontal="center" wrapText="1"/>
    </xf>
    <xf numFmtId="0" fontId="210" fillId="7" borderId="0" xfId="0" applyFont="1" applyFill="1" applyAlignment="1">
      <alignment horizontal="center" wrapText="1"/>
    </xf>
    <xf numFmtId="0" fontId="48" fillId="6" borderId="0" xfId="0" applyFont="1" applyFill="1" applyAlignment="1">
      <alignment horizontal="center"/>
    </xf>
    <xf numFmtId="173" fontId="80" fillId="6" borderId="23" xfId="0" applyNumberFormat="1" applyFont="1" applyFill="1" applyBorder="1" applyAlignment="1">
      <alignment horizontal="center" wrapText="1"/>
    </xf>
    <xf numFmtId="173" fontId="80" fillId="6" borderId="24" xfId="0" applyNumberFormat="1" applyFont="1" applyFill="1" applyBorder="1" applyAlignment="1">
      <alignment horizontal="center" wrapText="1"/>
    </xf>
    <xf numFmtId="0" fontId="190" fillId="15" borderId="44" xfId="0" applyFont="1" applyFill="1" applyBorder="1" applyAlignment="1">
      <alignment horizontal="left" vertical="center" wrapText="1"/>
    </xf>
    <xf numFmtId="0" fontId="190" fillId="15" borderId="0" xfId="0" applyFont="1" applyFill="1" applyAlignment="1">
      <alignment horizontal="left" vertical="center" wrapText="1"/>
    </xf>
    <xf numFmtId="0" fontId="221" fillId="11" borderId="12" xfId="0" applyFont="1" applyFill="1" applyBorder="1" applyAlignment="1">
      <alignment horizontal="center" vertical="center" wrapText="1"/>
    </xf>
    <xf numFmtId="0" fontId="221" fillId="11" borderId="18" xfId="0" applyFont="1" applyFill="1" applyBorder="1" applyAlignment="1">
      <alignment horizontal="center" vertical="center" wrapText="1"/>
    </xf>
    <xf numFmtId="0" fontId="221" fillId="11" borderId="13" xfId="0" applyFont="1" applyFill="1" applyBorder="1" applyAlignment="1">
      <alignment horizontal="center" vertical="center" wrapText="1"/>
    </xf>
    <xf numFmtId="0" fontId="222" fillId="31" borderId="0" xfId="0" applyFont="1" applyFill="1" applyAlignment="1">
      <alignment horizontal="center" vertical="center" wrapText="1"/>
    </xf>
    <xf numFmtId="0" fontId="223" fillId="19" borderId="0" xfId="0" applyFont="1" applyFill="1" applyAlignment="1">
      <alignment horizontal="center" vertical="center" wrapText="1"/>
    </xf>
    <xf numFmtId="0" fontId="80" fillId="6" borderId="1" xfId="0" applyFont="1" applyFill="1" applyBorder="1" applyAlignment="1">
      <alignment horizontal="center" wrapText="1"/>
    </xf>
    <xf numFmtId="0" fontId="80" fillId="6" borderId="6" xfId="0" applyFont="1" applyFill="1" applyBorder="1" applyAlignment="1">
      <alignment horizontal="center" wrapText="1"/>
    </xf>
    <xf numFmtId="0" fontId="80" fillId="11" borderId="68" xfId="0" applyFont="1" applyFill="1" applyBorder="1" applyAlignment="1">
      <alignment horizontal="center" vertical="center" wrapText="1"/>
    </xf>
    <xf numFmtId="0" fontId="80" fillId="11" borderId="19" xfId="0" applyFont="1" applyFill="1" applyBorder="1" applyAlignment="1">
      <alignment horizontal="center" vertical="center" wrapText="1"/>
    </xf>
    <xf numFmtId="0" fontId="80" fillId="11" borderId="95" xfId="0" applyFont="1" applyFill="1" applyBorder="1" applyAlignment="1">
      <alignment horizontal="center" vertical="center" wrapText="1"/>
    </xf>
    <xf numFmtId="0" fontId="80" fillId="0" borderId="2" xfId="0" applyFont="1" applyBorder="1" applyAlignment="1">
      <alignment horizontal="left" vertical="center" wrapText="1"/>
    </xf>
    <xf numFmtId="0" fontId="80" fillId="0" borderId="3" xfId="0" applyFont="1" applyBorder="1" applyAlignment="1">
      <alignment horizontal="left" vertical="center" wrapText="1"/>
    </xf>
    <xf numFmtId="0" fontId="80" fillId="0" borderId="18" xfId="0" applyFont="1" applyBorder="1" applyAlignment="1">
      <alignment horizontal="left" vertical="center" wrapText="1"/>
    </xf>
    <xf numFmtId="0" fontId="80" fillId="0" borderId="13" xfId="0" applyFont="1" applyBorder="1" applyAlignment="1">
      <alignment horizontal="left" vertical="center" wrapText="1"/>
    </xf>
    <xf numFmtId="0" fontId="80" fillId="0" borderId="23" xfId="0" applyFont="1" applyBorder="1" applyAlignment="1">
      <alignment horizontal="center" vertical="center" wrapText="1"/>
    </xf>
    <xf numFmtId="0" fontId="80" fillId="0" borderId="24" xfId="0" applyFont="1" applyBorder="1" applyAlignment="1">
      <alignment horizontal="center" vertical="center"/>
    </xf>
    <xf numFmtId="0" fontId="81" fillId="28" borderId="82" xfId="0" applyFont="1" applyFill="1" applyBorder="1" applyAlignment="1">
      <alignment horizontal="center" vertical="top" wrapText="1"/>
    </xf>
    <xf numFmtId="0" fontId="81" fillId="28" borderId="83" xfId="0" applyFont="1" applyFill="1" applyBorder="1" applyAlignment="1">
      <alignment horizontal="center" vertical="top" wrapText="1"/>
    </xf>
    <xf numFmtId="0" fontId="81" fillId="28" borderId="81" xfId="0" applyFont="1" applyFill="1" applyBorder="1" applyAlignment="1">
      <alignment horizontal="center" vertical="center"/>
    </xf>
    <xf numFmtId="0" fontId="81" fillId="28" borderId="63" xfId="0" applyFont="1" applyFill="1" applyBorder="1" applyAlignment="1">
      <alignment horizontal="center" vertical="center"/>
    </xf>
    <xf numFmtId="0" fontId="81" fillId="28" borderId="3" xfId="0" applyFont="1" applyFill="1" applyBorder="1" applyAlignment="1">
      <alignment horizontal="center" vertical="top" wrapText="1"/>
    </xf>
    <xf numFmtId="0" fontId="81" fillId="28" borderId="74" xfId="0" applyFont="1" applyFill="1" applyBorder="1" applyAlignment="1">
      <alignment horizontal="center" vertical="top" wrapText="1"/>
    </xf>
    <xf numFmtId="0" fontId="117" fillId="28" borderId="79" xfId="0" applyFont="1" applyFill="1" applyBorder="1" applyAlignment="1">
      <alignment horizontal="center" vertical="center" wrapText="1"/>
    </xf>
    <xf numFmtId="0" fontId="81" fillId="28" borderId="64" xfId="0" applyFont="1" applyFill="1" applyBorder="1" applyAlignment="1">
      <alignment horizontal="center" vertical="center" wrapText="1"/>
    </xf>
    <xf numFmtId="0" fontId="81" fillId="11" borderId="67" xfId="0" applyFont="1" applyFill="1" applyBorder="1" applyAlignment="1">
      <alignment horizontal="center" vertical="center" wrapText="1"/>
    </xf>
    <xf numFmtId="0" fontId="81" fillId="11" borderId="78" xfId="0" applyFont="1" applyFill="1" applyBorder="1" applyAlignment="1">
      <alignment horizontal="center" vertical="center" wrapText="1"/>
    </xf>
    <xf numFmtId="0" fontId="0" fillId="0" borderId="83" xfId="0" applyBorder="1" applyAlignment="1">
      <alignment horizontal="center" vertical="center" wrapText="1"/>
    </xf>
    <xf numFmtId="0" fontId="81" fillId="11" borderId="80" xfId="0" applyFont="1" applyFill="1" applyBorder="1" applyAlignment="1">
      <alignment horizontal="center" vertical="center" wrapText="1"/>
    </xf>
    <xf numFmtId="0" fontId="81" fillId="11" borderId="58" xfId="0" applyFont="1" applyFill="1" applyBorder="1" applyAlignment="1">
      <alignment horizontal="center" vertical="center" wrapText="1"/>
    </xf>
    <xf numFmtId="0" fontId="80" fillId="0" borderId="9" xfId="0" applyFont="1" applyBorder="1" applyAlignment="1">
      <alignment horizontal="left" wrapText="1"/>
    </xf>
    <xf numFmtId="0" fontId="80" fillId="0" borderId="11" xfId="0" applyFont="1" applyBorder="1" applyAlignment="1">
      <alignment horizontal="left" wrapText="1"/>
    </xf>
    <xf numFmtId="167" fontId="127" fillId="12" borderId="0" xfId="0" applyNumberFormat="1" applyFont="1" applyFill="1" applyAlignment="1" applyProtection="1">
      <alignment horizontal="center" vertical="center" wrapText="1"/>
      <protection hidden="1"/>
    </xf>
    <xf numFmtId="0" fontId="41" fillId="6" borderId="0" xfId="0" applyFont="1" applyFill="1" applyAlignment="1" applyProtection="1">
      <alignment horizontal="left" vertical="center" wrapText="1"/>
      <protection hidden="1"/>
    </xf>
    <xf numFmtId="0" fontId="41" fillId="6" borderId="5" xfId="0" applyFont="1" applyFill="1" applyBorder="1" applyAlignment="1" applyProtection="1">
      <alignment horizontal="left" vertical="center" wrapText="1"/>
      <protection hidden="1"/>
    </xf>
    <xf numFmtId="0" fontId="45" fillId="6" borderId="0" xfId="0" applyFont="1" applyFill="1" applyAlignment="1" applyProtection="1">
      <alignment horizontal="left" vertical="center" wrapText="1"/>
      <protection hidden="1"/>
    </xf>
    <xf numFmtId="0" fontId="45" fillId="6" borderId="5" xfId="0" applyFont="1" applyFill="1" applyBorder="1" applyAlignment="1" applyProtection="1">
      <alignment horizontal="left" vertical="center" wrapText="1"/>
      <protection hidden="1"/>
    </xf>
    <xf numFmtId="0" fontId="100" fillId="7" borderId="0" xfId="0" applyFont="1" applyFill="1" applyAlignment="1" applyProtection="1">
      <alignment horizontal="center" vertical="center" wrapText="1"/>
      <protection hidden="1"/>
    </xf>
    <xf numFmtId="0" fontId="100" fillId="7" borderId="5" xfId="0" applyFont="1" applyFill="1" applyBorder="1" applyAlignment="1" applyProtection="1">
      <alignment horizontal="center" vertical="center" wrapText="1"/>
      <protection hidden="1"/>
    </xf>
    <xf numFmtId="0" fontId="107" fillId="7" borderId="0" xfId="0" applyFont="1" applyFill="1" applyAlignment="1" applyProtection="1">
      <alignment horizontal="left" vertical="top" wrapText="1"/>
      <protection hidden="1"/>
    </xf>
    <xf numFmtId="0" fontId="107" fillId="7" borderId="5" xfId="0" applyFont="1" applyFill="1" applyBorder="1" applyAlignment="1" applyProtection="1">
      <alignment horizontal="left" vertical="top" wrapText="1"/>
      <protection hidden="1"/>
    </xf>
    <xf numFmtId="0" fontId="17" fillId="6" borderId="0" xfId="0" applyFont="1" applyFill="1" applyAlignment="1" applyProtection="1">
      <alignment horizontal="left" vertical="center" wrapText="1"/>
      <protection hidden="1"/>
    </xf>
    <xf numFmtId="0" fontId="0" fillId="0" borderId="2" xfId="0" applyBorder="1" applyProtection="1">
      <protection hidden="1"/>
    </xf>
    <xf numFmtId="0" fontId="0" fillId="0" borderId="3" xfId="0" applyBorder="1" applyProtection="1">
      <protection hidden="1"/>
    </xf>
    <xf numFmtId="0" fontId="0" fillId="0" borderId="0" xfId="0" applyProtection="1">
      <protection hidden="1"/>
    </xf>
    <xf numFmtId="0" fontId="0" fillId="0" borderId="5" xfId="0" applyBorder="1" applyProtection="1">
      <protection hidden="1"/>
    </xf>
    <xf numFmtId="0" fontId="87" fillId="13" borderId="19" xfId="0" applyFont="1" applyFill="1" applyBorder="1" applyAlignment="1">
      <alignment horizontal="center" wrapText="1"/>
    </xf>
    <xf numFmtId="0" fontId="102" fillId="0" borderId="23" xfId="0" applyFont="1" applyBorder="1" applyAlignment="1" applyProtection="1">
      <alignment horizontal="center" vertical="center" textRotation="90" wrapText="1"/>
      <protection hidden="1"/>
    </xf>
    <xf numFmtId="0" fontId="102" fillId="0" borderId="19" xfId="0" applyFont="1" applyBorder="1" applyAlignment="1" applyProtection="1">
      <alignment horizontal="center" vertical="center" textRotation="90" wrapText="1"/>
      <protection hidden="1"/>
    </xf>
    <xf numFmtId="0" fontId="102" fillId="0" borderId="24" xfId="0" applyFont="1" applyBorder="1" applyAlignment="1" applyProtection="1">
      <alignment horizontal="center" vertical="center" textRotation="90" wrapText="1"/>
      <protection hidden="1"/>
    </xf>
    <xf numFmtId="0" fontId="86" fillId="14" borderId="23" xfId="0" applyFont="1" applyFill="1" applyBorder="1" applyAlignment="1">
      <alignment horizontal="center" vertical="center" textRotation="90" wrapText="1"/>
    </xf>
    <xf numFmtId="0" fontId="86" fillId="14" borderId="19" xfId="0" applyFont="1" applyFill="1" applyBorder="1" applyAlignment="1">
      <alignment horizontal="center" vertical="center" textRotation="90" wrapText="1"/>
    </xf>
    <xf numFmtId="0" fontId="86" fillId="14" borderId="24" xfId="0" applyFont="1" applyFill="1" applyBorder="1" applyAlignment="1">
      <alignment horizontal="center" vertical="center" textRotation="90" wrapText="1"/>
    </xf>
    <xf numFmtId="0" fontId="107" fillId="27" borderId="14" xfId="0" applyFont="1" applyFill="1" applyBorder="1" applyAlignment="1" applyProtection="1">
      <alignment horizontal="center" vertical="center" wrapText="1"/>
      <protection locked="0"/>
    </xf>
    <xf numFmtId="0" fontId="107" fillId="7" borderId="14" xfId="0" applyFont="1" applyFill="1" applyBorder="1" applyAlignment="1" applyProtection="1">
      <alignment horizontal="center" vertical="center" wrapText="1"/>
      <protection hidden="1"/>
    </xf>
    <xf numFmtId="0" fontId="23" fillId="27" borderId="12" xfId="0" applyFont="1" applyFill="1" applyBorder="1" applyAlignment="1" applyProtection="1">
      <alignment horizontal="left" vertical="center"/>
      <protection locked="0"/>
    </xf>
    <xf numFmtId="0" fontId="74" fillId="27" borderId="18" xfId="0" applyFont="1" applyFill="1" applyBorder="1" applyAlignment="1" applyProtection="1">
      <alignment horizontal="left" vertical="center"/>
      <protection locked="0"/>
    </xf>
    <xf numFmtId="0" fontId="74" fillId="27" borderId="13" xfId="0" applyFont="1" applyFill="1" applyBorder="1" applyAlignment="1" applyProtection="1">
      <alignment horizontal="left" vertical="center"/>
      <protection locked="0"/>
    </xf>
    <xf numFmtId="0" fontId="25" fillId="27" borderId="12" xfId="0" applyFont="1" applyFill="1" applyBorder="1" applyAlignment="1" applyProtection="1">
      <alignment horizontal="left" vertical="center"/>
      <protection locked="0"/>
    </xf>
    <xf numFmtId="0" fontId="87" fillId="13" borderId="19" xfId="0" applyFont="1" applyFill="1" applyBorder="1" applyAlignment="1">
      <alignment horizontal="center" vertical="center" wrapText="1"/>
    </xf>
    <xf numFmtId="14" fontId="79" fillId="2" borderId="7" xfId="0" applyNumberFormat="1" applyFont="1" applyFill="1" applyBorder="1" applyAlignment="1" applyProtection="1">
      <alignment horizontal="left"/>
      <protection hidden="1"/>
    </xf>
    <xf numFmtId="0" fontId="39" fillId="6" borderId="18" xfId="0" applyFont="1" applyFill="1" applyBorder="1" applyAlignment="1" applyProtection="1">
      <alignment horizontal="left" vertical="center" wrapText="1"/>
      <protection hidden="1"/>
    </xf>
    <xf numFmtId="0" fontId="80" fillId="0" borderId="12" xfId="0" applyFont="1" applyBorder="1" applyAlignment="1" applyProtection="1">
      <alignment horizontal="center" vertical="center"/>
      <protection hidden="1"/>
    </xf>
    <xf numFmtId="0" fontId="80" fillId="0" borderId="18" xfId="0" applyFont="1" applyBorder="1" applyAlignment="1" applyProtection="1">
      <alignment horizontal="center" vertical="center"/>
      <protection hidden="1"/>
    </xf>
    <xf numFmtId="0" fontId="80" fillId="0" borderId="13" xfId="0" applyFont="1" applyBorder="1" applyAlignment="1" applyProtection="1">
      <alignment horizontal="center" vertical="center"/>
      <protection hidden="1"/>
    </xf>
    <xf numFmtId="0" fontId="74" fillId="0" borderId="0" xfId="0" applyFont="1" applyAlignment="1" applyProtection="1">
      <alignment horizontal="center"/>
      <protection hidden="1"/>
    </xf>
    <xf numFmtId="0" fontId="39" fillId="6" borderId="7" xfId="0" applyFont="1" applyFill="1" applyBorder="1" applyAlignment="1" applyProtection="1">
      <alignment horizontal="left" vertical="center" wrapText="1"/>
      <protection hidden="1"/>
    </xf>
    <xf numFmtId="0" fontId="230" fillId="42" borderId="0" xfId="2" applyFont="1" applyFill="1" applyBorder="1" applyAlignment="1" applyProtection="1">
      <alignment horizontal="left"/>
      <protection locked="0"/>
    </xf>
    <xf numFmtId="0" fontId="230" fillId="42" borderId="5" xfId="2" applyFont="1" applyFill="1" applyBorder="1" applyAlignment="1" applyProtection="1">
      <alignment horizontal="left"/>
      <protection locked="0"/>
    </xf>
    <xf numFmtId="0" fontId="80" fillId="6" borderId="0" xfId="0" applyFont="1" applyFill="1" applyAlignment="1" applyProtection="1">
      <alignment horizontal="center" vertical="center"/>
      <protection hidden="1"/>
    </xf>
    <xf numFmtId="0" fontId="224" fillId="42" borderId="0" xfId="0" applyFont="1" applyFill="1" applyAlignment="1" applyProtection="1">
      <alignment horizontal="left" wrapText="1"/>
      <protection hidden="1"/>
    </xf>
    <xf numFmtId="14" fontId="0" fillId="27" borderId="7" xfId="0" applyNumberFormat="1" applyFill="1" applyBorder="1" applyAlignment="1" applyProtection="1">
      <alignment horizontal="left"/>
      <protection locked="0"/>
    </xf>
    <xf numFmtId="0" fontId="0" fillId="0" borderId="7" xfId="0" applyBorder="1" applyAlignment="1" applyProtection="1">
      <alignment horizontal="left"/>
      <protection locked="0"/>
    </xf>
    <xf numFmtId="0" fontId="0" fillId="27" borderId="7" xfId="0" applyFill="1" applyBorder="1" applyAlignment="1" applyProtection="1">
      <alignment horizontal="left"/>
      <protection locked="0"/>
    </xf>
    <xf numFmtId="0" fontId="0" fillId="0" borderId="7" xfId="0" applyBorder="1" applyProtection="1">
      <protection locked="0"/>
    </xf>
    <xf numFmtId="10" fontId="81" fillId="6" borderId="0" xfId="0" applyNumberFormat="1" applyFont="1" applyFill="1" applyAlignment="1" applyProtection="1">
      <alignment horizontal="center"/>
      <protection hidden="1"/>
    </xf>
    <xf numFmtId="2" fontId="105" fillId="6" borderId="0" xfId="0" applyNumberFormat="1" applyFont="1" applyFill="1" applyAlignment="1" applyProtection="1">
      <alignment horizontal="center" vertical="center"/>
      <protection hidden="1"/>
    </xf>
    <xf numFmtId="169" fontId="105" fillId="6" borderId="0" xfId="0" applyNumberFormat="1" applyFont="1" applyFill="1" applyAlignment="1" applyProtection="1">
      <alignment horizontal="center"/>
      <protection hidden="1"/>
    </xf>
    <xf numFmtId="0" fontId="0" fillId="7" borderId="0" xfId="0" applyFill="1" applyAlignment="1">
      <alignment horizontal="center" vertical="center" wrapText="1"/>
    </xf>
    <xf numFmtId="0" fontId="15" fillId="8" borderId="0" xfId="0" applyFont="1" applyFill="1" applyAlignment="1">
      <alignment horizontal="center" vertical="center" wrapText="1"/>
    </xf>
    <xf numFmtId="0" fontId="173" fillId="23" borderId="0" xfId="19" applyFont="1" applyFill="1" applyAlignment="1">
      <alignment horizontal="center" vertical="center" wrapText="1"/>
    </xf>
    <xf numFmtId="0" fontId="0" fillId="0" borderId="0" xfId="0" applyAlignment="1">
      <alignment vertical="center" wrapText="1"/>
    </xf>
    <xf numFmtId="0" fontId="80" fillId="0" borderId="72" xfId="0" applyFont="1" applyBorder="1" applyAlignment="1">
      <alignment horizontal="center" vertical="center" wrapText="1"/>
    </xf>
    <xf numFmtId="0" fontId="80" fillId="0" borderId="18" xfId="0" applyFont="1" applyBorder="1" applyAlignment="1">
      <alignment horizontal="center" vertical="center" wrapText="1"/>
    </xf>
    <xf numFmtId="0" fontId="80" fillId="41" borderId="0" xfId="0" applyFont="1" applyFill="1" applyAlignment="1">
      <alignment horizontal="center" wrapText="1"/>
    </xf>
    <xf numFmtId="0" fontId="199" fillId="41" borderId="0" xfId="0" applyFont="1" applyFill="1" applyAlignment="1">
      <alignment horizontal="center" wrapText="1"/>
    </xf>
    <xf numFmtId="0" fontId="80" fillId="0" borderId="96" xfId="0" applyFont="1" applyBorder="1" applyAlignment="1">
      <alignment horizontal="center" vertical="center"/>
    </xf>
    <xf numFmtId="0" fontId="80" fillId="0" borderId="59" xfId="0" applyFont="1" applyBorder="1" applyAlignment="1">
      <alignment horizontal="center" vertical="center"/>
    </xf>
    <xf numFmtId="0" fontId="199" fillId="41" borderId="0" xfId="0" applyFont="1" applyFill="1" applyAlignment="1">
      <alignment horizontal="center" vertical="center" wrapText="1"/>
    </xf>
    <xf numFmtId="0" fontId="167" fillId="31" borderId="51" xfId="0" applyFont="1" applyFill="1" applyBorder="1" applyAlignment="1">
      <alignment horizontal="center" wrapText="1"/>
    </xf>
    <xf numFmtId="0" fontId="167" fillId="31" borderId="48" xfId="0" applyFont="1" applyFill="1" applyBorder="1" applyAlignment="1">
      <alignment horizontal="center" wrapText="1"/>
    </xf>
    <xf numFmtId="0" fontId="0" fillId="34" borderId="14" xfId="0" applyFill="1" applyBorder="1" applyAlignment="1">
      <alignment horizontal="center"/>
    </xf>
    <xf numFmtId="0" fontId="0" fillId="34" borderId="49" xfId="0" applyFill="1" applyBorder="1" applyAlignment="1">
      <alignment horizontal="center"/>
    </xf>
    <xf numFmtId="0" fontId="213" fillId="31" borderId="53" xfId="0" applyFont="1" applyFill="1" applyBorder="1" applyAlignment="1">
      <alignment horizontal="center" wrapText="1"/>
    </xf>
    <xf numFmtId="0" fontId="213" fillId="31" borderId="54" xfId="0" applyFont="1" applyFill="1" applyBorder="1" applyAlignment="1">
      <alignment horizontal="center" wrapText="1"/>
    </xf>
    <xf numFmtId="0" fontId="39" fillId="20" borderId="56" xfId="0" applyFont="1" applyFill="1" applyBorder="1" applyAlignment="1">
      <alignment horizontal="center" vertical="center" wrapText="1"/>
    </xf>
    <xf numFmtId="0" fontId="39" fillId="20" borderId="58" xfId="0" applyFont="1" applyFill="1" applyBorder="1" applyAlignment="1">
      <alignment horizontal="center" vertical="center" wrapText="1"/>
    </xf>
    <xf numFmtId="0" fontId="39" fillId="20" borderId="7" xfId="0" applyFont="1" applyFill="1" applyBorder="1" applyAlignment="1">
      <alignment horizontal="center" vertical="center" wrapText="1"/>
    </xf>
    <xf numFmtId="0" fontId="39" fillId="20" borderId="59" xfId="0" applyFont="1" applyFill="1" applyBorder="1" applyAlignment="1">
      <alignment horizontal="center" vertical="center" wrapText="1"/>
    </xf>
    <xf numFmtId="0" fontId="81" fillId="20" borderId="81" xfId="0" applyFont="1" applyFill="1" applyBorder="1" applyAlignment="1">
      <alignment horizontal="center" wrapText="1"/>
    </xf>
    <xf numFmtId="0" fontId="81" fillId="20" borderId="63" xfId="0" applyFont="1" applyFill="1" applyBorder="1" applyAlignment="1">
      <alignment horizontal="center" wrapText="1"/>
    </xf>
    <xf numFmtId="0" fontId="81" fillId="20" borderId="64" xfId="0" applyFont="1" applyFill="1" applyBorder="1" applyAlignment="1">
      <alignment horizontal="center" wrapText="1"/>
    </xf>
    <xf numFmtId="0" fontId="39" fillId="19" borderId="44" xfId="0" applyFont="1" applyFill="1" applyBorder="1" applyAlignment="1">
      <alignment horizontal="center" vertical="center" wrapText="1"/>
    </xf>
    <xf numFmtId="0" fontId="39" fillId="19" borderId="60" xfId="0" applyFont="1" applyFill="1" applyBorder="1" applyAlignment="1">
      <alignment horizontal="center" vertical="center" wrapText="1"/>
    </xf>
    <xf numFmtId="0" fontId="88" fillId="5" borderId="9" xfId="2" applyFill="1" applyBorder="1" applyAlignment="1" applyProtection="1">
      <alignment horizontal="center" wrapText="1"/>
      <protection locked="0" hidden="1"/>
    </xf>
    <xf numFmtId="0" fontId="88" fillId="5" borderId="10" xfId="2" applyFill="1" applyBorder="1" applyAlignment="1" applyProtection="1">
      <alignment horizontal="center" wrapText="1"/>
      <protection locked="0" hidden="1"/>
    </xf>
    <xf numFmtId="0" fontId="88" fillId="5" borderId="11" xfId="2" applyFill="1" applyBorder="1" applyAlignment="1" applyProtection="1">
      <alignment horizontal="center" wrapText="1"/>
      <protection locked="0" hidden="1"/>
    </xf>
    <xf numFmtId="0" fontId="86" fillId="0" borderId="2" xfId="0" applyFont="1" applyBorder="1" applyAlignment="1">
      <alignment horizontal="center"/>
    </xf>
    <xf numFmtId="0" fontId="86" fillId="0" borderId="7" xfId="0" applyFont="1" applyBorder="1" applyAlignment="1">
      <alignment horizontal="center"/>
    </xf>
    <xf numFmtId="0" fontId="75" fillId="9" borderId="7" xfId="0" applyFont="1" applyFill="1" applyBorder="1" applyProtection="1">
      <protection locked="0"/>
    </xf>
    <xf numFmtId="0" fontId="102" fillId="0" borderId="0" xfId="0" applyFont="1" applyAlignment="1">
      <alignment horizontal="center" wrapText="1"/>
    </xf>
    <xf numFmtId="0" fontId="86" fillId="0" borderId="0" xfId="0" applyFont="1" applyAlignment="1">
      <alignment horizontal="left" vertical="top"/>
    </xf>
    <xf numFmtId="0" fontId="86" fillId="0" borderId="0" xfId="0" applyFont="1" applyAlignment="1">
      <alignment horizontal="left"/>
    </xf>
    <xf numFmtId="0" fontId="0" fillId="9" borderId="0" xfId="0" applyFill="1" applyAlignment="1" applyProtection="1">
      <alignment horizontal="left" vertical="top" wrapText="1"/>
      <protection locked="0"/>
    </xf>
    <xf numFmtId="0" fontId="75" fillId="9" borderId="0" xfId="0" applyFont="1" applyFill="1" applyAlignment="1" applyProtection="1">
      <alignment horizontal="left" vertical="top" wrapText="1"/>
      <protection locked="0"/>
    </xf>
    <xf numFmtId="0" fontId="75" fillId="6" borderId="0" xfId="0" applyFont="1" applyFill="1" applyAlignment="1">
      <alignment horizontal="center"/>
    </xf>
    <xf numFmtId="0" fontId="113" fillId="2" borderId="1" xfId="0" applyFont="1" applyFill="1" applyBorder="1" applyAlignment="1">
      <alignment horizontal="center"/>
    </xf>
    <xf numFmtId="0" fontId="113" fillId="2" borderId="2" xfId="0" applyFont="1" applyFill="1" applyBorder="1" applyAlignment="1">
      <alignment horizontal="center"/>
    </xf>
    <xf numFmtId="0" fontId="114" fillId="0" borderId="3" xfId="0" applyFont="1" applyBorder="1" applyAlignment="1">
      <alignment horizontal="center"/>
    </xf>
    <xf numFmtId="0" fontId="114" fillId="2" borderId="4" xfId="0" applyFont="1" applyFill="1" applyBorder="1" applyAlignment="1">
      <alignment horizontal="center" vertical="center"/>
    </xf>
    <xf numFmtId="0" fontId="114" fillId="2" borderId="0" xfId="0" applyFont="1" applyFill="1" applyAlignment="1">
      <alignment horizontal="center" vertical="center"/>
    </xf>
    <xf numFmtId="0" fontId="114" fillId="0" borderId="5" xfId="0" applyFont="1" applyBorder="1" applyAlignment="1">
      <alignment horizontal="center" vertical="center"/>
    </xf>
    <xf numFmtId="0" fontId="113" fillId="2" borderId="4" xfId="0" applyFont="1" applyFill="1" applyBorder="1" applyAlignment="1">
      <alignment horizontal="center"/>
    </xf>
    <xf numFmtId="0" fontId="113" fillId="2" borderId="0" xfId="0" applyFont="1" applyFill="1" applyAlignment="1">
      <alignment horizontal="center"/>
    </xf>
    <xf numFmtId="0" fontId="114" fillId="0" borderId="5" xfId="0" applyFont="1" applyBorder="1" applyAlignment="1">
      <alignment horizontal="center"/>
    </xf>
    <xf numFmtId="0" fontId="101" fillId="0" borderId="0" xfId="0" applyFont="1" applyAlignment="1">
      <alignment horizontal="center"/>
    </xf>
    <xf numFmtId="0" fontId="101" fillId="0" borderId="43" xfId="0" applyFont="1" applyBorder="1" applyAlignment="1">
      <alignment horizontal="center"/>
    </xf>
    <xf numFmtId="0" fontId="101" fillId="0" borderId="44" xfId="0" applyFont="1" applyBorder="1" applyAlignment="1">
      <alignment horizontal="center"/>
    </xf>
    <xf numFmtId="49" fontId="86" fillId="0" borderId="53" xfId="0" applyNumberFormat="1" applyFont="1" applyBorder="1" applyAlignment="1">
      <alignment vertical="center" wrapText="1"/>
    </xf>
    <xf numFmtId="49" fontId="79" fillId="0" borderId="54" xfId="0" applyNumberFormat="1" applyFont="1" applyBorder="1" applyAlignment="1">
      <alignment vertical="center" wrapText="1"/>
    </xf>
    <xf numFmtId="49" fontId="79" fillId="0" borderId="55" xfId="0" applyNumberFormat="1" applyFont="1" applyBorder="1" applyAlignment="1">
      <alignment vertical="center" wrapText="1"/>
    </xf>
    <xf numFmtId="49" fontId="81" fillId="0" borderId="54" xfId="0" quotePrefix="1" applyNumberFormat="1" applyFont="1" applyBorder="1" applyAlignment="1">
      <alignment vertical="center" wrapText="1"/>
    </xf>
    <xf numFmtId="49" fontId="81" fillId="0" borderId="54" xfId="0" applyNumberFormat="1" applyFont="1" applyBorder="1" applyAlignment="1">
      <alignment vertical="center" wrapText="1"/>
    </xf>
    <xf numFmtId="49" fontId="81" fillId="0" borderId="55" xfId="0" applyNumberFormat="1" applyFont="1" applyBorder="1" applyAlignment="1">
      <alignment vertical="center" wrapText="1"/>
    </xf>
    <xf numFmtId="49" fontId="81" fillId="0" borderId="53" xfId="0" applyNumberFormat="1" applyFont="1" applyBorder="1" applyAlignment="1">
      <alignment vertical="center" wrapText="1"/>
    </xf>
    <xf numFmtId="49" fontId="86" fillId="0" borderId="53" xfId="0" quotePrefix="1" applyNumberFormat="1" applyFont="1" applyBorder="1" applyAlignment="1">
      <alignment vertical="center" wrapText="1"/>
    </xf>
    <xf numFmtId="49" fontId="86" fillId="0" borderId="55" xfId="0" applyNumberFormat="1" applyFont="1" applyBorder="1" applyAlignment="1">
      <alignment vertical="center" wrapText="1"/>
    </xf>
    <xf numFmtId="49" fontId="86" fillId="0" borderId="53" xfId="0" applyNumberFormat="1" applyFont="1" applyBorder="1" applyAlignment="1">
      <alignment horizontal="left" vertical="top" wrapText="1"/>
    </xf>
    <xf numFmtId="49" fontId="86" fillId="0" borderId="54" xfId="0" applyNumberFormat="1" applyFont="1" applyBorder="1" applyAlignment="1">
      <alignment horizontal="left" vertical="top" wrapText="1"/>
    </xf>
    <xf numFmtId="49" fontId="86" fillId="0" borderId="55" xfId="0" applyNumberFormat="1" applyFont="1" applyBorder="1" applyAlignment="1">
      <alignment horizontal="left" vertical="top" wrapText="1"/>
    </xf>
    <xf numFmtId="49" fontId="86" fillId="0" borderId="54" xfId="0" quotePrefix="1" applyNumberFormat="1" applyFont="1" applyBorder="1" applyAlignment="1">
      <alignment vertical="center" wrapText="1"/>
    </xf>
    <xf numFmtId="49" fontId="86" fillId="0" borderId="54" xfId="0" applyNumberFormat="1" applyFont="1" applyBorder="1" applyAlignment="1">
      <alignment vertical="center" wrapText="1"/>
    </xf>
    <xf numFmtId="49" fontId="86" fillId="0" borderId="0" xfId="0" applyNumberFormat="1" applyFont="1" applyAlignment="1">
      <alignment vertical="center" wrapText="1"/>
    </xf>
    <xf numFmtId="49" fontId="78" fillId="24" borderId="9" xfId="0" applyNumberFormat="1" applyFont="1" applyFill="1" applyBorder="1" applyAlignment="1">
      <alignment horizontal="center" vertical="center" wrapText="1"/>
    </xf>
    <xf numFmtId="49" fontId="78" fillId="24" borderId="10" xfId="0" applyNumberFormat="1" applyFont="1" applyFill="1" applyBorder="1" applyAlignment="1">
      <alignment horizontal="center" vertical="center" wrapText="1"/>
    </xf>
    <xf numFmtId="49" fontId="78" fillId="24" borderId="75" xfId="0" applyNumberFormat="1" applyFont="1" applyFill="1" applyBorder="1" applyAlignment="1">
      <alignment horizontal="center" vertical="center" wrapText="1"/>
    </xf>
    <xf numFmtId="49" fontId="81" fillId="0" borderId="0" xfId="0" applyNumberFormat="1" applyFont="1" applyAlignment="1">
      <alignment vertical="center" wrapText="1"/>
    </xf>
    <xf numFmtId="0" fontId="78" fillId="2" borderId="1" xfId="0" applyFont="1" applyFill="1" applyBorder="1" applyAlignment="1">
      <alignment wrapText="1"/>
    </xf>
    <xf numFmtId="0" fontId="78" fillId="2" borderId="2" xfId="0" applyFont="1" applyFill="1" applyBorder="1"/>
    <xf numFmtId="0" fontId="78" fillId="2" borderId="3" xfId="0" applyFont="1" applyFill="1" applyBorder="1"/>
    <xf numFmtId="0" fontId="78" fillId="2" borderId="4" xfId="0" applyFont="1" applyFill="1" applyBorder="1"/>
    <xf numFmtId="0" fontId="78" fillId="2" borderId="0" xfId="0" applyFont="1" applyFill="1"/>
    <xf numFmtId="0" fontId="78" fillId="2" borderId="5" xfId="0" applyFont="1" applyFill="1" applyBorder="1"/>
    <xf numFmtId="0" fontId="78" fillId="2" borderId="6" xfId="0" applyFont="1" applyFill="1" applyBorder="1"/>
    <xf numFmtId="0" fontId="78" fillId="2" borderId="7" xfId="0" applyFont="1" applyFill="1" applyBorder="1"/>
    <xf numFmtId="0" fontId="78" fillId="2" borderId="8" xfId="0" applyFont="1" applyFill="1" applyBorder="1"/>
    <xf numFmtId="0" fontId="75" fillId="6" borderId="4" xfId="0" applyFont="1" applyFill="1" applyBorder="1"/>
    <xf numFmtId="0" fontId="0" fillId="0" borderId="0" xfId="0"/>
    <xf numFmtId="2" fontId="107" fillId="0" borderId="0" xfId="0" applyNumberFormat="1" applyFont="1" applyAlignment="1">
      <alignment horizontal="left" wrapText="1"/>
    </xf>
    <xf numFmtId="2" fontId="107" fillId="0" borderId="0" xfId="0" applyNumberFormat="1" applyFont="1" applyAlignment="1">
      <alignment horizontal="left" vertical="top" wrapText="1"/>
    </xf>
    <xf numFmtId="2" fontId="0" fillId="0" borderId="0" xfId="0" applyNumberFormat="1" applyAlignment="1">
      <alignment horizontal="center" wrapText="1"/>
    </xf>
    <xf numFmtId="2" fontId="0" fillId="0" borderId="0" xfId="0" applyNumberFormat="1" applyAlignment="1">
      <alignment horizontal="center"/>
    </xf>
  </cellXfs>
  <cellStyles count="31">
    <cellStyle name="40 % - Akzent1 2" xfId="20" xr:uid="{00000000-0005-0000-0000-000000000000}"/>
    <cellStyle name="40 % - Akzent3" xfId="6" builtinId="39"/>
    <cellStyle name="40 % - Akzent3 2" xfId="21" xr:uid="{00000000-0005-0000-0000-000002000000}"/>
    <cellStyle name="40% - Akzent1 2" xfId="8" xr:uid="{00000000-0005-0000-0000-000003000000}"/>
    <cellStyle name="40% - Akzent3 2" xfId="9" xr:uid="{00000000-0005-0000-0000-000004000000}"/>
    <cellStyle name="Datum" xfId="10" xr:uid="{00000000-0005-0000-0000-000005000000}"/>
    <cellStyle name="Datum 2" xfId="22" xr:uid="{00000000-0005-0000-0000-000006000000}"/>
    <cellStyle name="Dezimal [0] 2" xfId="23" xr:uid="{00000000-0005-0000-0000-000007000000}"/>
    <cellStyle name="Eingabe 2" xfId="5" xr:uid="{00000000-0005-0000-0000-000008000000}"/>
    <cellStyle name="Eingabe 2 2" xfId="11" xr:uid="{00000000-0005-0000-0000-000009000000}"/>
    <cellStyle name="Eingabe 3" xfId="12" xr:uid="{00000000-0005-0000-0000-00000A000000}"/>
    <cellStyle name="Formelfeld" xfId="13" xr:uid="{00000000-0005-0000-0000-00000B000000}"/>
    <cellStyle name="Formular" xfId="14" xr:uid="{00000000-0005-0000-0000-00000C000000}"/>
    <cellStyle name="Komma" xfId="1" builtinId="3"/>
    <cellStyle name="Komma 2" xfId="24" xr:uid="{00000000-0005-0000-0000-00000E000000}"/>
    <cellStyle name="Link" xfId="2" builtinId="8"/>
    <cellStyle name="Link 2" xfId="25" xr:uid="{00000000-0005-0000-0000-000010000000}"/>
    <cellStyle name="Prozent" xfId="4" builtinId="5"/>
    <cellStyle name="Prozent 2" xfId="7" xr:uid="{00000000-0005-0000-0000-000012000000}"/>
    <cellStyle name="Prozent 2 2" xfId="26" xr:uid="{00000000-0005-0000-0000-000013000000}"/>
    <cellStyle name="Standard" xfId="0" builtinId="0"/>
    <cellStyle name="Standard 2" xfId="15" xr:uid="{00000000-0005-0000-0000-000015000000}"/>
    <cellStyle name="Standard 2 2" xfId="27" xr:uid="{00000000-0005-0000-0000-000016000000}"/>
    <cellStyle name="Standard 3" xfId="28" xr:uid="{00000000-0005-0000-0000-000017000000}"/>
    <cellStyle name="Standard 4" xfId="19" xr:uid="{00000000-0005-0000-0000-000018000000}"/>
    <cellStyle name="Stunden" xfId="16" xr:uid="{00000000-0005-0000-0000-000019000000}"/>
    <cellStyle name="Text" xfId="17" xr:uid="{00000000-0005-0000-0000-00001A000000}"/>
    <cellStyle name="VZK" xfId="18" xr:uid="{00000000-0005-0000-0000-00001B000000}"/>
    <cellStyle name="Währung" xfId="3" builtinId="4"/>
    <cellStyle name="Währung [0] 2" xfId="30" xr:uid="{00000000-0005-0000-0000-00001D000000}"/>
    <cellStyle name="Währung 2" xfId="29" xr:uid="{00000000-0005-0000-0000-00001E000000}"/>
  </cellStyles>
  <dxfs count="256">
    <dxf>
      <font>
        <color rgb="FF0070C0"/>
      </font>
    </dxf>
    <dxf>
      <font>
        <b val="0"/>
        <i val="0"/>
        <color theme="1"/>
      </font>
      <fill>
        <patternFill>
          <bgColor theme="0"/>
        </patternFill>
      </fill>
      <border>
        <left/>
        <top/>
        <bottom/>
        <vertical/>
        <horizontal/>
      </border>
    </dxf>
    <dxf>
      <font>
        <b val="0"/>
        <i val="0"/>
        <color theme="1"/>
      </font>
      <fill>
        <patternFill>
          <bgColor theme="0"/>
        </patternFill>
      </fill>
      <border>
        <left/>
        <top/>
        <bottom/>
        <vertical/>
        <horizontal/>
      </border>
    </dxf>
    <dxf>
      <font>
        <b val="0"/>
        <i val="0"/>
        <color theme="1"/>
      </font>
      <fill>
        <patternFill>
          <bgColor theme="0"/>
        </patternFill>
      </fill>
      <border>
        <left/>
        <right style="thin">
          <color auto="1"/>
        </right>
        <top/>
        <bottom/>
        <vertical/>
        <horizontal/>
      </border>
    </dxf>
    <dxf>
      <font>
        <b val="0"/>
        <i val="0"/>
        <color theme="1"/>
      </font>
      <fill>
        <patternFill>
          <bgColor theme="0"/>
        </patternFill>
      </fill>
      <border>
        <left/>
        <right style="thin">
          <color auto="1"/>
        </right>
        <top/>
        <bottom/>
        <vertical/>
        <horizontal/>
      </border>
    </dxf>
    <dxf>
      <font>
        <color theme="0"/>
      </font>
      <fill>
        <patternFill>
          <bgColor theme="0"/>
        </patternFill>
      </fill>
      <border>
        <left/>
        <right/>
        <top/>
        <bottom/>
        <vertical/>
        <horizontal/>
      </border>
    </dxf>
    <dxf>
      <font>
        <color theme="0" tint="-4.9989318521683403E-2"/>
      </font>
    </dxf>
    <dxf>
      <font>
        <b val="0"/>
        <i val="0"/>
        <color theme="1"/>
      </font>
      <fill>
        <patternFill>
          <bgColor theme="0" tint="-4.9989318521683403E-2"/>
        </patternFill>
      </fill>
      <border>
        <left/>
        <right/>
        <top/>
        <bottom style="thin">
          <color auto="1"/>
        </bottom>
        <vertical/>
        <horizontal/>
      </border>
    </dxf>
    <dxf>
      <font>
        <b val="0"/>
        <i val="0"/>
        <color theme="1"/>
      </font>
      <fill>
        <patternFill>
          <bgColor theme="0" tint="-4.9989318521683403E-2"/>
        </patternFill>
      </fill>
      <border>
        <left/>
        <right/>
        <top/>
        <bottom style="thin">
          <color auto="1"/>
        </bottom>
        <vertical/>
        <horizontal/>
      </border>
    </dxf>
    <dxf>
      <font>
        <color theme="0"/>
      </font>
      <fill>
        <patternFill patternType="none">
          <bgColor auto="1"/>
        </patternFill>
      </fill>
      <border>
        <vertical/>
        <horizontal/>
      </border>
    </dxf>
    <dxf>
      <font>
        <b val="0"/>
        <i val="0"/>
        <color theme="1"/>
      </font>
      <fill>
        <patternFill>
          <bgColor theme="0" tint="-4.9989318521683403E-2"/>
        </patternFill>
      </fill>
      <border>
        <left/>
        <right/>
        <top/>
        <bottom style="thin">
          <color auto="1"/>
        </bottom>
        <vertical/>
        <horizontal/>
      </border>
    </dxf>
    <dxf>
      <font>
        <color theme="0" tint="-4.9989318521683403E-2"/>
      </font>
    </dxf>
    <dxf>
      <font>
        <color theme="0"/>
      </font>
    </dxf>
    <dxf>
      <font>
        <color theme="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theme="1"/>
      </font>
      <border>
        <left/>
        <right style="thin">
          <color auto="1"/>
        </right>
        <top style="thin">
          <color auto="1"/>
        </top>
        <bottom style="thin">
          <color auto="1"/>
        </bottom>
        <vertical/>
        <horizontal/>
      </border>
    </dxf>
    <dxf>
      <font>
        <b val="0"/>
        <i val="0"/>
        <color theme="1"/>
      </font>
      <border>
        <left/>
        <right style="thin">
          <color auto="1"/>
        </right>
        <top style="thin">
          <color auto="1"/>
        </top>
        <bottom style="thin">
          <color auto="1"/>
        </bottom>
        <vertical/>
        <horizontal/>
      </border>
    </dxf>
    <dxf>
      <font>
        <color theme="1"/>
      </font>
      <fill>
        <patternFill>
          <fgColor theme="0"/>
        </patternFill>
      </fill>
    </dxf>
    <dxf>
      <font>
        <color theme="1"/>
      </font>
      <border>
        <left/>
        <right style="thin">
          <color auto="1"/>
        </right>
        <top style="thin">
          <color auto="1"/>
        </top>
        <bottom style="thin">
          <color auto="1"/>
        </bottom>
        <vertical/>
        <horizontal/>
      </border>
    </dxf>
    <dxf>
      <font>
        <color theme="0" tint="-4.9989318521683403E-2"/>
      </font>
    </dxf>
    <dxf>
      <font>
        <color rgb="FFCFE8B5"/>
      </font>
      <fill>
        <patternFill>
          <bgColor theme="4"/>
        </patternFill>
      </fill>
    </dxf>
    <dxf>
      <font>
        <color rgb="FFCFE8B5"/>
      </font>
      <fill>
        <patternFill>
          <bgColor theme="4"/>
        </patternFill>
      </fill>
    </dxf>
    <dxf>
      <font>
        <b/>
        <i val="0"/>
        <color rgb="FFFF0000"/>
      </font>
    </dxf>
    <dxf>
      <font>
        <b/>
        <i val="0"/>
        <color rgb="FF00B050"/>
      </font>
      <fill>
        <patternFill>
          <bgColor theme="4"/>
        </patternFill>
      </fill>
    </dxf>
    <dxf>
      <font>
        <color rgb="FFCFE8B5"/>
      </font>
      <fill>
        <patternFill>
          <bgColor theme="4"/>
        </patternFill>
      </fill>
    </dxf>
    <dxf>
      <font>
        <color rgb="FFCFE8B5"/>
      </font>
      <fill>
        <patternFill>
          <bgColor theme="4"/>
        </patternFill>
      </fill>
    </dxf>
    <dxf>
      <font>
        <b/>
        <i val="0"/>
        <color rgb="FF00B050"/>
      </font>
      <fill>
        <patternFill>
          <bgColor theme="4"/>
        </patternFill>
      </fill>
    </dxf>
    <dxf>
      <font>
        <b/>
        <i val="0"/>
        <color rgb="FFFF0000"/>
      </font>
    </dxf>
    <dxf>
      <font>
        <color rgb="FFCFE8B5"/>
      </font>
      <fill>
        <patternFill>
          <bgColor theme="4"/>
        </patternFill>
      </fill>
    </dxf>
    <dxf>
      <font>
        <color rgb="FFCFE8B5"/>
      </font>
      <fill>
        <patternFill>
          <bgColor theme="4"/>
        </patternFill>
      </fill>
    </dxf>
    <dxf>
      <font>
        <b/>
        <i val="0"/>
        <color rgb="FF00B050"/>
      </font>
      <fill>
        <patternFill>
          <bgColor theme="4"/>
        </patternFill>
      </fill>
    </dxf>
    <dxf>
      <font>
        <b/>
        <i val="0"/>
        <color rgb="FFFF0000"/>
      </font>
    </dxf>
    <dxf>
      <font>
        <b/>
        <i val="0"/>
        <color rgb="FFFF0000"/>
      </font>
    </dxf>
    <dxf>
      <font>
        <b/>
        <i val="0"/>
        <color rgb="FF00B050"/>
      </font>
      <fill>
        <patternFill>
          <bgColor theme="4"/>
        </patternFill>
      </fill>
    </dxf>
    <dxf>
      <font>
        <color rgb="FFCFE8B5"/>
      </font>
      <fill>
        <patternFill>
          <bgColor theme="4"/>
        </patternFill>
      </fill>
    </dxf>
    <dxf>
      <font>
        <color rgb="FFCFE8B5"/>
      </font>
      <fill>
        <patternFill>
          <bgColor theme="4"/>
        </patternFill>
      </fill>
    </dxf>
    <dxf>
      <font>
        <color rgb="FFCFE8B5"/>
      </font>
      <fill>
        <patternFill>
          <bgColor theme="4"/>
        </patternFill>
      </fill>
    </dxf>
    <dxf>
      <font>
        <color rgb="FFCFE8B5"/>
      </font>
      <fill>
        <patternFill>
          <bgColor theme="4"/>
        </patternFill>
      </fill>
    </dxf>
    <dxf>
      <font>
        <b/>
        <i val="0"/>
        <color rgb="FFFF0000"/>
      </font>
    </dxf>
    <dxf>
      <font>
        <b/>
        <i val="0"/>
        <color rgb="FF00B050"/>
      </font>
      <fill>
        <patternFill>
          <bgColor theme="4"/>
        </patternFill>
      </fill>
    </dxf>
    <dxf>
      <font>
        <b/>
        <i val="0"/>
        <color rgb="FF00B050"/>
      </font>
      <fill>
        <patternFill>
          <bgColor theme="4"/>
        </patternFill>
      </fill>
    </dxf>
    <dxf>
      <font>
        <color rgb="FFCFE8B5"/>
      </font>
      <fill>
        <patternFill>
          <bgColor theme="4"/>
        </patternFill>
      </fill>
    </dxf>
    <dxf>
      <font>
        <color rgb="FFCFE8B5"/>
      </font>
      <fill>
        <patternFill>
          <bgColor theme="4"/>
        </patternFill>
      </fill>
    </dxf>
    <dxf>
      <font>
        <b/>
        <i val="0"/>
        <color rgb="FFFF0000"/>
      </font>
    </dxf>
    <dxf>
      <font>
        <b/>
        <i val="0"/>
        <color rgb="FF00B050"/>
      </font>
      <fill>
        <patternFill>
          <bgColor theme="4"/>
        </patternFill>
      </fill>
    </dxf>
    <dxf>
      <font>
        <b/>
        <i val="0"/>
        <color rgb="FFFF0000"/>
      </font>
    </dxf>
    <dxf>
      <font>
        <color rgb="FFCFE8B5"/>
      </font>
      <fill>
        <patternFill>
          <bgColor theme="4"/>
        </patternFill>
      </fill>
    </dxf>
    <dxf>
      <font>
        <color rgb="FFCFE8B5"/>
      </font>
      <fill>
        <patternFill>
          <bgColor theme="4"/>
        </patternFill>
      </fill>
    </dxf>
    <dxf>
      <font>
        <color rgb="FFCFE8B5"/>
      </font>
      <fill>
        <patternFill>
          <bgColor theme="4"/>
        </patternFill>
      </fill>
    </dxf>
    <dxf>
      <font>
        <b/>
        <i val="0"/>
        <color rgb="FFFF0000"/>
      </font>
    </dxf>
    <dxf>
      <font>
        <color rgb="FFCFE8B5"/>
      </font>
      <fill>
        <patternFill>
          <bgColor theme="4"/>
        </patternFill>
      </fill>
    </dxf>
    <dxf>
      <font>
        <b/>
        <i val="0"/>
        <color rgb="FF00B050"/>
      </font>
      <fill>
        <patternFill>
          <bgColor theme="4"/>
        </patternFill>
      </fill>
    </dxf>
    <dxf>
      <font>
        <b/>
        <i val="0"/>
        <color rgb="FFFF0000"/>
      </font>
    </dxf>
    <dxf>
      <font>
        <b/>
        <i val="0"/>
        <color rgb="FF00B050"/>
      </font>
      <fill>
        <patternFill>
          <bgColor theme="4"/>
        </patternFill>
      </fill>
    </dxf>
    <dxf>
      <font>
        <color rgb="FFCFE8B5"/>
      </font>
      <fill>
        <patternFill>
          <bgColor theme="4"/>
        </patternFill>
      </fill>
    </dxf>
    <dxf>
      <font>
        <color rgb="FFCFE8B5"/>
      </font>
      <fill>
        <patternFill>
          <bgColor theme="4"/>
        </patternFill>
      </fill>
    </dxf>
    <dxf>
      <font>
        <color rgb="FFCFE8B5"/>
      </font>
      <fill>
        <patternFill>
          <bgColor theme="4"/>
        </patternFill>
      </fill>
    </dxf>
    <dxf>
      <font>
        <b/>
        <i val="0"/>
        <color rgb="FFFF0000"/>
      </font>
    </dxf>
    <dxf>
      <font>
        <b/>
        <i val="0"/>
        <color rgb="FF00B050"/>
      </font>
      <fill>
        <patternFill>
          <bgColor theme="4"/>
        </patternFill>
      </fill>
    </dxf>
    <dxf>
      <font>
        <color rgb="FFCFE8B5"/>
      </font>
      <fill>
        <patternFill>
          <bgColor theme="4"/>
        </patternFill>
      </fill>
    </dxf>
    <dxf>
      <font>
        <b/>
        <i val="0"/>
        <color theme="3"/>
      </font>
      <fill>
        <patternFill patternType="solid">
          <bgColor theme="4"/>
        </patternFill>
      </fill>
    </dxf>
    <dxf>
      <font>
        <b/>
        <i val="0"/>
        <color rgb="FFFF0000"/>
      </font>
    </dxf>
    <dxf>
      <font>
        <color rgb="FFCFE8B5"/>
      </font>
      <fill>
        <patternFill>
          <bgColor theme="4"/>
        </patternFill>
      </fill>
    </dxf>
    <dxf>
      <font>
        <color rgb="FFCFE8B5"/>
      </font>
      <fill>
        <patternFill>
          <bgColor theme="4"/>
        </patternFill>
      </fill>
    </dxf>
    <dxf>
      <font>
        <color rgb="FFCFE8B5"/>
      </font>
      <fill>
        <patternFill>
          <bgColor theme="4"/>
        </patternFill>
      </fill>
    </dxf>
    <dxf>
      <font>
        <color theme="4"/>
      </font>
      <fill>
        <patternFill>
          <bgColor theme="4"/>
        </patternFill>
      </fill>
    </dxf>
    <dxf>
      <font>
        <b/>
        <i val="0"/>
        <color rgb="FF00B050"/>
      </font>
      <fill>
        <patternFill patternType="solid">
          <bgColor theme="4"/>
        </patternFill>
      </fill>
    </dxf>
    <dxf>
      <font>
        <b/>
        <i val="0"/>
        <color rgb="FFFF0000"/>
      </font>
    </dxf>
    <dxf>
      <font>
        <b val="0"/>
        <i val="0"/>
        <color auto="1"/>
      </font>
      <fill>
        <patternFill>
          <bgColor theme="0"/>
        </patternFill>
      </fill>
      <border>
        <left style="thin">
          <color auto="1"/>
        </left>
        <right/>
        <top style="thin">
          <color auto="1"/>
        </top>
        <bottom style="thin">
          <color auto="1"/>
        </bottom>
        <vertical/>
        <horizontal/>
      </border>
    </dxf>
    <dxf>
      <font>
        <b val="0"/>
        <i val="0"/>
        <color theme="1"/>
      </font>
      <fill>
        <patternFill>
          <bgColor theme="0"/>
        </patternFill>
      </fill>
      <border>
        <left style="thin">
          <color auto="1"/>
        </left>
        <right/>
        <top style="thin">
          <color auto="1"/>
        </top>
        <bottom style="thin">
          <color auto="1"/>
        </bottom>
        <vertical/>
        <horizontal/>
      </border>
    </dxf>
    <dxf>
      <font>
        <color theme="0"/>
      </font>
      <fill>
        <patternFill>
          <bgColor theme="0"/>
        </patternFill>
      </fill>
      <border>
        <left/>
        <right/>
        <top/>
        <bottom/>
        <vertical/>
        <horizontal/>
      </border>
    </dxf>
    <dxf>
      <fill>
        <patternFill>
          <bgColor rgb="FFCCECFF"/>
        </patternFill>
      </fill>
    </dxf>
    <dxf>
      <font>
        <color theme="1"/>
      </font>
      <fill>
        <patternFill>
          <bgColor theme="0"/>
        </patternFill>
      </fill>
      <border>
        <left style="thin">
          <color auto="1"/>
        </left>
        <right/>
        <top style="thin">
          <color auto="1"/>
        </top>
        <bottom style="thin">
          <color auto="1"/>
        </bottom>
        <vertical/>
        <horizontal/>
      </border>
    </dxf>
    <dxf>
      <fill>
        <patternFill>
          <bgColor rgb="FFCCECFF"/>
        </patternFill>
      </fill>
    </dxf>
    <dxf>
      <font>
        <color theme="0"/>
      </font>
      <fill>
        <patternFill>
          <bgColor theme="0"/>
        </patternFill>
      </fill>
    </dxf>
    <dxf>
      <font>
        <color theme="1"/>
      </font>
      <fill>
        <patternFill>
          <bgColor theme="8" tint="0.79998168889431442"/>
        </patternFill>
      </fill>
      <border>
        <left style="thin">
          <color auto="1"/>
        </left>
        <right style="thin">
          <color auto="1"/>
        </right>
        <top style="thin">
          <color auto="1"/>
        </top>
        <bottom style="thin">
          <color auto="1"/>
        </bottom>
        <vertical/>
        <horizontal/>
      </border>
    </dxf>
    <dxf>
      <font>
        <b val="0"/>
        <i val="0"/>
        <color auto="1"/>
      </font>
      <fill>
        <patternFill>
          <bgColor theme="0" tint="-4.9989318521683403E-2"/>
        </patternFill>
      </fill>
      <border>
        <left style="thin">
          <color auto="1"/>
        </left>
        <right style="thin">
          <color auto="1"/>
        </right>
        <top style="thin">
          <color auto="1"/>
        </top>
        <bottom style="thin">
          <color auto="1"/>
        </bottom>
        <vertical/>
        <horizontal/>
      </border>
    </dxf>
    <dxf>
      <font>
        <color theme="1"/>
      </font>
      <fill>
        <patternFill>
          <bgColor theme="8" tint="0.79998168889431442"/>
        </patternFill>
      </fill>
      <border>
        <left style="thin">
          <color auto="1"/>
        </left>
        <right style="thin">
          <color auto="1"/>
        </right>
        <top style="thin">
          <color auto="1"/>
        </top>
        <bottom style="thin">
          <color auto="1"/>
        </bottom>
        <vertical/>
        <horizontal/>
      </border>
    </dxf>
    <dxf>
      <font>
        <b/>
        <i val="0"/>
        <color theme="1"/>
      </font>
      <fill>
        <patternFill>
          <bgColor theme="8" tint="0.79998168889431442"/>
        </patternFill>
      </fill>
      <border>
        <left style="thin">
          <color auto="1"/>
        </left>
        <right style="thin">
          <color auto="1"/>
        </right>
        <top/>
        <bottom style="thin">
          <color auto="1"/>
        </bottom>
        <vertical/>
        <horizontal/>
      </border>
    </dxf>
    <dxf>
      <font>
        <b/>
        <i val="0"/>
        <color theme="1"/>
      </font>
      <fill>
        <patternFill>
          <bgColor theme="8" tint="0.79998168889431442"/>
        </patternFill>
      </fill>
      <border>
        <left style="thin">
          <color auto="1"/>
        </left>
        <right style="thin">
          <color auto="1"/>
        </right>
        <top style="thin">
          <color auto="1"/>
        </top>
        <vertical/>
        <horizontal/>
      </border>
    </dxf>
    <dxf>
      <fill>
        <patternFill>
          <bgColor rgb="FFCCECFF"/>
        </patternFill>
      </fill>
    </dxf>
    <dxf>
      <font>
        <color theme="1"/>
      </font>
      <fill>
        <patternFill>
          <bgColor theme="9" tint="0.79998168889431442"/>
        </patternFill>
      </fill>
      <border>
        <left style="thin">
          <color auto="1"/>
        </left>
        <right style="thin">
          <color auto="1"/>
        </right>
        <top style="thin">
          <color auto="1"/>
        </top>
        <bottom style="thin">
          <color auto="1"/>
        </bottom>
        <vertical/>
        <horizontal/>
      </border>
    </dxf>
    <dxf>
      <font>
        <color theme="0"/>
      </font>
    </dxf>
    <dxf>
      <font>
        <color theme="1"/>
      </font>
      <fill>
        <patternFill>
          <bgColor theme="0" tint="-4.9989318521683403E-2"/>
        </patternFill>
      </fill>
      <border>
        <left style="thin">
          <color auto="1"/>
        </left>
        <right style="thin">
          <color auto="1"/>
        </right>
        <top style="thin">
          <color auto="1"/>
        </top>
        <bottom style="thin">
          <color auto="1"/>
        </bottom>
        <vertical/>
        <horizontal/>
      </border>
    </dxf>
    <dxf>
      <font>
        <color theme="1"/>
      </font>
      <fill>
        <patternFill>
          <bgColor theme="0" tint="-4.9989318521683403E-2"/>
        </patternFill>
      </fill>
      <border>
        <left style="thin">
          <color auto="1"/>
        </left>
        <right style="thin">
          <color auto="1"/>
        </right>
        <top style="thin">
          <color auto="1"/>
        </top>
        <bottom style="thin">
          <color auto="1"/>
        </bottom>
        <vertical/>
        <horizontal/>
      </border>
    </dxf>
    <dxf>
      <font>
        <color auto="1"/>
      </font>
      <fill>
        <patternFill>
          <bgColor theme="0" tint="-4.9989318521683403E-2"/>
        </patternFill>
      </fill>
      <border>
        <left style="thin">
          <color auto="1"/>
        </left>
        <right style="thin">
          <color auto="1"/>
        </right>
        <top style="thin">
          <color auto="1"/>
        </top>
        <bottom style="thin">
          <color auto="1"/>
        </bottom>
        <vertical/>
        <horizontal/>
      </border>
    </dxf>
    <dxf>
      <font>
        <b/>
        <i val="0"/>
      </font>
      <fill>
        <patternFill>
          <bgColor theme="8" tint="0.79998168889431442"/>
        </patternFill>
      </fill>
      <border>
        <left style="thin">
          <color auto="1"/>
        </left>
        <right style="thin">
          <color auto="1"/>
        </right>
        <bottom style="thin">
          <color auto="1"/>
        </bottom>
        <vertical/>
        <horizontal/>
      </border>
    </dxf>
    <dxf>
      <font>
        <b/>
        <i val="0"/>
        <color theme="1"/>
      </font>
      <fill>
        <patternFill>
          <bgColor theme="8" tint="0.79998168889431442"/>
        </patternFill>
      </fill>
      <border>
        <left style="thin">
          <color auto="1"/>
        </left>
        <right style="thin">
          <color auto="1"/>
        </right>
        <top style="thin">
          <color auto="1"/>
        </top>
        <bottom/>
        <vertical/>
        <horizontal/>
      </border>
    </dxf>
    <dxf>
      <font>
        <color theme="0" tint="-4.9989318521683403E-2"/>
      </font>
    </dxf>
    <dxf>
      <fill>
        <patternFill>
          <bgColor rgb="FFCCECFF"/>
        </patternFill>
      </fill>
    </dxf>
    <dxf>
      <font>
        <color theme="0"/>
      </font>
      <fill>
        <patternFill>
          <bgColor theme="0"/>
        </patternFill>
      </fill>
      <border>
        <left/>
        <right/>
        <top/>
        <bottom/>
        <vertical/>
        <horizontal/>
      </border>
    </dxf>
    <dxf>
      <fill>
        <patternFill>
          <bgColor theme="0"/>
        </patternFill>
      </fill>
    </dxf>
    <dxf>
      <font>
        <color theme="0" tint="-4.9989318521683403E-2"/>
      </font>
    </dxf>
    <dxf>
      <font>
        <color theme="0"/>
      </font>
    </dxf>
    <dxf>
      <fill>
        <patternFill>
          <bgColor theme="0"/>
        </patternFill>
      </fill>
    </dxf>
    <dxf>
      <font>
        <color rgb="FFF0F5E6"/>
      </font>
    </dxf>
    <dxf>
      <font>
        <color rgb="FFF0F5E6"/>
      </font>
    </dxf>
    <dxf>
      <font>
        <color theme="0" tint="-4.9989318521683403E-2"/>
      </font>
    </dxf>
    <dxf>
      <font>
        <color theme="0" tint="-4.9989318521683403E-2"/>
      </font>
    </dxf>
    <dxf>
      <font>
        <color theme="0" tint="-4.9989318521683403E-2"/>
      </font>
    </dxf>
    <dxf>
      <fill>
        <patternFill>
          <bgColor rgb="FFCCECFF"/>
        </patternFill>
      </fill>
    </dxf>
    <dxf>
      <font>
        <b/>
        <i val="0"/>
        <color auto="1"/>
      </font>
      <fill>
        <patternFill>
          <bgColor theme="0"/>
        </patternFill>
      </fill>
      <border>
        <left/>
        <right/>
        <top/>
        <bottom/>
        <vertical/>
        <horizontal/>
      </border>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font>
    </dxf>
    <dxf>
      <font>
        <color theme="0"/>
      </font>
      <fill>
        <patternFill>
          <bgColor theme="0"/>
        </patternFill>
      </fill>
      <border>
        <left/>
        <right/>
        <top/>
        <bottom/>
        <vertical/>
        <horizontal/>
      </border>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ill>
        <patternFill>
          <bgColor rgb="FFCCECFF"/>
        </patternFill>
      </fill>
    </dxf>
    <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val="0"/>
        <i val="0"/>
        <color theme="1"/>
      </font>
      <fill>
        <patternFill>
          <bgColor theme="6" tint="0.59996337778862885"/>
        </patternFill>
      </fill>
      <border>
        <left style="thin">
          <color auto="1"/>
        </left>
        <right style="thin">
          <color auto="1"/>
        </right>
        <top style="thin">
          <color auto="1"/>
        </top>
        <bottom style="thin">
          <color auto="1"/>
        </bottom>
      </border>
    </dxf>
    <dxf>
      <font>
        <b val="0"/>
        <i val="0"/>
        <color theme="1"/>
      </font>
      <fill>
        <patternFill>
          <bgColor theme="0" tint="-4.9989318521683403E-2"/>
        </patternFill>
      </fill>
      <border>
        <left style="thin">
          <color auto="1"/>
        </left>
        <right style="thin">
          <color auto="1"/>
        </right>
        <top style="thin">
          <color auto="1"/>
        </top>
        <bottom style="thin">
          <color auto="1"/>
        </bottom>
        <vertical/>
        <horizontal/>
      </border>
    </dxf>
    <dxf>
      <fill>
        <patternFill>
          <bgColor rgb="FFCCECFF"/>
        </patternFill>
      </fill>
    </dxf>
    <dxf>
      <font>
        <b val="0"/>
        <i val="0"/>
        <color theme="1"/>
      </font>
      <fill>
        <patternFill>
          <bgColor theme="0" tint="-4.9989318521683403E-2"/>
        </patternFill>
      </fill>
      <border>
        <left style="thin">
          <color auto="1"/>
        </left>
        <right style="thin">
          <color auto="1"/>
        </right>
        <top style="thin">
          <color auto="1"/>
        </top>
        <bottom style="thin">
          <color auto="1"/>
        </bottom>
        <vertical/>
        <horizontal/>
      </border>
    </dxf>
    <dxf>
      <fill>
        <patternFill>
          <bgColor rgb="FFCCECFF"/>
        </patternFill>
      </fill>
    </dxf>
    <dxf>
      <font>
        <b/>
        <i val="0"/>
      </font>
    </dxf>
    <dxf>
      <font>
        <b val="0"/>
        <i val="0"/>
        <color theme="1"/>
      </font>
      <fill>
        <patternFill>
          <bgColor theme="0" tint="-4.9989318521683403E-2"/>
        </patternFill>
      </fill>
      <border>
        <left style="thin">
          <color auto="1"/>
        </left>
        <right style="thin">
          <color auto="1"/>
        </right>
        <top style="thin">
          <color auto="1"/>
        </top>
        <bottom style="thin">
          <color auto="1"/>
        </bottom>
        <vertical/>
        <horizontal/>
      </border>
    </dxf>
    <dxf>
      <font>
        <b/>
        <i val="0"/>
      </font>
    </dxf>
    <dxf>
      <font>
        <color theme="0" tint="-4.9989318521683403E-2"/>
      </font>
    </dxf>
    <dxf>
      <font>
        <b val="0"/>
        <i val="0"/>
        <color auto="1"/>
      </font>
      <fill>
        <patternFill>
          <bgColor theme="6" tint="0.59996337778862885"/>
        </patternFill>
      </fill>
      <border>
        <left style="thin">
          <color auto="1"/>
        </left>
        <right style="thin">
          <color auto="1"/>
        </right>
        <top style="thin">
          <color auto="1"/>
        </top>
        <bottom style="thin">
          <color auto="1"/>
        </bottom>
      </border>
    </dxf>
    <dxf>
      <font>
        <color theme="0" tint="-4.9989318521683403E-2"/>
      </font>
    </dxf>
    <dxf>
      <font>
        <color theme="0" tint="-4.9989318521683403E-2"/>
      </font>
    </dxf>
    <dxf>
      <font>
        <color theme="0" tint="-4.9989318521683403E-2"/>
      </font>
    </dxf>
    <dxf>
      <font>
        <color theme="0" tint="-4.9989318521683403E-2"/>
      </font>
    </dxf>
    <dxf>
      <font>
        <color theme="0"/>
      </font>
      <fill>
        <patternFill>
          <fgColor theme="0"/>
          <bgColor theme="0"/>
        </patternFill>
      </fill>
      <border>
        <left/>
        <right/>
        <bottom/>
        <vertical/>
        <horizontal/>
      </border>
    </dxf>
    <dxf>
      <font>
        <color theme="0"/>
      </font>
      <fill>
        <patternFill>
          <bgColor theme="0"/>
        </patternFill>
      </fill>
      <border>
        <left/>
        <right/>
        <bottom/>
        <vertical/>
        <horizontal/>
      </border>
    </dxf>
    <dxf>
      <fill>
        <patternFill>
          <bgColor rgb="FFCCECFF"/>
        </patternFill>
      </fill>
    </dxf>
    <dxf>
      <font>
        <color rgb="FFF7FEF0"/>
      </font>
    </dxf>
    <dxf>
      <fill>
        <patternFill>
          <bgColor theme="0"/>
        </patternFill>
      </fill>
    </dxf>
    <dxf>
      <font>
        <color theme="0" tint="-4.9989318521683403E-2"/>
      </font>
    </dxf>
    <dxf>
      <font>
        <color theme="0" tint="-4.9989318521683403E-2"/>
      </font>
    </dxf>
    <dxf>
      <font>
        <color theme="0" tint="-4.9989318521683403E-2"/>
      </font>
    </dxf>
    <dxf>
      <fill>
        <patternFill>
          <bgColor theme="0"/>
        </patternFill>
      </fill>
    </dxf>
    <dxf>
      <fill>
        <patternFill>
          <bgColor rgb="FFCCECFF"/>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CCECFF"/>
        </patternFill>
      </fill>
    </dxf>
    <dxf>
      <font>
        <color theme="0" tint="-4.9989318521683403E-2"/>
      </font>
    </dxf>
    <dxf>
      <fill>
        <patternFill>
          <bgColor rgb="FFCCECFF"/>
        </patternFill>
      </fill>
    </dxf>
    <dxf>
      <fill>
        <patternFill>
          <bgColor rgb="FFCCECFF"/>
        </patternFill>
      </fill>
    </dxf>
    <dxf>
      <font>
        <color theme="0"/>
      </font>
      <fill>
        <patternFill>
          <bgColor rgb="FFCCECFF"/>
        </patternFill>
      </fill>
    </dxf>
    <dxf>
      <font>
        <color theme="0"/>
      </font>
    </dxf>
    <dxf>
      <font>
        <color theme="0"/>
      </font>
      <fill>
        <patternFill>
          <bgColor theme="0"/>
        </patternFill>
      </fill>
      <border>
        <left/>
        <right/>
        <top/>
        <bottom/>
      </border>
    </dxf>
    <dxf>
      <fill>
        <patternFill patternType="solid">
          <fgColor rgb="FFCCECFF"/>
          <bgColor rgb="FFCCFFFF"/>
        </patternFill>
      </fill>
    </dxf>
    <dxf>
      <fill>
        <patternFill>
          <bgColor rgb="FF99CCFF"/>
        </patternFill>
      </fill>
    </dxf>
    <dxf>
      <font>
        <color rgb="FFFF0000"/>
      </font>
    </dxf>
    <dxf>
      <font>
        <color rgb="FFFF0000"/>
      </font>
    </dxf>
    <dxf>
      <font>
        <color theme="0"/>
      </font>
      <border>
        <left/>
        <right/>
        <top/>
        <bottom/>
        <vertical/>
        <horizontal/>
      </border>
    </dxf>
    <dxf>
      <font>
        <color theme="0"/>
      </font>
    </dxf>
    <dxf>
      <font>
        <color theme="0" tint="-4.9989318521683403E-2"/>
      </font>
    </dxf>
    <dxf>
      <font>
        <color theme="0" tint="-4.9989318521683403E-2"/>
      </font>
    </dxf>
    <dxf>
      <font>
        <color theme="0"/>
      </font>
      <fill>
        <patternFill>
          <bgColor theme="0"/>
        </patternFill>
      </fill>
      <border>
        <left/>
        <right/>
        <top/>
        <bottom/>
        <vertical/>
        <horizontal/>
      </border>
    </dxf>
    <dxf>
      <fill>
        <patternFill>
          <bgColor rgb="FFCCECFF"/>
        </patternFill>
      </fill>
    </dxf>
    <dxf>
      <font>
        <color theme="0"/>
      </font>
      <fill>
        <patternFill patternType="none">
          <bgColor auto="1"/>
        </patternFill>
      </fill>
      <border>
        <left/>
        <right/>
        <top/>
        <bottom/>
      </border>
    </dxf>
    <dxf>
      <fill>
        <patternFill>
          <bgColor rgb="FFCCECFF"/>
        </patternFill>
      </fill>
    </dxf>
    <dxf>
      <font>
        <color theme="0" tint="-4.9989318521683403E-2"/>
      </font>
    </dxf>
    <dxf>
      <fill>
        <patternFill>
          <bgColor theme="0"/>
        </patternFill>
      </fill>
    </dxf>
    <dxf>
      <fill>
        <patternFill>
          <bgColor theme="0"/>
        </patternFill>
      </fill>
    </dxf>
    <dxf>
      <font>
        <color theme="0"/>
      </font>
      <fill>
        <patternFill>
          <bgColor theme="0"/>
        </patternFill>
      </fill>
      <border>
        <left/>
        <right/>
        <bottom/>
        <vertical/>
        <horizontal/>
      </border>
    </dxf>
    <dxf>
      <fill>
        <patternFill>
          <bgColor rgb="FFCCECFF"/>
        </patternFill>
      </fill>
    </dxf>
    <dxf>
      <font>
        <color theme="0"/>
      </font>
      <fill>
        <patternFill>
          <bgColor theme="0"/>
        </patternFill>
      </fill>
      <border>
        <left/>
        <right/>
        <bottom/>
        <vertical/>
        <horizontal/>
      </border>
    </dxf>
    <dxf>
      <font>
        <color theme="0"/>
      </font>
      <fill>
        <patternFill>
          <bgColor theme="0"/>
        </patternFill>
      </fill>
      <border>
        <left/>
        <right/>
        <vertical/>
        <horizontal/>
      </border>
    </dxf>
    <dxf>
      <font>
        <color theme="0"/>
      </font>
      <fill>
        <patternFill>
          <bgColor theme="0"/>
        </patternFill>
      </fill>
      <border>
        <left/>
        <right/>
        <vertical/>
        <horizontal/>
      </border>
    </dxf>
    <dxf>
      <fill>
        <patternFill>
          <bgColor rgb="FFCCECFF"/>
        </patternFill>
      </fill>
    </dxf>
    <dxf>
      <fill>
        <patternFill>
          <bgColor rgb="FFFFFF99"/>
        </patternFill>
      </fill>
      <border>
        <left style="thin">
          <color auto="1"/>
        </left>
        <right style="thin">
          <color auto="1"/>
        </right>
        <top style="thin">
          <color auto="1"/>
        </top>
        <bottom style="thin">
          <color auto="1"/>
        </bottom>
        <vertical/>
        <horizontal/>
      </border>
    </dxf>
    <dxf>
      <fill>
        <patternFill>
          <bgColor rgb="FFFFFF99"/>
        </patternFill>
      </fill>
      <border>
        <left style="thin">
          <color auto="1"/>
        </left>
        <right style="thin">
          <color auto="1"/>
        </right>
        <top style="thin">
          <color auto="1"/>
        </top>
        <bottom style="thin">
          <color auto="1"/>
        </bottom>
        <vertical/>
        <horizontal/>
      </border>
    </dxf>
    <dxf>
      <fill>
        <patternFill>
          <bgColor rgb="FFFFFF99"/>
        </patternFill>
      </fill>
      <border>
        <left style="thin">
          <color auto="1"/>
        </left>
        <right style="thin">
          <color auto="1"/>
        </right>
        <top style="thin">
          <color auto="1"/>
        </top>
        <bottom style="thin">
          <color auto="1"/>
        </bottom>
        <vertical/>
        <horizontal/>
      </border>
    </dxf>
    <dxf>
      <fill>
        <patternFill>
          <bgColor theme="0"/>
        </patternFill>
      </fill>
    </dxf>
    <dxf>
      <font>
        <color theme="0"/>
      </font>
      <fill>
        <patternFill>
          <bgColor theme="0"/>
        </patternFill>
      </fill>
    </dxf>
    <dxf>
      <font>
        <color theme="0"/>
      </font>
      <fill>
        <patternFill>
          <bgColor theme="0"/>
        </patternFill>
      </fill>
    </dxf>
    <dxf>
      <fill>
        <patternFill>
          <bgColor rgb="FFCCECFF"/>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ill>
        <patternFill>
          <bgColor theme="7" tint="0.79998168889431442"/>
        </patternFill>
      </fill>
    </dxf>
    <dxf>
      <font>
        <color theme="7" tint="0.79998168889431442"/>
      </font>
      <fill>
        <patternFill>
          <bgColor theme="7" tint="0.79998168889431442"/>
        </patternFill>
      </fill>
      <border>
        <left/>
        <right/>
        <bottom/>
      </border>
    </dxf>
    <dxf>
      <fill>
        <patternFill>
          <bgColor theme="7" tint="0.79998168889431442"/>
        </patternFill>
      </fill>
      <border>
        <left/>
        <right/>
        <bottom/>
        <vertical/>
        <horizontal/>
      </border>
    </dxf>
    <dxf>
      <fill>
        <patternFill>
          <bgColor theme="7" tint="0.79998168889431442"/>
        </patternFill>
      </fill>
    </dxf>
    <dxf>
      <font>
        <color theme="7" tint="0.79998168889431442"/>
      </font>
      <fill>
        <patternFill>
          <bgColor theme="7" tint="0.79998168889431442"/>
        </patternFill>
      </fill>
    </dxf>
    <dxf>
      <font>
        <color theme="0"/>
      </font>
      <fill>
        <patternFill>
          <bgColor theme="0"/>
        </patternFill>
      </fill>
      <border>
        <left/>
        <right/>
        <top/>
        <bottom/>
      </border>
    </dxf>
    <dxf>
      <fill>
        <patternFill>
          <bgColor rgb="FFCCECFF"/>
        </patternFill>
      </fill>
    </dxf>
    <dxf>
      <font>
        <color theme="0" tint="-0.14996795556505021"/>
      </font>
    </dxf>
    <dxf>
      <font>
        <color theme="0" tint="-0.24994659260841701"/>
      </font>
    </dxf>
    <dxf>
      <font>
        <color theme="0" tint="-0.14996795556505021"/>
      </font>
    </dxf>
    <dxf>
      <font>
        <color theme="0" tint="-0.14996795556505021"/>
      </font>
    </dxf>
    <dxf>
      <font>
        <color theme="7" tint="0.79998168889431442"/>
      </font>
    </dxf>
    <dxf>
      <fill>
        <patternFill>
          <bgColor theme="0"/>
        </patternFill>
      </fill>
    </dxf>
    <dxf>
      <font>
        <b/>
        <i val="0"/>
        <color theme="1"/>
      </font>
      <border>
        <left style="thin">
          <color auto="1"/>
        </left>
        <right style="thin">
          <color auto="1"/>
        </right>
        <bottom style="thin">
          <color auto="1"/>
        </bottom>
        <vertical/>
        <horizontal/>
      </border>
    </dxf>
    <dxf>
      <font>
        <color auto="1"/>
      </font>
      <fill>
        <patternFill>
          <bgColor theme="0"/>
        </patternFill>
      </fill>
      <border>
        <left style="thin">
          <color auto="1"/>
        </left>
        <right style="thin">
          <color auto="1"/>
        </right>
        <top style="thin">
          <color auto="1"/>
        </top>
        <bottom style="thin">
          <color auto="1"/>
        </bottom>
        <vertical/>
        <horizontal/>
      </border>
    </dxf>
    <dxf>
      <font>
        <color rgb="FFFF0000"/>
      </font>
      <fill>
        <patternFill>
          <bgColor theme="0"/>
        </patternFill>
      </fill>
    </dxf>
    <dxf>
      <font>
        <color theme="0" tint="-0.14996795556505021"/>
      </font>
    </dxf>
    <dxf>
      <font>
        <color theme="1"/>
      </font>
    </dxf>
    <dxf>
      <font>
        <color theme="0" tint="-0.14996795556505021"/>
      </font>
    </dxf>
    <dxf>
      <font>
        <color theme="0" tint="-0.14996795556505021"/>
      </font>
    </dxf>
    <dxf>
      <font>
        <color theme="7" tint="0.79998168889431442"/>
      </font>
    </dxf>
    <dxf>
      <font>
        <color theme="1"/>
      </font>
    </dxf>
    <dxf>
      <font>
        <color theme="0" tint="-0.14996795556505021"/>
      </font>
    </dxf>
    <dxf>
      <font>
        <color theme="0" tint="-4.9989318521683403E-2"/>
      </font>
    </dxf>
    <dxf>
      <font>
        <color theme="0" tint="-4.9989318521683403E-2"/>
      </font>
    </dxf>
    <dxf>
      <font>
        <color rgb="FFFF0000"/>
      </font>
      <fill>
        <patternFill>
          <bgColor theme="0"/>
        </patternFill>
      </fill>
    </dxf>
    <dxf>
      <font>
        <color theme="0" tint="-4.9989318521683403E-2"/>
      </font>
    </dxf>
    <dxf>
      <font>
        <color theme="4"/>
      </font>
    </dxf>
    <dxf>
      <font>
        <color theme="1"/>
      </font>
    </dxf>
    <dxf>
      <font>
        <color theme="1"/>
      </font>
    </dxf>
    <dxf>
      <font>
        <color theme="0" tint="-4.9989318521683403E-2"/>
      </font>
    </dxf>
    <dxf>
      <font>
        <color theme="0" tint="-4.9989318521683403E-2"/>
      </font>
    </dxf>
    <dxf>
      <font>
        <color theme="0"/>
      </font>
    </dxf>
    <dxf>
      <font>
        <color theme="0"/>
      </font>
      <fill>
        <patternFill>
          <bgColor theme="0"/>
        </patternFill>
      </fill>
      <border>
        <left/>
        <right/>
        <bottom/>
        <vertical/>
        <horizontal/>
      </border>
    </dxf>
    <dxf>
      <border>
        <right style="thin">
          <color auto="1"/>
        </right>
        <bottom style="thin">
          <color auto="1"/>
        </bottom>
      </border>
    </dxf>
    <dxf>
      <font>
        <color auto="1"/>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auto="1"/>
      </font>
      <fill>
        <patternFill>
          <bgColor rgb="FFFBFD95"/>
        </patternFill>
      </fill>
    </dxf>
    <dxf>
      <font>
        <color auto="1"/>
      </font>
      <border>
        <right style="thin">
          <color auto="1"/>
        </right>
        <vertical/>
        <horizontal/>
      </border>
    </dxf>
    <dxf>
      <fill>
        <patternFill>
          <bgColor theme="6" tint="0.59996337778862885"/>
        </patternFill>
      </fill>
      <border>
        <left style="thin">
          <color auto="1"/>
        </left>
        <right style="thin">
          <color auto="1"/>
        </right>
        <bottom style="thin">
          <color auto="1"/>
        </bottom>
        <vertical/>
        <horizontal/>
      </border>
    </dxf>
    <dxf>
      <fill>
        <patternFill>
          <bgColor theme="6" tint="0.59996337778862885"/>
        </patternFill>
      </fill>
      <border>
        <left style="thin">
          <color auto="1"/>
        </left>
        <right style="thin">
          <color auto="1"/>
        </right>
        <vertical/>
        <horizontal/>
      </border>
    </dxf>
    <dxf>
      <font>
        <color theme="1"/>
      </font>
      <fill>
        <patternFill>
          <bgColor theme="6" tint="0.59996337778862885"/>
        </patternFill>
      </fill>
      <border>
        <left style="thin">
          <color auto="1"/>
        </left>
        <right style="thin">
          <color auto="1"/>
        </right>
        <vertical/>
        <horizontal/>
      </border>
    </dxf>
    <dxf>
      <font>
        <b/>
        <i val="0"/>
        <color theme="1"/>
      </font>
      <fill>
        <patternFill>
          <bgColor theme="6" tint="0.59996337778862885"/>
        </patternFill>
      </fill>
      <border>
        <left style="thin">
          <color auto="1"/>
        </left>
        <right style="thin">
          <color auto="1"/>
        </right>
        <top style="thin">
          <color auto="1"/>
        </top>
        <bottom style="thin">
          <color auto="1"/>
        </bottom>
        <vertical/>
        <horizontal/>
      </border>
    </dxf>
    <dxf>
      <fill>
        <patternFill>
          <bgColor rgb="FFCCECFF"/>
        </patternFill>
      </fill>
    </dxf>
    <dxf>
      <font>
        <color theme="0"/>
      </font>
    </dxf>
    <dxf>
      <font>
        <color theme="0" tint="-4.9989318521683403E-2"/>
      </font>
    </dxf>
    <dxf>
      <font>
        <color theme="0" tint="-4.9989318521683403E-2"/>
      </font>
    </dxf>
    <dxf>
      <font>
        <color theme="0" tint="-4.9989318521683403E-2"/>
      </font>
    </dxf>
    <dxf>
      <fill>
        <patternFill>
          <bgColor rgb="FFCCECFF"/>
        </patternFill>
      </fill>
    </dxf>
    <dxf>
      <font>
        <color theme="0" tint="-4.9989318521683403E-2"/>
      </font>
    </dxf>
    <dxf>
      <fill>
        <patternFill>
          <bgColor theme="0"/>
        </patternFill>
      </fill>
    </dxf>
    <dxf>
      <font>
        <color theme="0"/>
      </font>
    </dxf>
    <dxf>
      <font>
        <color theme="0"/>
      </font>
      <fill>
        <patternFill>
          <bgColor theme="0"/>
        </patternFill>
      </fill>
      <border>
        <left/>
        <right/>
        <bottom/>
        <vertical/>
        <horizontal/>
      </border>
    </dxf>
    <dxf>
      <fill>
        <patternFill>
          <bgColor rgb="FF99CCFF"/>
        </patternFill>
      </fill>
    </dxf>
    <dxf>
      <fill>
        <patternFill>
          <bgColor rgb="FFCCECFF"/>
        </patternFill>
      </fill>
    </dxf>
    <dxf>
      <fill>
        <patternFill>
          <bgColor theme="0"/>
        </patternFill>
      </fill>
    </dxf>
    <dxf>
      <font>
        <color theme="0"/>
      </font>
    </dxf>
    <dxf>
      <fill>
        <patternFill>
          <bgColor theme="0"/>
        </patternFill>
      </fill>
    </dxf>
    <dxf>
      <font>
        <b/>
        <i val="0"/>
      </font>
      <border>
        <left style="medium">
          <color auto="1"/>
        </left>
        <right style="medium">
          <color auto="1"/>
        </right>
        <top style="medium">
          <color auto="1"/>
        </top>
        <bottom style="medium">
          <color auto="1"/>
        </bottom>
        <vertical style="medium">
          <color auto="1"/>
        </vertical>
        <horizontal style="medium">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ellenformat 1" pivot="0" count="2" xr9:uid="{00000000-0011-0000-FFFF-FFFF00000000}">
      <tableStyleElement type="wholeTable" dxfId="255"/>
      <tableStyleElement type="totalRow" dxfId="254"/>
    </tableStyle>
  </tableStyles>
  <colors>
    <mruColors>
      <color rgb="FF6699FF"/>
      <color rgb="FFCCECFF"/>
      <color rgb="FF99CCFF"/>
      <color rgb="FF66CCFF"/>
      <color rgb="FFFFFF99"/>
      <color rgb="FFFFCCFF"/>
      <color rgb="FFCCFFFF"/>
      <color rgb="FFFAF0CC"/>
      <color rgb="FFF0F5E6"/>
      <color rgb="FFCFE8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742950</xdr:colOff>
      <xdr:row>98</xdr:row>
      <xdr:rowOff>104774</xdr:rowOff>
    </xdr:from>
    <xdr:to>
      <xdr:col>3</xdr:col>
      <xdr:colOff>800100</xdr:colOff>
      <xdr:row>100</xdr:row>
      <xdr:rowOff>9524</xdr:rowOff>
    </xdr:to>
    <xdr:sp macro="" textlink="">
      <xdr:nvSpPr>
        <xdr:cNvPr id="3" name="Textfeld 2">
          <a:extLst>
            <a:ext uri="{FF2B5EF4-FFF2-40B4-BE49-F238E27FC236}">
              <a16:creationId xmlns:a16="http://schemas.microsoft.com/office/drawing/2014/main" id="{555A76DC-D25C-4733-9407-42663E4BC220}"/>
            </a:ext>
          </a:extLst>
        </xdr:cNvPr>
        <xdr:cNvSpPr txBox="1"/>
      </xdr:nvSpPr>
      <xdr:spPr>
        <a:xfrm>
          <a:off x="2419350" y="17297399"/>
          <a:ext cx="8953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19050</xdr:colOff>
      <xdr:row>149</xdr:row>
      <xdr:rowOff>123824</xdr:rowOff>
    </xdr:from>
    <xdr:to>
      <xdr:col>4</xdr:col>
      <xdr:colOff>76200</xdr:colOff>
      <xdr:row>151</xdr:row>
      <xdr:rowOff>28574</xdr:rowOff>
    </xdr:to>
    <xdr:sp macro="" textlink="">
      <xdr:nvSpPr>
        <xdr:cNvPr id="4" name="Textfeld 3">
          <a:extLst>
            <a:ext uri="{FF2B5EF4-FFF2-40B4-BE49-F238E27FC236}">
              <a16:creationId xmlns:a16="http://schemas.microsoft.com/office/drawing/2014/main" id="{231E43F1-C6E1-400A-B7D3-82BE7D7A5A2C}"/>
            </a:ext>
          </a:extLst>
        </xdr:cNvPr>
        <xdr:cNvSpPr txBox="1"/>
      </xdr:nvSpPr>
      <xdr:spPr>
        <a:xfrm>
          <a:off x="2533650" y="26546174"/>
          <a:ext cx="8953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38100</xdr:colOff>
      <xdr:row>200</xdr:row>
      <xdr:rowOff>133350</xdr:rowOff>
    </xdr:from>
    <xdr:to>
      <xdr:col>4</xdr:col>
      <xdr:colOff>95250</xdr:colOff>
      <xdr:row>202</xdr:row>
      <xdr:rowOff>38100</xdr:rowOff>
    </xdr:to>
    <xdr:sp macro="" textlink="">
      <xdr:nvSpPr>
        <xdr:cNvPr id="5" name="Textfeld 4">
          <a:extLst>
            <a:ext uri="{FF2B5EF4-FFF2-40B4-BE49-F238E27FC236}">
              <a16:creationId xmlns:a16="http://schemas.microsoft.com/office/drawing/2014/main" id="{A495BABF-FB6D-4707-89A7-56D6E8DE45B8}"/>
            </a:ext>
          </a:extLst>
        </xdr:cNvPr>
        <xdr:cNvSpPr txBox="1"/>
      </xdr:nvSpPr>
      <xdr:spPr>
        <a:xfrm>
          <a:off x="2552700" y="35785425"/>
          <a:ext cx="8953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2</xdr:col>
      <xdr:colOff>742950</xdr:colOff>
      <xdr:row>251</xdr:row>
      <xdr:rowOff>152400</xdr:rowOff>
    </xdr:from>
    <xdr:to>
      <xdr:col>3</xdr:col>
      <xdr:colOff>800100</xdr:colOff>
      <xdr:row>253</xdr:row>
      <xdr:rowOff>57150</xdr:rowOff>
    </xdr:to>
    <xdr:sp macro="" textlink="">
      <xdr:nvSpPr>
        <xdr:cNvPr id="6" name="Textfeld 5">
          <a:extLst>
            <a:ext uri="{FF2B5EF4-FFF2-40B4-BE49-F238E27FC236}">
              <a16:creationId xmlns:a16="http://schemas.microsoft.com/office/drawing/2014/main" id="{A8F3C41F-9DD2-4506-806F-E282A6D7B47D}"/>
            </a:ext>
          </a:extLst>
        </xdr:cNvPr>
        <xdr:cNvSpPr txBox="1"/>
      </xdr:nvSpPr>
      <xdr:spPr>
        <a:xfrm>
          <a:off x="2419350" y="45034200"/>
          <a:ext cx="8953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2</xdr:col>
      <xdr:colOff>809625</xdr:colOff>
      <xdr:row>302</xdr:row>
      <xdr:rowOff>133349</xdr:rowOff>
    </xdr:from>
    <xdr:to>
      <xdr:col>4</xdr:col>
      <xdr:colOff>28575</xdr:colOff>
      <xdr:row>304</xdr:row>
      <xdr:rowOff>38099</xdr:rowOff>
    </xdr:to>
    <xdr:sp macro="" textlink="">
      <xdr:nvSpPr>
        <xdr:cNvPr id="7" name="Textfeld 6">
          <a:extLst>
            <a:ext uri="{FF2B5EF4-FFF2-40B4-BE49-F238E27FC236}">
              <a16:creationId xmlns:a16="http://schemas.microsoft.com/office/drawing/2014/main" id="{BDFBBD9B-65CF-4954-A54A-4046C4FE3EAE}"/>
            </a:ext>
          </a:extLst>
        </xdr:cNvPr>
        <xdr:cNvSpPr txBox="1"/>
      </xdr:nvSpPr>
      <xdr:spPr>
        <a:xfrm>
          <a:off x="2486025" y="54244874"/>
          <a:ext cx="8953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2</xdr:col>
      <xdr:colOff>819150</xdr:colOff>
      <xdr:row>353</xdr:row>
      <xdr:rowOff>95250</xdr:rowOff>
    </xdr:from>
    <xdr:to>
      <xdr:col>4</xdr:col>
      <xdr:colOff>38100</xdr:colOff>
      <xdr:row>355</xdr:row>
      <xdr:rowOff>0</xdr:rowOff>
    </xdr:to>
    <xdr:sp macro="" textlink="">
      <xdr:nvSpPr>
        <xdr:cNvPr id="8" name="Textfeld 7">
          <a:extLst>
            <a:ext uri="{FF2B5EF4-FFF2-40B4-BE49-F238E27FC236}">
              <a16:creationId xmlns:a16="http://schemas.microsoft.com/office/drawing/2014/main" id="{A551EC31-78C7-49CA-8873-40B8DB9BD04F}"/>
            </a:ext>
          </a:extLst>
        </xdr:cNvPr>
        <xdr:cNvSpPr txBox="1"/>
      </xdr:nvSpPr>
      <xdr:spPr>
        <a:xfrm>
          <a:off x="2495550" y="63436500"/>
          <a:ext cx="8953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2</xdr:col>
      <xdr:colOff>819150</xdr:colOff>
      <xdr:row>404</xdr:row>
      <xdr:rowOff>171449</xdr:rowOff>
    </xdr:from>
    <xdr:to>
      <xdr:col>4</xdr:col>
      <xdr:colOff>38100</xdr:colOff>
      <xdr:row>406</xdr:row>
      <xdr:rowOff>76199</xdr:rowOff>
    </xdr:to>
    <xdr:sp macro="" textlink="">
      <xdr:nvSpPr>
        <xdr:cNvPr id="9" name="Textfeld 8">
          <a:extLst>
            <a:ext uri="{FF2B5EF4-FFF2-40B4-BE49-F238E27FC236}">
              <a16:creationId xmlns:a16="http://schemas.microsoft.com/office/drawing/2014/main" id="{E8BC479C-3927-410B-ACC7-6E27DE9E5BAB}"/>
            </a:ext>
          </a:extLst>
        </xdr:cNvPr>
        <xdr:cNvSpPr txBox="1"/>
      </xdr:nvSpPr>
      <xdr:spPr>
        <a:xfrm>
          <a:off x="2495550" y="72742424"/>
          <a:ext cx="8953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2</xdr:col>
      <xdr:colOff>742950</xdr:colOff>
      <xdr:row>98</xdr:row>
      <xdr:rowOff>104774</xdr:rowOff>
    </xdr:from>
    <xdr:to>
      <xdr:col>3</xdr:col>
      <xdr:colOff>800100</xdr:colOff>
      <xdr:row>100</xdr:row>
      <xdr:rowOff>9524</xdr:rowOff>
    </xdr:to>
    <xdr:sp macro="" textlink="">
      <xdr:nvSpPr>
        <xdr:cNvPr id="10" name="Textfeld 9">
          <a:extLst>
            <a:ext uri="{FF2B5EF4-FFF2-40B4-BE49-F238E27FC236}">
              <a16:creationId xmlns:a16="http://schemas.microsoft.com/office/drawing/2014/main" id="{63F56119-2BDA-466F-9E22-45315DE54C0C}"/>
            </a:ext>
          </a:extLst>
        </xdr:cNvPr>
        <xdr:cNvSpPr txBox="1"/>
      </xdr:nvSpPr>
      <xdr:spPr>
        <a:xfrm>
          <a:off x="7800975" y="68227574"/>
          <a:ext cx="273367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19050</xdr:colOff>
      <xdr:row>149</xdr:row>
      <xdr:rowOff>123824</xdr:rowOff>
    </xdr:from>
    <xdr:to>
      <xdr:col>4</xdr:col>
      <xdr:colOff>76200</xdr:colOff>
      <xdr:row>151</xdr:row>
      <xdr:rowOff>28574</xdr:rowOff>
    </xdr:to>
    <xdr:sp macro="" textlink="">
      <xdr:nvSpPr>
        <xdr:cNvPr id="11" name="Textfeld 10">
          <a:extLst>
            <a:ext uri="{FF2B5EF4-FFF2-40B4-BE49-F238E27FC236}">
              <a16:creationId xmlns:a16="http://schemas.microsoft.com/office/drawing/2014/main" id="{9FFF7562-BB36-41FB-AC0B-599A5E25CD7A}"/>
            </a:ext>
          </a:extLst>
        </xdr:cNvPr>
        <xdr:cNvSpPr txBox="1"/>
      </xdr:nvSpPr>
      <xdr:spPr>
        <a:xfrm>
          <a:off x="9753600" y="79905224"/>
          <a:ext cx="89535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38100</xdr:colOff>
      <xdr:row>200</xdr:row>
      <xdr:rowOff>133350</xdr:rowOff>
    </xdr:from>
    <xdr:to>
      <xdr:col>4</xdr:col>
      <xdr:colOff>95250</xdr:colOff>
      <xdr:row>202</xdr:row>
      <xdr:rowOff>38100</xdr:rowOff>
    </xdr:to>
    <xdr:sp macro="" textlink="">
      <xdr:nvSpPr>
        <xdr:cNvPr id="12" name="Textfeld 11">
          <a:extLst>
            <a:ext uri="{FF2B5EF4-FFF2-40B4-BE49-F238E27FC236}">
              <a16:creationId xmlns:a16="http://schemas.microsoft.com/office/drawing/2014/main" id="{38813295-7047-41C1-B93C-6AD3A61F30D6}"/>
            </a:ext>
          </a:extLst>
        </xdr:cNvPr>
        <xdr:cNvSpPr txBox="1"/>
      </xdr:nvSpPr>
      <xdr:spPr>
        <a:xfrm>
          <a:off x="9772650" y="91573350"/>
          <a:ext cx="89535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2</xdr:col>
      <xdr:colOff>742950</xdr:colOff>
      <xdr:row>251</xdr:row>
      <xdr:rowOff>152400</xdr:rowOff>
    </xdr:from>
    <xdr:to>
      <xdr:col>3</xdr:col>
      <xdr:colOff>800100</xdr:colOff>
      <xdr:row>253</xdr:row>
      <xdr:rowOff>57150</xdr:rowOff>
    </xdr:to>
    <xdr:sp macro="" textlink="">
      <xdr:nvSpPr>
        <xdr:cNvPr id="13" name="Textfeld 12">
          <a:extLst>
            <a:ext uri="{FF2B5EF4-FFF2-40B4-BE49-F238E27FC236}">
              <a16:creationId xmlns:a16="http://schemas.microsoft.com/office/drawing/2014/main" id="{B3945762-4461-4018-B397-35ACC7D29BE2}"/>
            </a:ext>
          </a:extLst>
        </xdr:cNvPr>
        <xdr:cNvSpPr txBox="1"/>
      </xdr:nvSpPr>
      <xdr:spPr>
        <a:xfrm>
          <a:off x="7800975" y="103251000"/>
          <a:ext cx="273367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2</xdr:col>
      <xdr:colOff>809625</xdr:colOff>
      <xdr:row>302</xdr:row>
      <xdr:rowOff>133349</xdr:rowOff>
    </xdr:from>
    <xdr:to>
      <xdr:col>4</xdr:col>
      <xdr:colOff>28575</xdr:colOff>
      <xdr:row>304</xdr:row>
      <xdr:rowOff>38099</xdr:rowOff>
    </xdr:to>
    <xdr:sp macro="" textlink="">
      <xdr:nvSpPr>
        <xdr:cNvPr id="14" name="Textfeld 13">
          <a:extLst>
            <a:ext uri="{FF2B5EF4-FFF2-40B4-BE49-F238E27FC236}">
              <a16:creationId xmlns:a16="http://schemas.microsoft.com/office/drawing/2014/main" id="{986213FD-F891-461B-B76A-2B92D2D6C2C5}"/>
            </a:ext>
          </a:extLst>
        </xdr:cNvPr>
        <xdr:cNvSpPr txBox="1"/>
      </xdr:nvSpPr>
      <xdr:spPr>
        <a:xfrm>
          <a:off x="7867650" y="114890549"/>
          <a:ext cx="273367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2</xdr:col>
      <xdr:colOff>819150</xdr:colOff>
      <xdr:row>353</xdr:row>
      <xdr:rowOff>95250</xdr:rowOff>
    </xdr:from>
    <xdr:to>
      <xdr:col>4</xdr:col>
      <xdr:colOff>38100</xdr:colOff>
      <xdr:row>355</xdr:row>
      <xdr:rowOff>0</xdr:rowOff>
    </xdr:to>
    <xdr:sp macro="" textlink="">
      <xdr:nvSpPr>
        <xdr:cNvPr id="15" name="Textfeld 14">
          <a:extLst>
            <a:ext uri="{FF2B5EF4-FFF2-40B4-BE49-F238E27FC236}">
              <a16:creationId xmlns:a16="http://schemas.microsoft.com/office/drawing/2014/main" id="{04CF1E44-4B6E-4942-A0BD-EFDD846B37D1}"/>
            </a:ext>
          </a:extLst>
        </xdr:cNvPr>
        <xdr:cNvSpPr txBox="1"/>
      </xdr:nvSpPr>
      <xdr:spPr>
        <a:xfrm>
          <a:off x="7877175" y="126511050"/>
          <a:ext cx="273367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2</xdr:col>
      <xdr:colOff>819150</xdr:colOff>
      <xdr:row>404</xdr:row>
      <xdr:rowOff>171449</xdr:rowOff>
    </xdr:from>
    <xdr:to>
      <xdr:col>4</xdr:col>
      <xdr:colOff>38100</xdr:colOff>
      <xdr:row>406</xdr:row>
      <xdr:rowOff>76199</xdr:rowOff>
    </xdr:to>
    <xdr:sp macro="" textlink="">
      <xdr:nvSpPr>
        <xdr:cNvPr id="16" name="Textfeld 15">
          <a:extLst>
            <a:ext uri="{FF2B5EF4-FFF2-40B4-BE49-F238E27FC236}">
              <a16:creationId xmlns:a16="http://schemas.microsoft.com/office/drawing/2014/main" id="{839CE49F-3B7D-4DEC-8161-D4F87FA5B219}"/>
            </a:ext>
          </a:extLst>
        </xdr:cNvPr>
        <xdr:cNvSpPr txBox="1"/>
      </xdr:nvSpPr>
      <xdr:spPr>
        <a:xfrm>
          <a:off x="7877175" y="138245849"/>
          <a:ext cx="273367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42</xdr:row>
          <xdr:rowOff>9525</xdr:rowOff>
        </xdr:from>
        <xdr:to>
          <xdr:col>8</xdr:col>
          <xdr:colOff>247650</xdr:colOff>
          <xdr:row>42</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57150</xdr:colOff>
          <xdr:row>21</xdr:row>
          <xdr:rowOff>28575</xdr:rowOff>
        </xdr:from>
        <xdr:to>
          <xdr:col>15</xdr:col>
          <xdr:colOff>314325</xdr:colOff>
          <xdr:row>22</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22</xdr:row>
          <xdr:rowOff>28575</xdr:rowOff>
        </xdr:from>
        <xdr:to>
          <xdr:col>15</xdr:col>
          <xdr:colOff>314325</xdr:colOff>
          <xdr:row>23</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23</xdr:row>
          <xdr:rowOff>0</xdr:rowOff>
        </xdr:from>
        <xdr:to>
          <xdr:col>15</xdr:col>
          <xdr:colOff>314325</xdr:colOff>
          <xdr:row>24</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23</xdr:row>
          <xdr:rowOff>0</xdr:rowOff>
        </xdr:from>
        <xdr:to>
          <xdr:col>15</xdr:col>
          <xdr:colOff>314325</xdr:colOff>
          <xdr:row>24</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24</xdr:row>
          <xdr:rowOff>28575</xdr:rowOff>
        </xdr:from>
        <xdr:to>
          <xdr:col>15</xdr:col>
          <xdr:colOff>314325</xdr:colOff>
          <xdr:row>25</xdr:row>
          <xdr:rowOff>28575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25</xdr:row>
          <xdr:rowOff>28575</xdr:rowOff>
        </xdr:from>
        <xdr:to>
          <xdr:col>15</xdr:col>
          <xdr:colOff>314325</xdr:colOff>
          <xdr:row>26</xdr:row>
          <xdr:rowOff>28575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26</xdr:row>
          <xdr:rowOff>28575</xdr:rowOff>
        </xdr:from>
        <xdr:to>
          <xdr:col>15</xdr:col>
          <xdr:colOff>314325</xdr:colOff>
          <xdr:row>27</xdr:row>
          <xdr:rowOff>28575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5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27</xdr:row>
          <xdr:rowOff>28575</xdr:rowOff>
        </xdr:from>
        <xdr:to>
          <xdr:col>15</xdr:col>
          <xdr:colOff>314325</xdr:colOff>
          <xdr:row>28</xdr:row>
          <xdr:rowOff>28575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5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42</xdr:row>
          <xdr:rowOff>28575</xdr:rowOff>
        </xdr:from>
        <xdr:to>
          <xdr:col>15</xdr:col>
          <xdr:colOff>314325</xdr:colOff>
          <xdr:row>43</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5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43</xdr:row>
          <xdr:rowOff>28575</xdr:rowOff>
        </xdr:from>
        <xdr:to>
          <xdr:col>15</xdr:col>
          <xdr:colOff>314325</xdr:colOff>
          <xdr:row>44</xdr:row>
          <xdr:rowOff>28575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5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44</xdr:row>
          <xdr:rowOff>28575</xdr:rowOff>
        </xdr:from>
        <xdr:to>
          <xdr:col>15</xdr:col>
          <xdr:colOff>314325</xdr:colOff>
          <xdr:row>45</xdr:row>
          <xdr:rowOff>28575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5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45</xdr:row>
          <xdr:rowOff>28575</xdr:rowOff>
        </xdr:from>
        <xdr:to>
          <xdr:col>15</xdr:col>
          <xdr:colOff>314325</xdr:colOff>
          <xdr:row>46</xdr:row>
          <xdr:rowOff>38100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5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46</xdr:row>
          <xdr:rowOff>0</xdr:rowOff>
        </xdr:from>
        <xdr:to>
          <xdr:col>15</xdr:col>
          <xdr:colOff>314325</xdr:colOff>
          <xdr:row>47</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5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48</xdr:row>
          <xdr:rowOff>28575</xdr:rowOff>
        </xdr:from>
        <xdr:to>
          <xdr:col>15</xdr:col>
          <xdr:colOff>314325</xdr:colOff>
          <xdr:row>49</xdr:row>
          <xdr:rowOff>38100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5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20</xdr:row>
          <xdr:rowOff>28575</xdr:rowOff>
        </xdr:from>
        <xdr:to>
          <xdr:col>15</xdr:col>
          <xdr:colOff>314325</xdr:colOff>
          <xdr:row>21</xdr:row>
          <xdr:rowOff>28575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5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11</xdr:row>
          <xdr:rowOff>0</xdr:rowOff>
        </xdr:from>
        <xdr:to>
          <xdr:col>3</xdr:col>
          <xdr:colOff>990600</xdr:colOff>
          <xdr:row>11</xdr:row>
          <xdr:rowOff>171450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5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13</xdr:row>
          <xdr:rowOff>0</xdr:rowOff>
        </xdr:from>
        <xdr:to>
          <xdr:col>3</xdr:col>
          <xdr:colOff>990600</xdr:colOff>
          <xdr:row>14</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5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20</xdr:row>
          <xdr:rowOff>0</xdr:rowOff>
        </xdr:from>
        <xdr:to>
          <xdr:col>3</xdr:col>
          <xdr:colOff>990600</xdr:colOff>
          <xdr:row>21</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5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22</xdr:row>
          <xdr:rowOff>0</xdr:rowOff>
        </xdr:from>
        <xdr:to>
          <xdr:col>3</xdr:col>
          <xdr:colOff>990600</xdr:colOff>
          <xdr:row>23</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5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5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24</xdr:row>
          <xdr:rowOff>0</xdr:rowOff>
        </xdr:from>
        <xdr:to>
          <xdr:col>3</xdr:col>
          <xdr:colOff>990600</xdr:colOff>
          <xdr:row>25</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5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24</xdr:row>
          <xdr:rowOff>0</xdr:rowOff>
        </xdr:from>
        <xdr:to>
          <xdr:col>3</xdr:col>
          <xdr:colOff>914400</xdr:colOff>
          <xdr:row>25</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5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5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23</xdr:row>
          <xdr:rowOff>0</xdr:rowOff>
        </xdr:from>
        <xdr:to>
          <xdr:col>3</xdr:col>
          <xdr:colOff>914400</xdr:colOff>
          <xdr:row>24</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5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22</xdr:row>
          <xdr:rowOff>0</xdr:rowOff>
        </xdr:from>
        <xdr:to>
          <xdr:col>3</xdr:col>
          <xdr:colOff>990600</xdr:colOff>
          <xdr:row>23</xdr:row>
          <xdr:rowOff>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5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22</xdr:row>
          <xdr:rowOff>0</xdr:rowOff>
        </xdr:from>
        <xdr:to>
          <xdr:col>3</xdr:col>
          <xdr:colOff>914400</xdr:colOff>
          <xdr:row>23</xdr:row>
          <xdr:rowOff>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5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20</xdr:row>
          <xdr:rowOff>0</xdr:rowOff>
        </xdr:from>
        <xdr:to>
          <xdr:col>3</xdr:col>
          <xdr:colOff>990600</xdr:colOff>
          <xdr:row>21</xdr:row>
          <xdr:rowOff>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5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20</xdr:row>
          <xdr:rowOff>0</xdr:rowOff>
        </xdr:from>
        <xdr:to>
          <xdr:col>3</xdr:col>
          <xdr:colOff>914400</xdr:colOff>
          <xdr:row>21</xdr:row>
          <xdr:rowOff>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5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13</xdr:row>
          <xdr:rowOff>0</xdr:rowOff>
        </xdr:from>
        <xdr:to>
          <xdr:col>3</xdr:col>
          <xdr:colOff>990600</xdr:colOff>
          <xdr:row>14</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5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13</xdr:row>
          <xdr:rowOff>0</xdr:rowOff>
        </xdr:from>
        <xdr:to>
          <xdr:col>3</xdr:col>
          <xdr:colOff>914400</xdr:colOff>
          <xdr:row>14</xdr:row>
          <xdr:rowOff>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5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11</xdr:row>
          <xdr:rowOff>0</xdr:rowOff>
        </xdr:from>
        <xdr:to>
          <xdr:col>3</xdr:col>
          <xdr:colOff>990600</xdr:colOff>
          <xdr:row>11</xdr:row>
          <xdr:rowOff>171450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5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11</xdr:row>
          <xdr:rowOff>0</xdr:rowOff>
        </xdr:from>
        <xdr:to>
          <xdr:col>3</xdr:col>
          <xdr:colOff>914400</xdr:colOff>
          <xdr:row>11</xdr:row>
          <xdr:rowOff>171450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5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9</xdr:row>
          <xdr:rowOff>0</xdr:rowOff>
        </xdr:from>
        <xdr:to>
          <xdr:col>3</xdr:col>
          <xdr:colOff>990600</xdr:colOff>
          <xdr:row>9</xdr:row>
          <xdr:rowOff>171450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5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9</xdr:row>
          <xdr:rowOff>0</xdr:rowOff>
        </xdr:from>
        <xdr:to>
          <xdr:col>3</xdr:col>
          <xdr:colOff>914400</xdr:colOff>
          <xdr:row>9</xdr:row>
          <xdr:rowOff>171450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5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11</xdr:row>
          <xdr:rowOff>0</xdr:rowOff>
        </xdr:from>
        <xdr:to>
          <xdr:col>3</xdr:col>
          <xdr:colOff>990600</xdr:colOff>
          <xdr:row>11</xdr:row>
          <xdr:rowOff>171450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5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11</xdr:row>
          <xdr:rowOff>0</xdr:rowOff>
        </xdr:from>
        <xdr:to>
          <xdr:col>3</xdr:col>
          <xdr:colOff>914400</xdr:colOff>
          <xdr:row>11</xdr:row>
          <xdr:rowOff>171450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5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13</xdr:row>
          <xdr:rowOff>0</xdr:rowOff>
        </xdr:from>
        <xdr:to>
          <xdr:col>3</xdr:col>
          <xdr:colOff>990600</xdr:colOff>
          <xdr:row>14</xdr:row>
          <xdr:rowOff>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5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13</xdr:row>
          <xdr:rowOff>0</xdr:rowOff>
        </xdr:from>
        <xdr:to>
          <xdr:col>3</xdr:col>
          <xdr:colOff>990600</xdr:colOff>
          <xdr:row>14</xdr:row>
          <xdr:rowOff>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5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13</xdr:row>
          <xdr:rowOff>0</xdr:rowOff>
        </xdr:from>
        <xdr:to>
          <xdr:col>3</xdr:col>
          <xdr:colOff>914400</xdr:colOff>
          <xdr:row>14</xdr:row>
          <xdr:rowOff>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5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13</xdr:row>
          <xdr:rowOff>0</xdr:rowOff>
        </xdr:from>
        <xdr:to>
          <xdr:col>3</xdr:col>
          <xdr:colOff>990600</xdr:colOff>
          <xdr:row>14</xdr:row>
          <xdr:rowOff>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5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13</xdr:row>
          <xdr:rowOff>0</xdr:rowOff>
        </xdr:from>
        <xdr:to>
          <xdr:col>3</xdr:col>
          <xdr:colOff>914400</xdr:colOff>
          <xdr:row>14</xdr:row>
          <xdr:rowOff>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5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20</xdr:row>
          <xdr:rowOff>0</xdr:rowOff>
        </xdr:from>
        <xdr:to>
          <xdr:col>3</xdr:col>
          <xdr:colOff>990600</xdr:colOff>
          <xdr:row>21</xdr:row>
          <xdr:rowOff>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5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20</xdr:row>
          <xdr:rowOff>0</xdr:rowOff>
        </xdr:from>
        <xdr:to>
          <xdr:col>3</xdr:col>
          <xdr:colOff>990600</xdr:colOff>
          <xdr:row>21</xdr:row>
          <xdr:rowOff>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5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20</xdr:row>
          <xdr:rowOff>0</xdr:rowOff>
        </xdr:from>
        <xdr:to>
          <xdr:col>3</xdr:col>
          <xdr:colOff>914400</xdr:colOff>
          <xdr:row>21</xdr:row>
          <xdr:rowOff>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5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20</xdr:row>
          <xdr:rowOff>0</xdr:rowOff>
        </xdr:from>
        <xdr:to>
          <xdr:col>3</xdr:col>
          <xdr:colOff>990600</xdr:colOff>
          <xdr:row>21</xdr:row>
          <xdr:rowOff>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5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20</xdr:row>
          <xdr:rowOff>0</xdr:rowOff>
        </xdr:from>
        <xdr:to>
          <xdr:col>3</xdr:col>
          <xdr:colOff>914400</xdr:colOff>
          <xdr:row>21</xdr:row>
          <xdr:rowOff>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5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22</xdr:row>
          <xdr:rowOff>0</xdr:rowOff>
        </xdr:from>
        <xdr:to>
          <xdr:col>3</xdr:col>
          <xdr:colOff>990600</xdr:colOff>
          <xdr:row>23</xdr:row>
          <xdr:rowOff>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5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22</xdr:row>
          <xdr:rowOff>0</xdr:rowOff>
        </xdr:from>
        <xdr:to>
          <xdr:col>3</xdr:col>
          <xdr:colOff>990600</xdr:colOff>
          <xdr:row>23</xdr:row>
          <xdr:rowOff>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5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22</xdr:row>
          <xdr:rowOff>0</xdr:rowOff>
        </xdr:from>
        <xdr:to>
          <xdr:col>3</xdr:col>
          <xdr:colOff>914400</xdr:colOff>
          <xdr:row>23</xdr:row>
          <xdr:rowOff>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5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22</xdr:row>
          <xdr:rowOff>0</xdr:rowOff>
        </xdr:from>
        <xdr:to>
          <xdr:col>3</xdr:col>
          <xdr:colOff>990600</xdr:colOff>
          <xdr:row>23</xdr:row>
          <xdr:rowOff>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5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22</xdr:row>
          <xdr:rowOff>0</xdr:rowOff>
        </xdr:from>
        <xdr:to>
          <xdr:col>3</xdr:col>
          <xdr:colOff>914400</xdr:colOff>
          <xdr:row>23</xdr:row>
          <xdr:rowOff>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5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5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5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23</xdr:row>
          <xdr:rowOff>0</xdr:rowOff>
        </xdr:from>
        <xdr:to>
          <xdr:col>3</xdr:col>
          <xdr:colOff>914400</xdr:colOff>
          <xdr:row>24</xdr:row>
          <xdr:rowOff>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5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5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23</xdr:row>
          <xdr:rowOff>0</xdr:rowOff>
        </xdr:from>
        <xdr:to>
          <xdr:col>3</xdr:col>
          <xdr:colOff>914400</xdr:colOff>
          <xdr:row>24</xdr:row>
          <xdr:rowOff>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5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24</xdr:row>
          <xdr:rowOff>0</xdr:rowOff>
        </xdr:from>
        <xdr:to>
          <xdr:col>3</xdr:col>
          <xdr:colOff>990600</xdr:colOff>
          <xdr:row>25</xdr:row>
          <xdr:rowOff>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5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24</xdr:row>
          <xdr:rowOff>0</xdr:rowOff>
        </xdr:from>
        <xdr:to>
          <xdr:col>3</xdr:col>
          <xdr:colOff>990600</xdr:colOff>
          <xdr:row>25</xdr:row>
          <xdr:rowOff>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5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24</xdr:row>
          <xdr:rowOff>0</xdr:rowOff>
        </xdr:from>
        <xdr:to>
          <xdr:col>3</xdr:col>
          <xdr:colOff>914400</xdr:colOff>
          <xdr:row>25</xdr:row>
          <xdr:rowOff>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5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24</xdr:row>
          <xdr:rowOff>0</xdr:rowOff>
        </xdr:from>
        <xdr:to>
          <xdr:col>3</xdr:col>
          <xdr:colOff>990600</xdr:colOff>
          <xdr:row>25</xdr:row>
          <xdr:rowOff>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5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24</xdr:row>
          <xdr:rowOff>0</xdr:rowOff>
        </xdr:from>
        <xdr:to>
          <xdr:col>3</xdr:col>
          <xdr:colOff>914400</xdr:colOff>
          <xdr:row>25</xdr:row>
          <xdr:rowOff>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5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47</xdr:row>
          <xdr:rowOff>28575</xdr:rowOff>
        </xdr:from>
        <xdr:to>
          <xdr:col>15</xdr:col>
          <xdr:colOff>314325</xdr:colOff>
          <xdr:row>48</xdr:row>
          <xdr:rowOff>28575</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5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26</xdr:row>
          <xdr:rowOff>0</xdr:rowOff>
        </xdr:from>
        <xdr:to>
          <xdr:col>3</xdr:col>
          <xdr:colOff>990600</xdr:colOff>
          <xdr:row>27</xdr:row>
          <xdr:rowOff>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5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26</xdr:row>
          <xdr:rowOff>0</xdr:rowOff>
        </xdr:from>
        <xdr:to>
          <xdr:col>3</xdr:col>
          <xdr:colOff>914400</xdr:colOff>
          <xdr:row>27</xdr:row>
          <xdr:rowOff>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5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26</xdr:row>
          <xdr:rowOff>0</xdr:rowOff>
        </xdr:from>
        <xdr:to>
          <xdr:col>3</xdr:col>
          <xdr:colOff>990600</xdr:colOff>
          <xdr:row>27</xdr:row>
          <xdr:rowOff>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5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26</xdr:row>
          <xdr:rowOff>0</xdr:rowOff>
        </xdr:from>
        <xdr:to>
          <xdr:col>3</xdr:col>
          <xdr:colOff>990600</xdr:colOff>
          <xdr:row>27</xdr:row>
          <xdr:rowOff>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5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26</xdr:row>
          <xdr:rowOff>0</xdr:rowOff>
        </xdr:from>
        <xdr:to>
          <xdr:col>3</xdr:col>
          <xdr:colOff>914400</xdr:colOff>
          <xdr:row>27</xdr:row>
          <xdr:rowOff>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5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26</xdr:row>
          <xdr:rowOff>0</xdr:rowOff>
        </xdr:from>
        <xdr:to>
          <xdr:col>3</xdr:col>
          <xdr:colOff>990600</xdr:colOff>
          <xdr:row>27</xdr:row>
          <xdr:rowOff>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5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26</xdr:row>
          <xdr:rowOff>0</xdr:rowOff>
        </xdr:from>
        <xdr:to>
          <xdr:col>3</xdr:col>
          <xdr:colOff>914400</xdr:colOff>
          <xdr:row>27</xdr:row>
          <xdr:rowOff>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5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5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5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23</xdr:row>
          <xdr:rowOff>0</xdr:rowOff>
        </xdr:from>
        <xdr:to>
          <xdr:col>3</xdr:col>
          <xdr:colOff>914400</xdr:colOff>
          <xdr:row>24</xdr:row>
          <xdr:rowOff>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5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5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5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23</xdr:row>
          <xdr:rowOff>0</xdr:rowOff>
        </xdr:from>
        <xdr:to>
          <xdr:col>3</xdr:col>
          <xdr:colOff>914400</xdr:colOff>
          <xdr:row>24</xdr:row>
          <xdr:rowOff>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5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5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23</xdr:row>
          <xdr:rowOff>0</xdr:rowOff>
        </xdr:from>
        <xdr:to>
          <xdr:col>3</xdr:col>
          <xdr:colOff>914400</xdr:colOff>
          <xdr:row>24</xdr:row>
          <xdr:rowOff>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5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5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5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23</xdr:row>
          <xdr:rowOff>0</xdr:rowOff>
        </xdr:from>
        <xdr:to>
          <xdr:col>3</xdr:col>
          <xdr:colOff>914400</xdr:colOff>
          <xdr:row>24</xdr:row>
          <xdr:rowOff>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5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5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5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23</xdr:row>
          <xdr:rowOff>0</xdr:rowOff>
        </xdr:from>
        <xdr:to>
          <xdr:col>3</xdr:col>
          <xdr:colOff>914400</xdr:colOff>
          <xdr:row>24</xdr:row>
          <xdr:rowOff>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5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5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23</xdr:row>
          <xdr:rowOff>0</xdr:rowOff>
        </xdr:from>
        <xdr:to>
          <xdr:col>3</xdr:col>
          <xdr:colOff>914400</xdr:colOff>
          <xdr:row>24</xdr:row>
          <xdr:rowOff>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5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5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5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23</xdr:row>
          <xdr:rowOff>0</xdr:rowOff>
        </xdr:from>
        <xdr:to>
          <xdr:col>3</xdr:col>
          <xdr:colOff>914400</xdr:colOff>
          <xdr:row>24</xdr:row>
          <xdr:rowOff>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5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5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5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23</xdr:row>
          <xdr:rowOff>0</xdr:rowOff>
        </xdr:from>
        <xdr:to>
          <xdr:col>3</xdr:col>
          <xdr:colOff>914400</xdr:colOff>
          <xdr:row>24</xdr:row>
          <xdr:rowOff>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5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0</xdr:rowOff>
        </xdr:from>
        <xdr:to>
          <xdr:col>3</xdr:col>
          <xdr:colOff>990600</xdr:colOff>
          <xdr:row>24</xdr:row>
          <xdr:rowOff>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5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23</xdr:row>
          <xdr:rowOff>0</xdr:rowOff>
        </xdr:from>
        <xdr:to>
          <xdr:col>3</xdr:col>
          <xdr:colOff>914400</xdr:colOff>
          <xdr:row>24</xdr:row>
          <xdr:rowOff>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5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24</xdr:row>
          <xdr:rowOff>0</xdr:rowOff>
        </xdr:from>
        <xdr:to>
          <xdr:col>3</xdr:col>
          <xdr:colOff>990600</xdr:colOff>
          <xdr:row>25</xdr:row>
          <xdr:rowOff>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5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24</xdr:row>
          <xdr:rowOff>0</xdr:rowOff>
        </xdr:from>
        <xdr:to>
          <xdr:col>3</xdr:col>
          <xdr:colOff>990600</xdr:colOff>
          <xdr:row>25</xdr:row>
          <xdr:rowOff>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5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24</xdr:row>
          <xdr:rowOff>0</xdr:rowOff>
        </xdr:from>
        <xdr:to>
          <xdr:col>3</xdr:col>
          <xdr:colOff>914400</xdr:colOff>
          <xdr:row>25</xdr:row>
          <xdr:rowOff>0</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5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24</xdr:row>
          <xdr:rowOff>0</xdr:rowOff>
        </xdr:from>
        <xdr:to>
          <xdr:col>3</xdr:col>
          <xdr:colOff>990600</xdr:colOff>
          <xdr:row>25</xdr:row>
          <xdr:rowOff>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5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24</xdr:row>
          <xdr:rowOff>0</xdr:rowOff>
        </xdr:from>
        <xdr:to>
          <xdr:col>3</xdr:col>
          <xdr:colOff>990600</xdr:colOff>
          <xdr:row>25</xdr:row>
          <xdr:rowOff>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5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24</xdr:row>
          <xdr:rowOff>0</xdr:rowOff>
        </xdr:from>
        <xdr:to>
          <xdr:col>3</xdr:col>
          <xdr:colOff>914400</xdr:colOff>
          <xdr:row>25</xdr:row>
          <xdr:rowOff>0</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5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24</xdr:row>
          <xdr:rowOff>0</xdr:rowOff>
        </xdr:from>
        <xdr:to>
          <xdr:col>3</xdr:col>
          <xdr:colOff>990600</xdr:colOff>
          <xdr:row>25</xdr:row>
          <xdr:rowOff>0</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5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24</xdr:row>
          <xdr:rowOff>0</xdr:rowOff>
        </xdr:from>
        <xdr:to>
          <xdr:col>3</xdr:col>
          <xdr:colOff>914400</xdr:colOff>
          <xdr:row>25</xdr:row>
          <xdr:rowOff>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5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25</xdr:row>
          <xdr:rowOff>0</xdr:rowOff>
        </xdr:from>
        <xdr:to>
          <xdr:col>3</xdr:col>
          <xdr:colOff>990600</xdr:colOff>
          <xdr:row>26</xdr:row>
          <xdr:rowOff>0</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5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25</xdr:row>
          <xdr:rowOff>0</xdr:rowOff>
        </xdr:from>
        <xdr:to>
          <xdr:col>3</xdr:col>
          <xdr:colOff>990600</xdr:colOff>
          <xdr:row>26</xdr:row>
          <xdr:rowOff>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5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25</xdr:row>
          <xdr:rowOff>0</xdr:rowOff>
        </xdr:from>
        <xdr:to>
          <xdr:col>3</xdr:col>
          <xdr:colOff>914400</xdr:colOff>
          <xdr:row>26</xdr:row>
          <xdr:rowOff>0</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5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25</xdr:row>
          <xdr:rowOff>0</xdr:rowOff>
        </xdr:from>
        <xdr:to>
          <xdr:col>3</xdr:col>
          <xdr:colOff>990600</xdr:colOff>
          <xdr:row>26</xdr:row>
          <xdr:rowOff>0</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5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25</xdr:row>
          <xdr:rowOff>0</xdr:rowOff>
        </xdr:from>
        <xdr:to>
          <xdr:col>3</xdr:col>
          <xdr:colOff>990600</xdr:colOff>
          <xdr:row>26</xdr:row>
          <xdr:rowOff>0</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5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25</xdr:row>
          <xdr:rowOff>0</xdr:rowOff>
        </xdr:from>
        <xdr:to>
          <xdr:col>3</xdr:col>
          <xdr:colOff>914400</xdr:colOff>
          <xdr:row>26</xdr:row>
          <xdr:rowOff>0</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5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25</xdr:row>
          <xdr:rowOff>0</xdr:rowOff>
        </xdr:from>
        <xdr:to>
          <xdr:col>3</xdr:col>
          <xdr:colOff>990600</xdr:colOff>
          <xdr:row>26</xdr:row>
          <xdr:rowOff>0</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5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25</xdr:row>
          <xdr:rowOff>0</xdr:rowOff>
        </xdr:from>
        <xdr:to>
          <xdr:col>3</xdr:col>
          <xdr:colOff>914400</xdr:colOff>
          <xdr:row>26</xdr:row>
          <xdr:rowOff>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5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26</xdr:row>
          <xdr:rowOff>0</xdr:rowOff>
        </xdr:from>
        <xdr:to>
          <xdr:col>3</xdr:col>
          <xdr:colOff>990600</xdr:colOff>
          <xdr:row>27</xdr:row>
          <xdr:rowOff>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5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26</xdr:row>
          <xdr:rowOff>0</xdr:rowOff>
        </xdr:from>
        <xdr:to>
          <xdr:col>3</xdr:col>
          <xdr:colOff>990600</xdr:colOff>
          <xdr:row>27</xdr:row>
          <xdr:rowOff>0</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5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26</xdr:row>
          <xdr:rowOff>0</xdr:rowOff>
        </xdr:from>
        <xdr:to>
          <xdr:col>3</xdr:col>
          <xdr:colOff>914400</xdr:colOff>
          <xdr:row>27</xdr:row>
          <xdr:rowOff>0</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5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26</xdr:row>
          <xdr:rowOff>0</xdr:rowOff>
        </xdr:from>
        <xdr:to>
          <xdr:col>3</xdr:col>
          <xdr:colOff>990600</xdr:colOff>
          <xdr:row>27</xdr:row>
          <xdr:rowOff>0</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5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26</xdr:row>
          <xdr:rowOff>0</xdr:rowOff>
        </xdr:from>
        <xdr:to>
          <xdr:col>3</xdr:col>
          <xdr:colOff>990600</xdr:colOff>
          <xdr:row>27</xdr:row>
          <xdr:rowOff>0</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5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26</xdr:row>
          <xdr:rowOff>0</xdr:rowOff>
        </xdr:from>
        <xdr:to>
          <xdr:col>3</xdr:col>
          <xdr:colOff>914400</xdr:colOff>
          <xdr:row>27</xdr:row>
          <xdr:rowOff>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5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26</xdr:row>
          <xdr:rowOff>0</xdr:rowOff>
        </xdr:from>
        <xdr:to>
          <xdr:col>3</xdr:col>
          <xdr:colOff>990600</xdr:colOff>
          <xdr:row>27</xdr:row>
          <xdr:rowOff>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5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26</xdr:row>
          <xdr:rowOff>0</xdr:rowOff>
        </xdr:from>
        <xdr:to>
          <xdr:col>3</xdr:col>
          <xdr:colOff>914400</xdr:colOff>
          <xdr:row>27</xdr:row>
          <xdr:rowOff>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5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Bischoff, Kathrin / G-PP-VM-S" id="{E818285E-2B2C-4066-B4F3-7D0B9F4D47AA}" userId="S::kathrin.bischoff@plus.aok.de::aed18f08-9b5b-4310-a8de-4d0f79ca2560" providerId="AD"/>
</personList>
</file>

<file path=xl/theme/theme1.xml><?xml version="1.0" encoding="utf-8"?>
<a:theme xmlns:a="http://schemas.openxmlformats.org/drawingml/2006/main" name="AOKPLUS">
  <a:themeElements>
    <a:clrScheme name="AOK PLUS">
      <a:dk1>
        <a:sysClr val="windowText" lastClr="000000"/>
      </a:dk1>
      <a:lt1>
        <a:sysClr val="window" lastClr="FFFFFF"/>
      </a:lt1>
      <a:dk2>
        <a:srgbClr val="029646"/>
      </a:dk2>
      <a:lt2>
        <a:srgbClr val="EEECE1"/>
      </a:lt2>
      <a:accent1>
        <a:srgbClr val="CFE8B5"/>
      </a:accent1>
      <a:accent2>
        <a:srgbClr val="FDCA00"/>
      </a:accent2>
      <a:accent3>
        <a:srgbClr val="66BA06"/>
      </a:accent3>
      <a:accent4>
        <a:srgbClr val="EC540B"/>
      </a:accent4>
      <a:accent5>
        <a:srgbClr val="A0C013"/>
      </a:accent5>
      <a:accent6>
        <a:srgbClr val="B0B0B0"/>
      </a:accent6>
      <a:hlink>
        <a:srgbClr val="0000FF"/>
      </a:hlink>
      <a:folHlink>
        <a:srgbClr val="800080"/>
      </a:folHlink>
    </a:clrScheme>
    <a:fontScheme name="Executi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Palatino Linotype"/>
        <a:ea typeface=""/>
        <a:cs typeface=""/>
        <a:font script="Jpan" typeface="HGS明朝E"/>
        <a:font script="Hang" typeface="맑은 고딕"/>
        <a:font script="Hans" typeface="宋体"/>
        <a:font script="Hant" typeface="新細明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6" dT="2025-05-16T10:21:02.83" personId="{E818285E-2B2C-4066-B4F3-7D0B9F4D47AA}" id="{52FAB2DC-2376-4696-83C8-70C7FDC6591E}">
    <text>wenn keine PK für PDL ... dann = 1, ansonsten 0</text>
  </threadedComment>
  <threadedComment ref="Q6" dT="2025-05-16T10:21:46.15" personId="{E818285E-2B2C-4066-B4F3-7D0B9F4D47AA}" id="{50AF0ADC-763C-4A86-87FD-60A90A72E33F}">
    <text>wenn die Summe von N6:P6 = 0, dann wurden in diesen Bereichen die PK angegeben</text>
  </threadedComment>
</ThreadedComments>
</file>

<file path=xl/threadedComments/threadedComment2.xml><?xml version="1.0" encoding="utf-8"?>
<ThreadedComments xmlns="http://schemas.microsoft.com/office/spreadsheetml/2018/threadedcomments" xmlns:x="http://schemas.openxmlformats.org/spreadsheetml/2006/main">
  <threadedComment ref="F16" dT="2025-05-20T06:45:54.74" personId="{E818285E-2B2C-4066-B4F3-7D0B9F4D47AA}" id="{55EFD9E9-8079-4CF0-897F-D9106CDB53D1}">
    <text>PK mit 43b</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8" Type="http://schemas.openxmlformats.org/officeDocument/2006/relationships/hyperlink" Target="mailto:pflege@pkv.de" TargetMode="External"/><Relationship Id="rId3" Type="http://schemas.openxmlformats.org/officeDocument/2006/relationships/hyperlink" Target="mailto:verguetung-pflege.sac@vdek.com" TargetMode="External"/><Relationship Id="rId7" Type="http://schemas.openxmlformats.org/officeDocument/2006/relationships/hyperlink" Target="mailto:Pflege-SN@bkkmitte.de" TargetMode="External"/><Relationship Id="rId2" Type="http://schemas.openxmlformats.org/officeDocument/2006/relationships/hyperlink" Target="mailto:pflegesatzverhandlungen_sachsen@plus.aok.de" TargetMode="External"/><Relationship Id="rId1" Type="http://schemas.openxmlformats.org/officeDocument/2006/relationships/hyperlink" Target="mailto:vereinbarungen-pflege@ksv-sachsen.de" TargetMode="External"/><Relationship Id="rId6" Type="http://schemas.openxmlformats.org/officeDocument/2006/relationships/hyperlink" Target="mailto:vertrag.chemnitz@kbs.de" TargetMode="External"/><Relationship Id="rId5" Type="http://schemas.openxmlformats.org/officeDocument/2006/relationships/hyperlink" Target="mailto:pflegeverhandlungen-sachsen@ikk-classic.de" TargetMode="External"/><Relationship Id="rId4" Type="http://schemas.openxmlformats.org/officeDocument/2006/relationships/hyperlink" Target="mailto:pflegesatzverhandlungen_sachsen@barmer.de" TargetMode="Externa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66" Type="http://schemas.openxmlformats.org/officeDocument/2006/relationships/ctrlProp" Target="../ctrlProps/ctrlProp65.xml"/><Relationship Id="rId74" Type="http://schemas.openxmlformats.org/officeDocument/2006/relationships/ctrlProp" Target="../ctrlProps/ctrlProp73.xml"/><Relationship Id="rId79" Type="http://schemas.openxmlformats.org/officeDocument/2006/relationships/ctrlProp" Target="../ctrlProps/ctrlProp78.xml"/><Relationship Id="rId87" Type="http://schemas.openxmlformats.org/officeDocument/2006/relationships/ctrlProp" Target="../ctrlProps/ctrlProp86.xml"/><Relationship Id="rId102" Type="http://schemas.openxmlformats.org/officeDocument/2006/relationships/ctrlProp" Target="../ctrlProps/ctrlProp101.xml"/><Relationship Id="rId110" Type="http://schemas.openxmlformats.org/officeDocument/2006/relationships/ctrlProp" Target="../ctrlProps/ctrlProp109.xml"/><Relationship Id="rId115" Type="http://schemas.openxmlformats.org/officeDocument/2006/relationships/ctrlProp" Target="../ctrlProps/ctrlProp114.xml"/><Relationship Id="rId5" Type="http://schemas.openxmlformats.org/officeDocument/2006/relationships/ctrlProp" Target="../ctrlProps/ctrlProp4.xml"/><Relationship Id="rId61" Type="http://schemas.openxmlformats.org/officeDocument/2006/relationships/ctrlProp" Target="../ctrlProps/ctrlProp60.xml"/><Relationship Id="rId82" Type="http://schemas.openxmlformats.org/officeDocument/2006/relationships/ctrlProp" Target="../ctrlProps/ctrlProp81.xml"/><Relationship Id="rId90" Type="http://schemas.openxmlformats.org/officeDocument/2006/relationships/ctrlProp" Target="../ctrlProps/ctrlProp89.xml"/><Relationship Id="rId95" Type="http://schemas.openxmlformats.org/officeDocument/2006/relationships/ctrlProp" Target="../ctrlProps/ctrlProp94.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13" Type="http://schemas.openxmlformats.org/officeDocument/2006/relationships/ctrlProp" Target="../ctrlProps/ctrlProp112.xml"/><Relationship Id="rId118" Type="http://schemas.openxmlformats.org/officeDocument/2006/relationships/ctrlProp" Target="../ctrlProps/ctrlProp11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98" Type="http://schemas.openxmlformats.org/officeDocument/2006/relationships/ctrlProp" Target="../ctrlProps/ctrlProp97.xml"/><Relationship Id="rId3" Type="http://schemas.openxmlformats.org/officeDocument/2006/relationships/ctrlProp" Target="../ctrlProps/ctrlProp2.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103" Type="http://schemas.openxmlformats.org/officeDocument/2006/relationships/ctrlProp" Target="../ctrlProps/ctrlProp102.xml"/><Relationship Id="rId108" Type="http://schemas.openxmlformats.org/officeDocument/2006/relationships/ctrlProp" Target="../ctrlProps/ctrlProp107.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11" Type="http://schemas.openxmlformats.org/officeDocument/2006/relationships/ctrlProp" Target="../ctrlProps/ctrlProp110.xml"/><Relationship Id="rId1" Type="http://schemas.openxmlformats.org/officeDocument/2006/relationships/drawing" Target="../drawings/drawing3.xml"/><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6" Type="http://schemas.openxmlformats.org/officeDocument/2006/relationships/ctrlProp" Target="../ctrlProps/ctrlProp105.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vmlDrawing" Target="../drawings/vmlDrawing2.vml"/><Relationship Id="rId29" Type="http://schemas.openxmlformats.org/officeDocument/2006/relationships/ctrlProp" Target="../ctrlProps/ctrlProp28.x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61"/>
  <sheetViews>
    <sheetView showGridLines="0" zoomScaleNormal="100" workbookViewId="0">
      <selection activeCell="A16" sqref="A16:C16"/>
    </sheetView>
  </sheetViews>
  <sheetFormatPr baseColWidth="10" defaultColWidth="11" defaultRowHeight="18" x14ac:dyDescent="0.2"/>
  <cols>
    <col min="1" max="1" width="48.625" style="2111" customWidth="1"/>
    <col min="2" max="2" width="57" style="2111" customWidth="1"/>
    <col min="3" max="3" width="40" style="2111" customWidth="1"/>
    <col min="4" max="4" width="11.375" style="2125" customWidth="1"/>
    <col min="5" max="16384" width="11" style="2111"/>
  </cols>
  <sheetData>
    <row r="1" spans="1:4" ht="15" customHeight="1" x14ac:dyDescent="0.2">
      <c r="A1" s="2345" t="s">
        <v>1044</v>
      </c>
      <c r="B1" s="2346"/>
      <c r="C1" s="2346"/>
    </row>
    <row r="2" spans="1:4" s="2112" customFormat="1" ht="33" customHeight="1" x14ac:dyDescent="0.2">
      <c r="A2" s="2319" t="s">
        <v>1045</v>
      </c>
      <c r="B2" s="2314"/>
      <c r="C2" s="2314"/>
      <c r="D2" s="2126"/>
    </row>
    <row r="4" spans="1:4" x14ac:dyDescent="0.2">
      <c r="A4" s="2320" t="s">
        <v>1046</v>
      </c>
      <c r="B4" s="2321"/>
      <c r="C4" s="2321"/>
    </row>
    <row r="5" spans="1:4" s="2128" customFormat="1" ht="14.25" x14ac:dyDescent="0.2">
      <c r="A5" s="2322" t="s">
        <v>1047</v>
      </c>
      <c r="B5" s="2322"/>
      <c r="C5" s="2322"/>
      <c r="D5" s="2127"/>
    </row>
    <row r="6" spans="1:4" s="2128" customFormat="1" ht="14.25" x14ac:dyDescent="0.2">
      <c r="A6" s="2322" t="s">
        <v>1048</v>
      </c>
      <c r="B6" s="2322"/>
      <c r="C6" s="2322"/>
      <c r="D6" s="2127"/>
    </row>
    <row r="7" spans="1:4" s="2128" customFormat="1" ht="14.25" x14ac:dyDescent="0.2">
      <c r="A7" s="2323" t="s">
        <v>1049</v>
      </c>
      <c r="B7" s="2323"/>
      <c r="C7" s="2323"/>
      <c r="D7" s="2127"/>
    </row>
    <row r="8" spans="1:4" s="2128" customFormat="1" ht="14.25" x14ac:dyDescent="0.2">
      <c r="A8" s="2352" t="s">
        <v>1050</v>
      </c>
      <c r="B8" s="2352"/>
      <c r="C8" s="2352"/>
      <c r="D8" s="2127"/>
    </row>
    <row r="9" spans="1:4" s="2128" customFormat="1" ht="14.25" x14ac:dyDescent="0.2">
      <c r="A9" s="2353" t="s">
        <v>1051</v>
      </c>
      <c r="B9" s="2353"/>
      <c r="C9" s="2353"/>
      <c r="D9" s="2127"/>
    </row>
    <row r="10" spans="1:4" s="2128" customFormat="1" ht="14.25" x14ac:dyDescent="0.2">
      <c r="A10" s="2354" t="s">
        <v>1052</v>
      </c>
      <c r="B10" s="2354"/>
      <c r="C10" s="2354"/>
      <c r="D10" s="2127"/>
    </row>
    <row r="11" spans="1:4" s="2128" customFormat="1" ht="14.25" x14ac:dyDescent="0.2">
      <c r="A11" s="2324" t="s">
        <v>1053</v>
      </c>
      <c r="B11" s="2324"/>
      <c r="C11" s="2324"/>
      <c r="D11" s="2127"/>
    </row>
    <row r="12" spans="1:4" s="2128" customFormat="1" ht="14.25" x14ac:dyDescent="0.2">
      <c r="A12" s="2325" t="s">
        <v>1054</v>
      </c>
      <c r="B12" s="2325"/>
      <c r="C12" s="2325"/>
      <c r="D12" s="2127"/>
    </row>
    <row r="13" spans="1:4" s="2128" customFormat="1" ht="14.25" x14ac:dyDescent="0.2">
      <c r="A13" s="2326" t="s">
        <v>1055</v>
      </c>
      <c r="B13" s="2326"/>
      <c r="C13" s="2326"/>
      <c r="D13" s="2127"/>
    </row>
    <row r="14" spans="1:4" s="2128" customFormat="1" ht="14.25" x14ac:dyDescent="0.2">
      <c r="A14" s="2322" t="s">
        <v>1056</v>
      </c>
      <c r="B14" s="2322"/>
      <c r="C14" s="2322"/>
      <c r="D14" s="2127"/>
    </row>
    <row r="15" spans="1:4" x14ac:dyDescent="0.2">
      <c r="A15" s="2315"/>
      <c r="B15" s="2316"/>
      <c r="C15" s="2316"/>
    </row>
    <row r="16" spans="1:4" s="2112" customFormat="1" ht="291.75" customHeight="1" x14ac:dyDescent="0.2">
      <c r="A16" s="2314" t="s">
        <v>1209</v>
      </c>
      <c r="B16" s="2314"/>
      <c r="C16" s="2314"/>
      <c r="D16" s="2129" t="s">
        <v>1057</v>
      </c>
    </row>
    <row r="17" spans="1:4" x14ac:dyDescent="0.2">
      <c r="A17" s="2315"/>
      <c r="B17" s="2316"/>
      <c r="C17" s="2316"/>
    </row>
    <row r="18" spans="1:4" ht="48" customHeight="1" x14ac:dyDescent="0.2">
      <c r="A18" s="2317" t="s">
        <v>1058</v>
      </c>
      <c r="B18" s="2318"/>
      <c r="C18" s="2318"/>
      <c r="D18" s="2130" t="s">
        <v>1057</v>
      </c>
    </row>
    <row r="19" spans="1:4" x14ac:dyDescent="0.2">
      <c r="A19" s="2315"/>
      <c r="B19" s="2316"/>
      <c r="C19" s="2316"/>
    </row>
    <row r="20" spans="1:4" ht="37.5" customHeight="1" x14ac:dyDescent="0.2">
      <c r="A20" s="2329" t="s">
        <v>1059</v>
      </c>
      <c r="B20" s="2328"/>
      <c r="C20" s="2328"/>
      <c r="D20" s="2327" t="s">
        <v>1057</v>
      </c>
    </row>
    <row r="21" spans="1:4" ht="174.75" customHeight="1" x14ac:dyDescent="0.2">
      <c r="A21" s="2328" t="s">
        <v>1176</v>
      </c>
      <c r="B21" s="2328"/>
      <c r="C21" s="2328"/>
      <c r="D21" s="2327"/>
    </row>
    <row r="22" spans="1:4" ht="206.25" customHeight="1" x14ac:dyDescent="0.2">
      <c r="A22" s="2329" t="s">
        <v>1060</v>
      </c>
      <c r="B22" s="2328"/>
      <c r="C22" s="2328"/>
      <c r="D22" s="2327"/>
    </row>
    <row r="23" spans="1:4" ht="106.5" customHeight="1" x14ac:dyDescent="0.2">
      <c r="A23" s="2329" t="s">
        <v>1061</v>
      </c>
      <c r="B23" s="2328"/>
      <c r="C23" s="2328"/>
      <c r="D23" s="2327"/>
    </row>
    <row r="24" spans="1:4" ht="107.25" customHeight="1" x14ac:dyDescent="0.2">
      <c r="A24" s="2329" t="s">
        <v>1062</v>
      </c>
      <c r="B24" s="2328"/>
      <c r="C24" s="2328"/>
      <c r="D24" s="2327"/>
    </row>
    <row r="25" spans="1:4" ht="14.25" customHeight="1" x14ac:dyDescent="0.2">
      <c r="A25" s="2315"/>
      <c r="B25" s="2316"/>
      <c r="C25" s="2316"/>
      <c r="D25" s="2131"/>
    </row>
    <row r="26" spans="1:4" ht="111" customHeight="1" x14ac:dyDescent="0.2">
      <c r="A26" s="2351" t="s">
        <v>1063</v>
      </c>
      <c r="B26" s="2331"/>
      <c r="C26" s="2331"/>
      <c r="D26" s="2327" t="s">
        <v>1057</v>
      </c>
    </row>
    <row r="27" spans="1:4" ht="276.75" customHeight="1" x14ac:dyDescent="0.2">
      <c r="A27" s="2330" t="s">
        <v>1064</v>
      </c>
      <c r="B27" s="2331"/>
      <c r="C27" s="2331"/>
      <c r="D27" s="2327"/>
    </row>
    <row r="28" spans="1:4" ht="14.25" x14ac:dyDescent="0.2">
      <c r="A28" s="2315"/>
      <c r="B28" s="2316"/>
      <c r="C28" s="2316"/>
      <c r="D28" s="2131"/>
    </row>
    <row r="29" spans="1:4" ht="381.75" customHeight="1" x14ac:dyDescent="0.2">
      <c r="A29" s="2332" t="s">
        <v>1177</v>
      </c>
      <c r="B29" s="2333"/>
      <c r="C29" s="2333"/>
      <c r="D29" s="2327" t="s">
        <v>1057</v>
      </c>
    </row>
    <row r="30" spans="1:4" ht="196.5" customHeight="1" x14ac:dyDescent="0.2">
      <c r="A30" s="2332" t="s">
        <v>1065</v>
      </c>
      <c r="B30" s="2333"/>
      <c r="C30" s="2333"/>
      <c r="D30" s="2327"/>
    </row>
    <row r="31" spans="1:4" ht="258" customHeight="1" x14ac:dyDescent="0.2">
      <c r="A31" s="2333" t="s">
        <v>1178</v>
      </c>
      <c r="B31" s="2333"/>
      <c r="C31" s="2333"/>
      <c r="D31" s="2334"/>
    </row>
    <row r="32" spans="1:4" ht="167.25" customHeight="1" x14ac:dyDescent="0.2">
      <c r="A32" s="2335" t="s">
        <v>1179</v>
      </c>
      <c r="B32" s="2333"/>
      <c r="C32" s="2333"/>
      <c r="D32" s="2334"/>
    </row>
    <row r="33" spans="1:4" ht="159" customHeight="1" x14ac:dyDescent="0.2">
      <c r="A33" s="2333" t="s">
        <v>1182</v>
      </c>
      <c r="B33" s="2314"/>
      <c r="C33" s="2314"/>
      <c r="D33" s="2334"/>
    </row>
    <row r="34" spans="1:4" ht="123" customHeight="1" x14ac:dyDescent="0.2">
      <c r="A34" s="2335" t="s">
        <v>1180</v>
      </c>
      <c r="B34" s="2314"/>
      <c r="C34" s="2314"/>
      <c r="D34" s="2334"/>
    </row>
    <row r="35" spans="1:4" ht="269.25" customHeight="1" x14ac:dyDescent="0.2">
      <c r="A35" s="2335" t="s">
        <v>1066</v>
      </c>
      <c r="B35" s="2333"/>
      <c r="C35" s="2333"/>
      <c r="D35" s="2334"/>
    </row>
    <row r="36" spans="1:4" ht="55.5" customHeight="1" x14ac:dyDescent="0.2">
      <c r="A36" s="2335" t="s">
        <v>1067</v>
      </c>
      <c r="B36" s="2333"/>
      <c r="C36" s="2333"/>
      <c r="D36" s="2334"/>
    </row>
    <row r="37" spans="1:4" ht="111" customHeight="1" x14ac:dyDescent="0.2">
      <c r="A37" s="2335" t="s">
        <v>1068</v>
      </c>
      <c r="B37" s="2333"/>
      <c r="C37" s="2333"/>
      <c r="D37" s="2334"/>
    </row>
    <row r="38" spans="1:4" ht="162" customHeight="1" x14ac:dyDescent="0.2">
      <c r="A38" s="2335" t="s">
        <v>1069</v>
      </c>
      <c r="B38" s="2333"/>
      <c r="C38" s="2333"/>
      <c r="D38" s="2334"/>
    </row>
    <row r="39" spans="1:4" ht="11.25" customHeight="1" x14ac:dyDescent="0.2">
      <c r="A39" s="2315"/>
      <c r="B39" s="2316"/>
      <c r="C39" s="2316"/>
      <c r="D39" s="2132"/>
    </row>
    <row r="40" spans="1:4" ht="250.5" customHeight="1" x14ac:dyDescent="0.2">
      <c r="A40" s="2341" t="s">
        <v>1070</v>
      </c>
      <c r="B40" s="2342"/>
      <c r="C40" s="2342"/>
      <c r="D40" s="2129" t="s">
        <v>1057</v>
      </c>
    </row>
    <row r="41" spans="1:4" ht="14.25" x14ac:dyDescent="0.2">
      <c r="A41" s="2315"/>
      <c r="B41" s="2316"/>
      <c r="C41" s="2316"/>
      <c r="D41" s="2133"/>
    </row>
    <row r="42" spans="1:4" ht="136.5" customHeight="1" x14ac:dyDescent="0.2">
      <c r="A42" s="2344" t="s">
        <v>1071</v>
      </c>
      <c r="B42" s="2349"/>
      <c r="C42" s="2349"/>
      <c r="D42" s="2336" t="s">
        <v>1057</v>
      </c>
    </row>
    <row r="43" spans="1:4" ht="306" customHeight="1" x14ac:dyDescent="0.2">
      <c r="A43" s="2344" t="s">
        <v>1183</v>
      </c>
      <c r="B43" s="2314"/>
      <c r="C43" s="2314"/>
      <c r="D43" s="2343"/>
    </row>
    <row r="44" spans="1:4" ht="14.25" x14ac:dyDescent="0.2">
      <c r="A44" s="2315"/>
      <c r="B44" s="2316"/>
      <c r="C44" s="2316"/>
      <c r="D44" s="2133"/>
    </row>
    <row r="45" spans="1:4" ht="252.75" customHeight="1" x14ac:dyDescent="0.2">
      <c r="A45" s="2340" t="s">
        <v>1181</v>
      </c>
      <c r="B45" s="2350"/>
      <c r="C45" s="2350"/>
      <c r="D45" s="2336" t="s">
        <v>1057</v>
      </c>
    </row>
    <row r="46" spans="1:4" ht="14.25" x14ac:dyDescent="0.2">
      <c r="A46" s="2114" t="s">
        <v>1072</v>
      </c>
      <c r="B46" s="2115"/>
      <c r="C46" s="2115"/>
      <c r="D46" s="2336"/>
    </row>
    <row r="47" spans="1:4" ht="15" x14ac:dyDescent="0.2">
      <c r="A47" s="2116"/>
      <c r="B47" s="2338" t="s">
        <v>1073</v>
      </c>
      <c r="C47" s="2339"/>
      <c r="D47" s="2336"/>
    </row>
    <row r="48" spans="1:4" ht="14.25" x14ac:dyDescent="0.2">
      <c r="A48" s="2116"/>
      <c r="B48" s="2117" t="s">
        <v>85</v>
      </c>
      <c r="C48" s="2117" t="s">
        <v>86</v>
      </c>
      <c r="D48" s="2336"/>
    </row>
    <row r="49" spans="1:8" ht="14.25" x14ac:dyDescent="0.2">
      <c r="A49" s="2118" t="s">
        <v>1074</v>
      </c>
      <c r="B49" s="2119">
        <v>7.6999999999999999E-2</v>
      </c>
      <c r="C49" s="2117">
        <v>0.1037</v>
      </c>
      <c r="D49" s="2336"/>
    </row>
    <row r="50" spans="1:8" ht="28.5" x14ac:dyDescent="0.2">
      <c r="A50" s="2118" t="s">
        <v>1075</v>
      </c>
      <c r="B50" s="2117">
        <v>5.6399999999999999E-2</v>
      </c>
      <c r="C50" s="2117">
        <v>6.7500000000000004E-2</v>
      </c>
      <c r="D50" s="2336"/>
    </row>
    <row r="51" spans="1:8" ht="14.25" x14ac:dyDescent="0.2">
      <c r="A51" s="2118" t="s">
        <v>1076</v>
      </c>
      <c r="B51" s="2117">
        <v>8.72E-2</v>
      </c>
      <c r="C51" s="2117">
        <v>0.1202</v>
      </c>
      <c r="D51" s="2336"/>
    </row>
    <row r="52" spans="1:8" ht="15" x14ac:dyDescent="0.2">
      <c r="A52" s="2120" t="s">
        <v>33</v>
      </c>
      <c r="B52" s="2121">
        <v>0.22059999999999999</v>
      </c>
      <c r="C52" s="2121">
        <v>0.29139999999999999</v>
      </c>
      <c r="D52" s="2336"/>
    </row>
    <row r="53" spans="1:8" ht="12.75" customHeight="1" x14ac:dyDescent="0.2">
      <c r="A53" s="2120" t="s">
        <v>1077</v>
      </c>
      <c r="B53" s="2122">
        <v>0.75700000000000001</v>
      </c>
      <c r="C53" s="2117"/>
      <c r="D53" s="2336"/>
    </row>
    <row r="54" spans="1:8" ht="165" customHeight="1" x14ac:dyDescent="0.2">
      <c r="A54" s="2340" t="s">
        <v>1078</v>
      </c>
      <c r="B54" s="2340"/>
      <c r="C54" s="2340"/>
      <c r="D54" s="2337"/>
      <c r="H54" s="2123"/>
    </row>
    <row r="55" spans="1:8" ht="21" x14ac:dyDescent="0.2">
      <c r="A55" s="2315"/>
      <c r="B55" s="2316"/>
      <c r="C55" s="2316"/>
      <c r="D55" s="2134"/>
    </row>
    <row r="56" spans="1:8" ht="123" customHeight="1" x14ac:dyDescent="0.2">
      <c r="A56" s="2347" t="s">
        <v>1079</v>
      </c>
      <c r="B56" s="2347"/>
      <c r="C56" s="2347"/>
      <c r="D56" s="2129" t="s">
        <v>1057</v>
      </c>
    </row>
    <row r="57" spans="1:8" ht="14.25" x14ac:dyDescent="0.2">
      <c r="A57" s="2315"/>
      <c r="B57" s="2316"/>
      <c r="C57" s="2316"/>
      <c r="D57" s="2135"/>
    </row>
    <row r="58" spans="1:8" ht="48.75" customHeight="1" x14ac:dyDescent="0.2">
      <c r="A58" s="2348" t="s">
        <v>1080</v>
      </c>
      <c r="B58" s="2348"/>
      <c r="C58" s="2348"/>
      <c r="D58" s="2130" t="s">
        <v>1057</v>
      </c>
    </row>
    <row r="59" spans="1:8" x14ac:dyDescent="0.2">
      <c r="C59" s="2113"/>
    </row>
    <row r="60" spans="1:8" x14ac:dyDescent="0.2">
      <c r="C60" s="2124"/>
    </row>
    <row r="61" spans="1:8" x14ac:dyDescent="0.2">
      <c r="C61" s="2124"/>
    </row>
  </sheetData>
  <sheetProtection algorithmName="SHA-512" hashValue="D9dvbCdp7JqjQZfwKkQrc25dusBxEWUd6AU1GgW2dMCkxXDscnrdNo9VMNqiJUsbYuk9YuGvZtzBNZvPaw4gPQ==" saltValue="BOx0Z18sgWpk7s5Cr8RftQ==" spinCount="100000" sheet="1" objects="1" scenarios="1"/>
  <mergeCells count="55">
    <mergeCell ref="A1:C1"/>
    <mergeCell ref="A55:C55"/>
    <mergeCell ref="A56:C56"/>
    <mergeCell ref="A57:C57"/>
    <mergeCell ref="A58:C58"/>
    <mergeCell ref="A41:C41"/>
    <mergeCell ref="A42:C42"/>
    <mergeCell ref="A44:C44"/>
    <mergeCell ref="A45:C45"/>
    <mergeCell ref="A25:C25"/>
    <mergeCell ref="A26:C26"/>
    <mergeCell ref="A20:C20"/>
    <mergeCell ref="A19:C19"/>
    <mergeCell ref="A8:C8"/>
    <mergeCell ref="A9:C9"/>
    <mergeCell ref="A10:C10"/>
    <mergeCell ref="D45:D54"/>
    <mergeCell ref="B47:C47"/>
    <mergeCell ref="A54:C54"/>
    <mergeCell ref="A35:C35"/>
    <mergeCell ref="A36:C36"/>
    <mergeCell ref="A37:C37"/>
    <mergeCell ref="A38:C38"/>
    <mergeCell ref="A39:C39"/>
    <mergeCell ref="A40:C40"/>
    <mergeCell ref="D42:D43"/>
    <mergeCell ref="A43:C43"/>
    <mergeCell ref="D26:D27"/>
    <mergeCell ref="A27:C27"/>
    <mergeCell ref="A28:C28"/>
    <mergeCell ref="A29:C29"/>
    <mergeCell ref="D29:D38"/>
    <mergeCell ref="A30:C30"/>
    <mergeCell ref="A31:C31"/>
    <mergeCell ref="A32:C32"/>
    <mergeCell ref="A34:C34"/>
    <mergeCell ref="A33:C33"/>
    <mergeCell ref="D20:D24"/>
    <mergeCell ref="A21:C21"/>
    <mergeCell ref="A22:C22"/>
    <mergeCell ref="A23:C23"/>
    <mergeCell ref="A24:C24"/>
    <mergeCell ref="A16:C16"/>
    <mergeCell ref="A17:C17"/>
    <mergeCell ref="A18:C18"/>
    <mergeCell ref="A2:C2"/>
    <mergeCell ref="A4:C4"/>
    <mergeCell ref="A5:C5"/>
    <mergeCell ref="A6:C6"/>
    <mergeCell ref="A7:C7"/>
    <mergeCell ref="A11:C11"/>
    <mergeCell ref="A12:C12"/>
    <mergeCell ref="A13:C13"/>
    <mergeCell ref="A14:C14"/>
    <mergeCell ref="A15:C15"/>
  </mergeCells>
  <hyperlinks>
    <hyperlink ref="A5" location="Tabelle1!A16" display="1. Allgemeine Hinweise" xr:uid="{00000000-0004-0000-0000-000000000000}"/>
    <hyperlink ref="A6" location="Tabelle1!A18" display="2. Antragsunterlagen" xr:uid="{00000000-0004-0000-0000-000001000000}"/>
    <hyperlink ref="A7" location="Tabelle1!A20" display="2.1. Mappe Allgemeine Angaben" xr:uid="{00000000-0004-0000-0000-000002000000}"/>
    <hyperlink ref="D16" location="'Allgemeine Hinweise'!A1" display="zurück" xr:uid="{00000000-0004-0000-0000-000003000000}"/>
    <hyperlink ref="A8" location="Tabelle1!A26" display="2.2. Mappe Belegung / wöchentliche Arbeitszeit" xr:uid="{00000000-0004-0000-0000-000004000000}"/>
    <hyperlink ref="D20:D21" location="Tabelle1!A4" display="Tabelle1!A4" xr:uid="{00000000-0004-0000-0000-000005000000}"/>
    <hyperlink ref="D26:D27" location="'Allgemeine Hinweise'!A1" display="zurück" xr:uid="{00000000-0004-0000-0000-000006000000}"/>
    <hyperlink ref="D29:D38" location="'Allgemeine Hinweise'!A1" display="zurück" xr:uid="{00000000-0004-0000-0000-000007000000}"/>
    <hyperlink ref="A9" location="Tabelle1!A29" display="2.3. Mappe Personalkostenaufstellung" xr:uid="{00000000-0004-0000-0000-000008000000}"/>
    <hyperlink ref="D40" location="'Allgemeine Hinweise'!A1" display="zurück" xr:uid="{00000000-0004-0000-0000-000009000000}"/>
    <hyperlink ref="A10" location="Tabelle1!A39" display="2.4. Mappe Personalaufwendungen" xr:uid="{00000000-0004-0000-0000-00000A000000}"/>
    <hyperlink ref="D42" location="'Allgemeine Hinweise'!A1" display="zurück" xr:uid="{00000000-0004-0000-0000-00000B000000}"/>
    <hyperlink ref="A11" location="Tabelle1!A41" display="2.5. Mappe Sachaufwendungen" xr:uid="{00000000-0004-0000-0000-00000C000000}"/>
    <hyperlink ref="D45" location="Tabelle1!A4" display="zurück" xr:uid="{00000000-0004-0000-0000-00000D000000}"/>
    <hyperlink ref="A12" location="Tabelle1!A43" display="2.6. Mappe Forderungen" xr:uid="{00000000-0004-0000-0000-00000E000000}"/>
    <hyperlink ref="D56" location="'Allgemeine Hinweise'!A1" display="zurück" xr:uid="{00000000-0004-0000-0000-00000F000000}"/>
    <hyperlink ref="D58" location="'Allgemeine Hinweise'!A1" display="zurück" xr:uid="{00000000-0004-0000-0000-000010000000}"/>
    <hyperlink ref="A14" location="Tabelle1!A49" display="2.8. Mappe Bewohnervertretung" xr:uid="{00000000-0004-0000-0000-000011000000}"/>
    <hyperlink ref="A13" location="Tabelle1!A47" display="2.7. Mappe Gesamtkalkulation" xr:uid="{00000000-0004-0000-0000-000012000000}"/>
    <hyperlink ref="D18" location="'Allgemeine Hinweise'!A1" display="zurück" xr:uid="{00000000-0004-0000-0000-000013000000}"/>
    <hyperlink ref="A10:C10" location="'Allgemeine Hinweise'!A40" display="2.4. Mappe Personalaufwendungen" xr:uid="{00000000-0004-0000-0000-000014000000}"/>
    <hyperlink ref="A11:C11" location="'Allgemeine Hinweise'!A42" display="2.5. Mappe Sachaufwendungen" xr:uid="{00000000-0004-0000-0000-000015000000}"/>
    <hyperlink ref="A12:C12" location="'Allgemeine Hinweise'!A45" display="2.6. Mappe Forderungen" xr:uid="{00000000-0004-0000-0000-000016000000}"/>
    <hyperlink ref="A13:C13" location="'Allgemeine Hinweise'!A56" display="2.7. Mappe Gesamtkalkulation" xr:uid="{00000000-0004-0000-0000-000017000000}"/>
    <hyperlink ref="A14:C14" location="'Allgemeine Hinweise'!A58" display="2.8. Mappe Bewohnervertretung" xr:uid="{00000000-0004-0000-0000-000018000000}"/>
    <hyperlink ref="A7:C7" location="'Allgemeine Hinweise'!A20" display="2.1. Mappe Allgemeine Angaben" xr:uid="{00000000-0004-0000-0000-000019000000}"/>
    <hyperlink ref="D20:D24" location="'Allgemeine Hinweise'!A1" display="zurück" xr:uid="{00000000-0004-0000-0000-00001A000000}"/>
    <hyperlink ref="D45:D54" location="'Allgemeine Hinweise'!A1" display="zurück" xr:uid="{00000000-0004-0000-0000-00001B000000}"/>
    <hyperlink ref="A5:C5" location="'Allgemeine Hinweise'!A16" display="1. Allgemeine Hinweise" xr:uid="{00000000-0004-0000-0000-00001C000000}"/>
    <hyperlink ref="A6:C6" location="'Allgemeine Hinweise'!A18" display="2. Antragsunterlagen" xr:uid="{00000000-0004-0000-0000-00001D000000}"/>
    <hyperlink ref="A8:C8" location="'Allgemeine Hinweise'!A26" display="2.2. Mappe Belegung / wöchentliche Arbeitszeit" xr:uid="{00000000-0004-0000-0000-00001E000000}"/>
    <hyperlink ref="A9:C9" location="'Allgemeine Hinweise'!A29" display="2.3. Mappe Personalkostenaufstellung" xr:uid="{00000000-0004-0000-0000-00001F000000}"/>
  </hyperlinks>
  <pageMargins left="0.70866141732283472" right="0.70866141732283472" top="0.74803149606299213" bottom="0.74803149606299213" header="0.31496062992125984" footer="0.31496062992125984"/>
  <pageSetup paperSize="9" scale="82" fitToHeight="11" orientation="landscape"/>
  <headerFooter>
    <oddHeader>&amp;C&amp;9Allgemeine Hinweise</oddHeader>
    <oddFooter>&amp;L&amp;8Version: 24.04.2026&amp;C&amp;8Verhandlungsunterlagen vollstationär SGB XI ab 01.07.2026&amp;R&amp;8PSK am 24.04.2026</oddFooter>
  </headerFooter>
  <rowBreaks count="1" manualBreakCount="1">
    <brk id="17" max="2" man="1"/>
  </row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7">
    <tabColor rgb="FFCCECFF"/>
    <pageSetUpPr fitToPage="1"/>
  </sheetPr>
  <dimension ref="A1:AH69"/>
  <sheetViews>
    <sheetView showGridLines="0" zoomScaleNormal="100" workbookViewId="0">
      <selection activeCell="B1" sqref="B1"/>
    </sheetView>
  </sheetViews>
  <sheetFormatPr baseColWidth="10" defaultColWidth="11" defaultRowHeight="14.25" x14ac:dyDescent="0.2"/>
  <cols>
    <col min="1" max="1" width="2.125" style="4" customWidth="1"/>
    <col min="2" max="2" width="5.625" style="4" customWidth="1"/>
    <col min="3" max="3" width="40.625" style="4" customWidth="1"/>
    <col min="4" max="4" width="16.625" style="4" customWidth="1"/>
    <col min="5" max="5" width="13.625" style="4" hidden="1" customWidth="1"/>
    <col min="6" max="6" width="11.625" style="4" hidden="1" customWidth="1"/>
    <col min="7" max="7" width="14.625" style="4" customWidth="1"/>
    <col min="8" max="8" width="13.625" style="4" customWidth="1"/>
    <col min="9" max="9" width="12.625" style="10" hidden="1" customWidth="1"/>
    <col min="10" max="10" width="13.625" style="4" customWidth="1"/>
    <col min="11" max="11" width="12.625" style="10" hidden="1" customWidth="1"/>
    <col min="12" max="12" width="13.625" style="4" customWidth="1"/>
    <col min="13" max="13" width="12.625" style="4" hidden="1" customWidth="1"/>
    <col min="14" max="14" width="13.625" style="4" customWidth="1"/>
    <col min="15" max="15" width="12.625" style="4" hidden="1" customWidth="1"/>
    <col min="16" max="16" width="13.625" style="4" customWidth="1"/>
    <col min="17" max="17" width="12.625" style="10" hidden="1" customWidth="1"/>
    <col min="18" max="18" width="13.625" style="4" customWidth="1"/>
    <col min="19" max="19" width="12.625" style="4" hidden="1" customWidth="1"/>
    <col min="20" max="20" width="13.625" style="4" customWidth="1"/>
    <col min="21" max="21" width="14.5" style="4" hidden="1" customWidth="1"/>
    <col min="22" max="22" width="13.625" style="4" customWidth="1"/>
    <col min="23" max="23" width="12.75" style="4" hidden="1" customWidth="1"/>
    <col min="24" max="24" width="11.5" style="4" customWidth="1"/>
    <col min="25" max="25" width="13.125" style="412" customWidth="1"/>
    <col min="26" max="28" width="11" style="412" customWidth="1"/>
    <col min="29" max="29" width="11" style="4" customWidth="1"/>
    <col min="30" max="16384" width="11" style="4"/>
  </cols>
  <sheetData>
    <row r="1" spans="1:27" ht="15" customHeight="1" x14ac:dyDescent="0.25">
      <c r="A1" s="1802" t="str">
        <f>'Allgemeine Angaben'!A1:N1</f>
        <v>Aufforderung zum Abschluss einer Pflegesatzvereinbarung gemäß §§ 84, 85 SGB XI</v>
      </c>
      <c r="B1" s="2287"/>
      <c r="C1" s="1803"/>
      <c r="D1" s="1803"/>
      <c r="E1" s="1803"/>
      <c r="F1" s="1803"/>
      <c r="G1" s="93"/>
      <c r="H1" s="1803"/>
      <c r="I1" s="1803"/>
      <c r="J1" s="1803"/>
      <c r="K1" s="1803"/>
      <c r="L1" s="1803"/>
      <c r="M1" s="1803"/>
      <c r="N1" s="1803"/>
      <c r="O1" s="1803"/>
      <c r="P1" s="1803"/>
      <c r="Q1" s="1803"/>
      <c r="R1" s="1803"/>
      <c r="S1" s="1803"/>
      <c r="T1" s="1803"/>
      <c r="U1" s="1803"/>
      <c r="V1" s="1803"/>
      <c r="W1" s="1803"/>
      <c r="X1" s="1803"/>
      <c r="Y1" s="1804"/>
      <c r="Z1" s="628"/>
      <c r="AA1" s="629"/>
    </row>
    <row r="2" spans="1:27" ht="15" customHeight="1" x14ac:dyDescent="0.25">
      <c r="A2" s="1802" t="s">
        <v>103</v>
      </c>
      <c r="B2" s="1803"/>
      <c r="C2" s="1803"/>
      <c r="D2" s="1803"/>
      <c r="E2" s="1803"/>
      <c r="F2" s="1803"/>
      <c r="G2" s="93"/>
      <c r="H2" s="1803"/>
      <c r="I2" s="1803"/>
      <c r="J2" s="1803"/>
      <c r="K2" s="1803"/>
      <c r="L2" s="1803"/>
      <c r="M2" s="1803"/>
      <c r="N2" s="1803"/>
      <c r="O2" s="1803"/>
      <c r="P2" s="1803"/>
      <c r="Q2" s="1803"/>
      <c r="R2" s="1803"/>
      <c r="S2" s="1803"/>
      <c r="T2" s="1803"/>
      <c r="U2" s="1803"/>
      <c r="V2" s="1803"/>
      <c r="W2" s="1803"/>
      <c r="X2" s="1803"/>
      <c r="Y2" s="1804"/>
      <c r="Z2" s="630"/>
    </row>
    <row r="3" spans="1:27" ht="15" customHeight="1" x14ac:dyDescent="0.2">
      <c r="A3" s="447" t="str">
        <f>'Allgemeine Angaben'!A3:N3</f>
        <v/>
      </c>
      <c r="B3" s="448"/>
      <c r="C3" s="448"/>
      <c r="D3" s="448"/>
      <c r="E3" s="448"/>
      <c r="F3" s="448"/>
      <c r="G3" s="93"/>
      <c r="H3" s="448"/>
      <c r="I3" s="448"/>
      <c r="J3" s="448"/>
      <c r="K3" s="448"/>
      <c r="L3" s="448"/>
      <c r="M3" s="448"/>
      <c r="N3" s="448"/>
      <c r="O3" s="448"/>
      <c r="P3" s="448"/>
      <c r="Q3" s="448"/>
      <c r="R3" s="448"/>
      <c r="S3" s="448"/>
      <c r="T3" s="448"/>
      <c r="U3" s="448"/>
      <c r="V3" s="448"/>
      <c r="W3" s="448"/>
      <c r="X3" s="448"/>
      <c r="Y3" s="449"/>
    </row>
    <row r="4" spans="1:27" ht="15" customHeight="1" x14ac:dyDescent="0.2">
      <c r="A4" s="447"/>
      <c r="B4" s="448" t="str">
        <f>'Allgemeine Angaben'!B4</f>
        <v/>
      </c>
      <c r="C4" s="448"/>
      <c r="D4" s="448"/>
      <c r="E4" s="448"/>
      <c r="F4" s="448"/>
      <c r="G4" s="93"/>
      <c r="H4" s="93"/>
      <c r="I4" s="448"/>
      <c r="J4" s="448"/>
      <c r="K4" s="448"/>
      <c r="L4" s="448"/>
      <c r="M4" s="448"/>
      <c r="N4" s="448"/>
      <c r="O4" s="448"/>
      <c r="P4" s="452" t="str">
        <f>'Allgemeine Angaben'!K4</f>
        <v>Antrag vom:</v>
      </c>
      <c r="Q4" s="448"/>
      <c r="R4" s="451">
        <f>'Allgemeine Angaben'!L4</f>
        <v>0</v>
      </c>
      <c r="S4" s="448"/>
      <c r="T4" s="448"/>
      <c r="U4" s="448"/>
      <c r="V4" s="448"/>
      <c r="W4" s="448"/>
      <c r="X4" s="448"/>
      <c r="Y4" s="449"/>
    </row>
    <row r="5" spans="1:27" ht="14.25" customHeight="1" x14ac:dyDescent="0.2">
      <c r="A5" s="3"/>
      <c r="B5" s="139"/>
      <c r="C5" s="133"/>
      <c r="D5" s="133"/>
      <c r="E5" s="140" t="s">
        <v>104</v>
      </c>
      <c r="F5" s="140"/>
      <c r="I5" s="146"/>
      <c r="K5" s="142"/>
      <c r="L5" s="75" t="s">
        <v>154</v>
      </c>
      <c r="M5" s="142"/>
      <c r="N5" s="450" t="s">
        <v>155</v>
      </c>
      <c r="O5" s="146"/>
      <c r="P5" s="75" t="s">
        <v>171</v>
      </c>
      <c r="Q5" s="146"/>
      <c r="R5" s="75" t="s">
        <v>107</v>
      </c>
      <c r="S5" s="142"/>
      <c r="U5" s="146"/>
      <c r="W5" s="146"/>
      <c r="Y5" s="5"/>
    </row>
    <row r="6" spans="1:27" x14ac:dyDescent="0.2">
      <c r="A6" s="3"/>
      <c r="C6" s="92" t="s">
        <v>105</v>
      </c>
      <c r="D6" s="141" t="str">
        <f>IF('Allgemeine Angaben'!L47&gt;0,'Allgemeine Angaben'!L47,"")</f>
        <v/>
      </c>
      <c r="E6" s="142" t="s">
        <v>106</v>
      </c>
      <c r="F6" s="142"/>
      <c r="I6" s="146"/>
      <c r="K6" s="142"/>
      <c r="L6" s="143">
        <f>IF('Belegung_wö. Arbeitszeit'!D8&gt;0,'Belegung_wö. Arbeitszeit'!D8,"")</f>
        <v>365</v>
      </c>
      <c r="M6" s="142"/>
      <c r="N6" s="241" t="str">
        <f>IF('Belegung_wö. Arbeitszeit'!G6&gt;0,'Belegung_wö. Arbeitszeit'!G6,"")</f>
        <v/>
      </c>
      <c r="O6" s="189"/>
      <c r="P6" s="144">
        <f>divisor</f>
        <v>0</v>
      </c>
      <c r="Q6" s="146"/>
      <c r="R6" s="144">
        <f>IFERROR(ROUND(L6/12,2),"")</f>
        <v>30.42</v>
      </c>
      <c r="S6" s="257"/>
      <c r="U6" s="146"/>
      <c r="V6" s="57"/>
      <c r="W6" s="268"/>
      <c r="X6" s="57"/>
      <c r="Y6" s="5"/>
    </row>
    <row r="7" spans="1:27" ht="3" customHeight="1" x14ac:dyDescent="0.2">
      <c r="A7" s="3"/>
      <c r="C7" s="92"/>
      <c r="D7" s="92"/>
      <c r="E7" s="145"/>
      <c r="F7" s="145"/>
      <c r="I7" s="146"/>
      <c r="K7" s="251"/>
      <c r="L7" s="92"/>
      <c r="M7" s="251"/>
      <c r="N7" s="92"/>
      <c r="O7" s="251"/>
      <c r="P7" s="92"/>
      <c r="Q7" s="146"/>
      <c r="S7" s="251"/>
      <c r="T7" s="92"/>
      <c r="U7" s="251"/>
      <c r="V7" s="57"/>
      <c r="W7" s="268"/>
      <c r="X7" s="57"/>
      <c r="Y7" s="5"/>
    </row>
    <row r="8" spans="1:27" x14ac:dyDescent="0.2">
      <c r="A8" s="3"/>
      <c r="C8" s="57"/>
      <c r="D8" s="92"/>
      <c r="E8" s="142" t="s">
        <v>108</v>
      </c>
      <c r="F8" s="142"/>
      <c r="I8" s="146"/>
      <c r="K8" s="251"/>
      <c r="L8" s="79" t="s">
        <v>172</v>
      </c>
      <c r="M8" s="142"/>
      <c r="N8" s="241" t="str">
        <f>IF('Allgemeine Angaben'!D7="vst",100,IF('Allgemeine Angaben'!D7="kzp",100,N6))</f>
        <v/>
      </c>
      <c r="O8" s="145"/>
      <c r="P8" s="144" t="str">
        <f>IFERROR('Belegung_wö. Arbeitszeit'!E39*L6*N8/100,"")</f>
        <v/>
      </c>
      <c r="Q8" s="146"/>
      <c r="S8" s="257"/>
      <c r="U8" s="146"/>
      <c r="V8" s="57"/>
      <c r="W8" s="268"/>
      <c r="X8" s="57"/>
      <c r="Y8" s="5"/>
    </row>
    <row r="9" spans="1:27" ht="9.9499999999999993" customHeight="1" x14ac:dyDescent="0.2">
      <c r="A9" s="3"/>
      <c r="C9" s="57"/>
      <c r="D9" s="92"/>
      <c r="E9" s="146"/>
      <c r="F9" s="146"/>
      <c r="I9" s="146"/>
      <c r="K9" s="251"/>
      <c r="L9" s="92"/>
      <c r="M9" s="92"/>
      <c r="N9" s="92"/>
      <c r="O9" s="189"/>
      <c r="P9" s="17"/>
      <c r="Q9" s="146"/>
      <c r="S9" s="189"/>
      <c r="T9" s="17"/>
      <c r="U9" s="146"/>
      <c r="V9" s="57"/>
      <c r="W9" s="268"/>
      <c r="X9" s="57"/>
      <c r="Y9" s="5"/>
    </row>
    <row r="10" spans="1:27" x14ac:dyDescent="0.2">
      <c r="A10" s="3"/>
      <c r="C10" s="79"/>
      <c r="D10" s="10" t="s">
        <v>34</v>
      </c>
      <c r="E10" s="147">
        <f>SUM(J10:R10)</f>
        <v>0</v>
      </c>
      <c r="F10" s="147" t="s">
        <v>253</v>
      </c>
      <c r="I10" s="146"/>
      <c r="J10" s="242">
        <f>'Belegung_wö. Arbeitszeit'!E33</f>
        <v>0</v>
      </c>
      <c r="K10" s="142"/>
      <c r="L10" s="148">
        <f>'Belegung_wö. Arbeitszeit'!E34</f>
        <v>0</v>
      </c>
      <c r="M10" s="142"/>
      <c r="N10" s="148">
        <f>'Belegung_wö. Arbeitszeit'!E35</f>
        <v>0</v>
      </c>
      <c r="O10" s="146"/>
      <c r="P10" s="148">
        <f>'Belegung_wö. Arbeitszeit'!E36</f>
        <v>0</v>
      </c>
      <c r="Q10" s="146"/>
      <c r="R10" s="148">
        <f>'Belegung_wö. Arbeitszeit'!E37</f>
        <v>0</v>
      </c>
      <c r="S10" s="142"/>
      <c r="U10" s="146"/>
      <c r="V10" s="57"/>
      <c r="W10" s="268"/>
      <c r="X10" s="57"/>
      <c r="Y10" s="5"/>
    </row>
    <row r="11" spans="1:27" x14ac:dyDescent="0.2">
      <c r="A11" s="3"/>
      <c r="C11" s="79"/>
      <c r="D11" s="10" t="s">
        <v>82</v>
      </c>
      <c r="E11" s="240">
        <f>SUM(J11:R11)</f>
        <v>0</v>
      </c>
      <c r="F11" s="149" t="e">
        <f>L11+N11+P11+R11</f>
        <v>#VALUE!</v>
      </c>
      <c r="I11" s="146"/>
      <c r="J11" s="150" t="str">
        <f>IFERROR(J10*$L$6*$N$6/100,"")</f>
        <v/>
      </c>
      <c r="K11" s="142"/>
      <c r="L11" s="150" t="str">
        <f>IFERROR(L10*$L$6*$N$6/100,"")</f>
        <v/>
      </c>
      <c r="M11" s="142"/>
      <c r="N11" s="150" t="str">
        <f>IFERROR(N10*$L$6*$N$6/100,"")</f>
        <v/>
      </c>
      <c r="O11" s="146"/>
      <c r="P11" s="150" t="str">
        <f>IFERROR(P10*$L$6*$N$6/100,"")</f>
        <v/>
      </c>
      <c r="Q11" s="146"/>
      <c r="R11" s="150" t="str">
        <f>IFERROR(R10*$L$6*$N$6/100,"")</f>
        <v/>
      </c>
      <c r="S11" s="142"/>
      <c r="U11" s="146"/>
      <c r="V11" s="57"/>
      <c r="W11" s="146"/>
      <c r="Y11" s="5"/>
    </row>
    <row r="12" spans="1:27" x14ac:dyDescent="0.2">
      <c r="A12" s="3"/>
      <c r="C12" s="79"/>
      <c r="D12" s="17" t="s">
        <v>109</v>
      </c>
      <c r="E12" s="149"/>
      <c r="F12" s="149"/>
      <c r="I12" s="146"/>
      <c r="J12" s="151"/>
      <c r="K12" s="142"/>
      <c r="L12" s="152">
        <v>805</v>
      </c>
      <c r="M12" s="142"/>
      <c r="N12" s="152">
        <v>1319</v>
      </c>
      <c r="O12" s="146"/>
      <c r="P12" s="152">
        <v>1855</v>
      </c>
      <c r="Q12" s="146"/>
      <c r="R12" s="152">
        <v>2096</v>
      </c>
      <c r="S12" s="142"/>
      <c r="U12" s="146"/>
      <c r="W12" s="146"/>
      <c r="Y12" s="5"/>
    </row>
    <row r="13" spans="1:27" ht="9.9499999999999993" customHeight="1" x14ac:dyDescent="0.2">
      <c r="A13" s="3"/>
      <c r="E13" s="146"/>
      <c r="F13" s="297"/>
      <c r="I13" s="244"/>
      <c r="K13" s="244"/>
      <c r="M13" s="244"/>
      <c r="O13" s="244"/>
      <c r="Q13" s="146"/>
      <c r="S13" s="142"/>
      <c r="U13" s="146"/>
      <c r="W13" s="146"/>
      <c r="Y13" s="5"/>
    </row>
    <row r="14" spans="1:27" ht="39.950000000000003" customHeight="1" x14ac:dyDescent="0.2">
      <c r="A14" s="3"/>
      <c r="C14" s="1493"/>
      <c r="D14" s="493"/>
      <c r="E14" s="153"/>
      <c r="F14" s="153"/>
      <c r="H14" s="1805"/>
      <c r="I14" s="234" t="s">
        <v>110</v>
      </c>
      <c r="J14" s="274" t="s">
        <v>180</v>
      </c>
      <c r="K14" s="234" t="s">
        <v>111</v>
      </c>
      <c r="L14" s="267" t="s">
        <v>181</v>
      </c>
      <c r="M14" s="234" t="s">
        <v>112</v>
      </c>
      <c r="N14" s="267" t="s">
        <v>182</v>
      </c>
      <c r="O14" s="234" t="s">
        <v>113</v>
      </c>
      <c r="P14" s="267" t="s">
        <v>183</v>
      </c>
      <c r="Q14" s="234" t="s">
        <v>114</v>
      </c>
      <c r="R14" s="267" t="s">
        <v>184</v>
      </c>
      <c r="S14" s="234" t="s">
        <v>115</v>
      </c>
      <c r="T14" s="267" t="s">
        <v>185</v>
      </c>
      <c r="U14" s="234" t="s">
        <v>116</v>
      </c>
      <c r="V14" s="274" t="s">
        <v>186</v>
      </c>
      <c r="W14" s="234" t="s">
        <v>173</v>
      </c>
      <c r="X14" s="274" t="s">
        <v>187</v>
      </c>
      <c r="Y14" s="5"/>
    </row>
    <row r="15" spans="1:27" x14ac:dyDescent="0.2">
      <c r="A15" s="3"/>
      <c r="B15" s="154"/>
      <c r="C15" s="154"/>
      <c r="D15" s="334" t="s">
        <v>117</v>
      </c>
      <c r="E15" s="156" t="s">
        <v>118</v>
      </c>
      <c r="F15" s="156" t="s">
        <v>170</v>
      </c>
      <c r="G15" s="1858" t="s">
        <v>610</v>
      </c>
      <c r="H15" s="1858" t="s">
        <v>617</v>
      </c>
      <c r="I15" s="157" t="s">
        <v>119</v>
      </c>
      <c r="J15" s="636" t="s">
        <v>348</v>
      </c>
      <c r="K15" s="155" t="s">
        <v>119</v>
      </c>
      <c r="L15" s="637" t="s">
        <v>348</v>
      </c>
      <c r="M15" s="157" t="s">
        <v>119</v>
      </c>
      <c r="N15" s="636" t="s">
        <v>348</v>
      </c>
      <c r="O15" s="157" t="s">
        <v>119</v>
      </c>
      <c r="P15" s="636" t="s">
        <v>348</v>
      </c>
      <c r="Q15" s="157" t="s">
        <v>119</v>
      </c>
      <c r="R15" s="636" t="s">
        <v>348</v>
      </c>
      <c r="S15" s="157" t="s">
        <v>119</v>
      </c>
      <c r="T15" s="636" t="s">
        <v>348</v>
      </c>
      <c r="U15" s="157" t="s">
        <v>119</v>
      </c>
      <c r="V15" s="636" t="s">
        <v>348</v>
      </c>
      <c r="W15" s="157" t="s">
        <v>119</v>
      </c>
      <c r="X15" s="636" t="s">
        <v>348</v>
      </c>
      <c r="Y15" s="5"/>
    </row>
    <row r="16" spans="1:27" x14ac:dyDescent="0.2">
      <c r="A16" s="3"/>
      <c r="B16" s="1182" t="s">
        <v>120</v>
      </c>
      <c r="C16" s="1182" t="s">
        <v>364</v>
      </c>
      <c r="D16" s="335" t="e">
        <f>SUM(D18:D20,D22:D30)</f>
        <v>#VALUE!</v>
      </c>
      <c r="E16" s="1172" t="e">
        <f>I16+K16+M16+O16+Q16+S16</f>
        <v>#VALUE!</v>
      </c>
      <c r="F16" s="1494" t="e">
        <f>E16+D25</f>
        <v>#VALUE!</v>
      </c>
      <c r="G16" s="1858">
        <f>IFERROR(D16/'Allgemeine Angaben'!$L$47*('Allgemeine Angaben'!$L$47-'Allgemeine Angaben'!$L$48),0)</f>
        <v>0</v>
      </c>
      <c r="H16" s="1833">
        <f>IFERROR(D16/'Allgemeine Angaben'!$L$47*'Allgemeine Angaben'!$L$48,0)</f>
        <v>0</v>
      </c>
      <c r="I16" s="255" t="e">
        <f>SUM(I18:I30)</f>
        <v>#VALUE!</v>
      </c>
      <c r="J16" s="161" t="e">
        <f>SUM(J18:J30)</f>
        <v>#VALUE!</v>
      </c>
      <c r="K16" s="1173" t="e">
        <f>SUM(K18:K30)</f>
        <v>#VALUE!</v>
      </c>
      <c r="L16" s="161" t="e">
        <f>SUM(L18:L30)</f>
        <v>#VALUE!</v>
      </c>
      <c r="M16" s="255" t="e">
        <f t="shared" ref="M16:R16" si="0">SUM(M18:M30)</f>
        <v>#VALUE!</v>
      </c>
      <c r="N16" s="161" t="e">
        <f t="shared" si="0"/>
        <v>#VALUE!</v>
      </c>
      <c r="O16" s="255" t="e">
        <f t="shared" si="0"/>
        <v>#VALUE!</v>
      </c>
      <c r="P16" s="161" t="e">
        <f t="shared" si="0"/>
        <v>#VALUE!</v>
      </c>
      <c r="Q16" s="255" t="e">
        <f t="shared" si="0"/>
        <v>#VALUE!</v>
      </c>
      <c r="R16" s="161" t="e">
        <f t="shared" si="0"/>
        <v>#VALUE!</v>
      </c>
      <c r="S16" s="255" t="e">
        <f>SUM(S26:S30)</f>
        <v>#VALUE!</v>
      </c>
      <c r="T16" s="161" t="e">
        <f>SUM(T26:T30)</f>
        <v>#VALUE!</v>
      </c>
      <c r="U16" s="181"/>
      <c r="V16" s="162"/>
      <c r="W16" s="181"/>
      <c r="X16" s="162"/>
      <c r="Y16" s="5"/>
      <c r="Z16" s="1126"/>
    </row>
    <row r="17" spans="1:32" x14ac:dyDescent="0.2">
      <c r="A17" s="3"/>
      <c r="B17" s="2047" t="s">
        <v>121</v>
      </c>
      <c r="C17" s="1183" t="str">
        <f>Personalaufwendungen!C10</f>
        <v>Sonderfunktionen (gemäß Rahmenvertrag)</v>
      </c>
      <c r="D17" s="335" t="e">
        <f>SUM(D18:D20)</f>
        <v>#VALUE!</v>
      </c>
      <c r="E17" s="165"/>
      <c r="F17" s="165"/>
      <c r="G17" s="1858">
        <f>IFERROR(D17/'Allgemeine Angaben'!$L$47*('Allgemeine Angaben'!$L$47-'Allgemeine Angaben'!$L$48),0)</f>
        <v>0</v>
      </c>
      <c r="H17" s="1833">
        <f>IFERROR(D17/'Allgemeine Angaben'!$L$47*'Allgemeine Angaben'!$L$48,0)</f>
        <v>0</v>
      </c>
      <c r="I17" s="1174"/>
      <c r="K17" s="1174"/>
      <c r="L17" s="162"/>
      <c r="M17" s="1174"/>
      <c r="N17" s="162"/>
      <c r="O17" s="1174"/>
      <c r="P17" s="162"/>
      <c r="Q17" s="1174"/>
      <c r="R17" s="162"/>
      <c r="S17" s="1174"/>
      <c r="T17" s="162"/>
      <c r="U17" s="181"/>
      <c r="V17" s="162"/>
      <c r="W17" s="181"/>
      <c r="X17" s="162"/>
      <c r="Y17" s="5"/>
    </row>
    <row r="18" spans="1:32" x14ac:dyDescent="0.2">
      <c r="A18" s="3"/>
      <c r="B18" s="2048" t="s">
        <v>447</v>
      </c>
      <c r="C18" s="2009" t="str">
        <f>Personalaufwendungen!D11</f>
        <v>PDL / stellvertretende PDL</v>
      </c>
      <c r="D18" s="336" t="e">
        <f>Personalaufwendungen!I11*Personalaufwendungen!H11*(1+pnk+Personalaufwendungen!I74)*(1+risiko)</f>
        <v>#VALUE!</v>
      </c>
      <c r="E18" s="246" t="e">
        <f>I18+K18+M18+O18+Q18</f>
        <v>#VALUE!</v>
      </c>
      <c r="F18" s="2010">
        <v>1</v>
      </c>
      <c r="G18" s="1859">
        <f>IFERROR(D18/'Allgemeine Angaben'!$L$47*('Allgemeine Angaben'!$L$47-'Allgemeine Angaben'!$L$48),0)</f>
        <v>0</v>
      </c>
      <c r="H18" s="1834">
        <f>IFERROR(D18/'Allgemeine Angaben'!$L$47*'Allgemeine Angaben'!$L$48,0)</f>
        <v>0</v>
      </c>
      <c r="I18" s="1121" t="e">
        <f>D18*F18/$P$6*$J$11</f>
        <v>#VALUE!</v>
      </c>
      <c r="J18" s="1175" t="e">
        <f>I18/$J$11</f>
        <v>#VALUE!</v>
      </c>
      <c r="K18" s="159" t="e">
        <f>D18*F18/$P$6*$L$11</f>
        <v>#VALUE!</v>
      </c>
      <c r="L18" s="1175" t="e">
        <f>K18/$L$11</f>
        <v>#VALUE!</v>
      </c>
      <c r="M18" s="1121" t="e">
        <f>D18*F18/$P$6*$N$11</f>
        <v>#VALUE!</v>
      </c>
      <c r="N18" s="1175" t="e">
        <f>M18/$N$11</f>
        <v>#VALUE!</v>
      </c>
      <c r="O18" s="1121" t="e">
        <f>D18*F18/$P$6*$P$11</f>
        <v>#VALUE!</v>
      </c>
      <c r="P18" s="1176" t="e">
        <f>O18/$P$11</f>
        <v>#VALUE!</v>
      </c>
      <c r="Q18" s="1121" t="e">
        <f>D18*F18/$P$6*$R$11</f>
        <v>#VALUE!</v>
      </c>
      <c r="R18" s="1175" t="e">
        <f>Q18/$R$11</f>
        <v>#VALUE!</v>
      </c>
      <c r="S18" s="1177"/>
      <c r="T18" s="1178"/>
      <c r="U18" s="181"/>
      <c r="V18" s="162"/>
      <c r="W18" s="181"/>
      <c r="X18" s="162"/>
      <c r="Y18" s="5"/>
    </row>
    <row r="19" spans="1:32" x14ac:dyDescent="0.2">
      <c r="A19" s="3"/>
      <c r="B19" s="2048" t="s">
        <v>1034</v>
      </c>
      <c r="C19" s="2009" t="str">
        <f>Personalaufwendungen!D12</f>
        <v>Qualitätsmanagement</v>
      </c>
      <c r="D19" s="336" t="e">
        <f>Personalaufwendungen!I12*Personalaufwendungen!H12*(1+pnk+Personalaufwendungen!I74)*(1+risiko)</f>
        <v>#VALUE!</v>
      </c>
      <c r="E19" s="246" t="e">
        <f>I19+K19+M19+O19+Q19+S19</f>
        <v>#VALUE!</v>
      </c>
      <c r="F19" s="2010">
        <v>1</v>
      </c>
      <c r="G19" s="1859">
        <f>IFERROR(D19/'Allgemeine Angaben'!$L$47*('Allgemeine Angaben'!$L$47-'Allgemeine Angaben'!$L$48),0)</f>
        <v>0</v>
      </c>
      <c r="H19" s="1834">
        <f>IFERROR(D19/'Allgemeine Angaben'!$L$47*'Allgemeine Angaben'!$L$48,0)</f>
        <v>0</v>
      </c>
      <c r="I19" s="1121" t="e">
        <f>D19*F19/$P$6*$J$11</f>
        <v>#VALUE!</v>
      </c>
      <c r="J19" s="1175" t="e">
        <f>I19/$J$11</f>
        <v>#VALUE!</v>
      </c>
      <c r="K19" s="159" t="e">
        <f>D19*F19/$P$6*$L$11</f>
        <v>#VALUE!</v>
      </c>
      <c r="L19" s="1175" t="e">
        <f>K19/$L$11</f>
        <v>#VALUE!</v>
      </c>
      <c r="M19" s="1121" t="e">
        <f>D19*F19/$P$6*$N$11</f>
        <v>#VALUE!</v>
      </c>
      <c r="N19" s="1175" t="e">
        <f>M19/$N$11</f>
        <v>#VALUE!</v>
      </c>
      <c r="O19" s="1121" t="e">
        <f>D19*F19/$P$6*$P$11</f>
        <v>#VALUE!</v>
      </c>
      <c r="P19" s="1176" t="e">
        <f>O19/$P$11</f>
        <v>#VALUE!</v>
      </c>
      <c r="Q19" s="1121" t="e">
        <f>D19*F19/$P$6*$R$11</f>
        <v>#VALUE!</v>
      </c>
      <c r="R19" s="1175" t="e">
        <f>Q19/$R$11</f>
        <v>#VALUE!</v>
      </c>
      <c r="S19" s="1177"/>
      <c r="T19" s="1178"/>
      <c r="U19" s="181"/>
      <c r="V19" s="162"/>
      <c r="W19" s="181"/>
      <c r="X19" s="162"/>
      <c r="Y19" s="5"/>
      <c r="Z19" s="631"/>
    </row>
    <row r="20" spans="1:32" x14ac:dyDescent="0.2">
      <c r="A20" s="3"/>
      <c r="B20" s="2048" t="s">
        <v>1035</v>
      </c>
      <c r="C20" s="2009" t="str">
        <f>Personalaufwendungen!D13</f>
        <v>Hygienemanagement</v>
      </c>
      <c r="D20" s="336" t="e">
        <f>Personalaufwendungen!I13*Personalaufwendungen!H13*(1+pnk+Personalaufwendungen!I74)*(1+risiko)</f>
        <v>#VALUE!</v>
      </c>
      <c r="E20" s="246" t="e">
        <f>I20+K20+M20+O20+Q20+S20</f>
        <v>#VALUE!</v>
      </c>
      <c r="F20" s="2010">
        <v>1</v>
      </c>
      <c r="G20" s="1859">
        <f>IFERROR(D20/'Allgemeine Angaben'!$L$47*('Allgemeine Angaben'!$L$47-'Allgemeine Angaben'!$L$48),0)</f>
        <v>0</v>
      </c>
      <c r="H20" s="1834">
        <f>IFERROR(D20/'Allgemeine Angaben'!$L$47*'Allgemeine Angaben'!$L$48,0)</f>
        <v>0</v>
      </c>
      <c r="I20" s="1121" t="e">
        <f>D20*F20/$P$6*$J$11</f>
        <v>#VALUE!</v>
      </c>
      <c r="J20" s="1175" t="e">
        <f>I20/$J$11</f>
        <v>#VALUE!</v>
      </c>
      <c r="K20" s="159" t="e">
        <f>D20*F20/$P$6*$L$11</f>
        <v>#VALUE!</v>
      </c>
      <c r="L20" s="1175" t="e">
        <f>K20/$L$11</f>
        <v>#VALUE!</v>
      </c>
      <c r="M20" s="1121" t="e">
        <f>D20*F20/$P$6*$N$11</f>
        <v>#VALUE!</v>
      </c>
      <c r="N20" s="1175" t="e">
        <f>M20/$N$11</f>
        <v>#VALUE!</v>
      </c>
      <c r="O20" s="1121" t="e">
        <f>D20*F20/$P$6*$P$11</f>
        <v>#VALUE!</v>
      </c>
      <c r="P20" s="1176" t="e">
        <f>O20/$P$11</f>
        <v>#VALUE!</v>
      </c>
      <c r="Q20" s="1121" t="e">
        <f>D20*F20/$P$6*$R$11</f>
        <v>#VALUE!</v>
      </c>
      <c r="R20" s="1175" t="e">
        <f>Q20/$R$11</f>
        <v>#VALUE!</v>
      </c>
      <c r="S20" s="1177"/>
      <c r="T20" s="1178"/>
      <c r="U20" s="172"/>
      <c r="W20" s="181"/>
      <c r="Y20" s="5"/>
    </row>
    <row r="21" spans="1:32" ht="15" x14ac:dyDescent="0.25">
      <c r="A21" s="3"/>
      <c r="B21" s="1179" t="s">
        <v>122</v>
      </c>
      <c r="C21" s="2009" t="str">
        <f>Personalaufwendungen!C17</f>
        <v>Pflege / Betreuung</v>
      </c>
      <c r="D21" s="335" t="e">
        <f>SUM(D22:D24)</f>
        <v>#VALUE!</v>
      </c>
      <c r="E21" s="2011"/>
      <c r="F21" s="2012"/>
      <c r="G21" s="1858">
        <f>IFERROR(D21/'Allgemeine Angaben'!$L$47*('Allgemeine Angaben'!$L$47-'Allgemeine Angaben'!$L$48),0)</f>
        <v>0</v>
      </c>
      <c r="H21" s="1833">
        <f>IFERROR(D21/'Allgemeine Angaben'!$L$47*'Allgemeine Angaben'!$L$48,0)</f>
        <v>0</v>
      </c>
      <c r="I21" s="1174"/>
      <c r="J21" s="162"/>
      <c r="K21" s="1174"/>
      <c r="L21" s="162"/>
      <c r="M21" s="1174"/>
      <c r="N21" s="162"/>
      <c r="O21" s="1174"/>
      <c r="P21" s="162"/>
      <c r="Q21" s="1174"/>
      <c r="R21" s="162"/>
      <c r="S21" s="1174"/>
      <c r="T21" s="162"/>
      <c r="U21" s="162"/>
      <c r="V21" s="162"/>
      <c r="W21" s="248"/>
      <c r="X21" s="1128"/>
      <c r="Y21" s="5"/>
    </row>
    <row r="22" spans="1:32" s="9" customFormat="1" ht="26.25" customHeight="1" x14ac:dyDescent="0.2">
      <c r="A22" s="90"/>
      <c r="B22" s="136" t="s">
        <v>516</v>
      </c>
      <c r="C22" s="2013" t="str">
        <f>Personalaufwendungen!D18</f>
        <v xml:space="preserve">Pflege- / Betreuungsfachkräfte mit mind. dreijähriger Berufsausbildung (§ 113 c Abs. 1 Nr. 3 SGB XI) </v>
      </c>
      <c r="D22" s="336" t="e">
        <f>Personalaufwendungen!I18*Personalaufwendungen!H18*(1+pnk+Personalaufwendungen!I74)*(1+risiko)</f>
        <v>#VALUE!</v>
      </c>
      <c r="E22" s="246" t="e">
        <f>I22+K22+M22+O22+Q22+S22</f>
        <v>#VALUE!</v>
      </c>
      <c r="F22" s="252">
        <v>1</v>
      </c>
      <c r="G22" s="1859">
        <f>IFERROR(D22/'Allgemeine Angaben'!$L$47*('Allgemeine Angaben'!$L$47-'Allgemeine Angaben'!$L$48),0)</f>
        <v>0</v>
      </c>
      <c r="H22" s="1775">
        <f>IFERROR(D22/'Allgemeine Angaben'!$L$47*'Allgemeine Angaben'!$L$48,0)</f>
        <v>0</v>
      </c>
      <c r="I22" s="2001" t="e">
        <f>$D22*$F22*KAT!K33</f>
        <v>#VALUE!</v>
      </c>
      <c r="J22" s="1919" t="e">
        <f>I22/$J$11</f>
        <v>#VALUE!</v>
      </c>
      <c r="K22" s="2002" t="e">
        <f>D22*F22*KAT!K34</f>
        <v>#VALUE!</v>
      </c>
      <c r="L22" s="1919" t="e">
        <f>K22/$L$11</f>
        <v>#VALUE!</v>
      </c>
      <c r="M22" s="2001" t="e">
        <f>D22*F22*KAT!K35</f>
        <v>#VALUE!</v>
      </c>
      <c r="N22" s="1919" t="e">
        <f>M22/$N$11</f>
        <v>#VALUE!</v>
      </c>
      <c r="O22" s="2001" t="e">
        <f>D22*F22*KAT!K36</f>
        <v>#VALUE!</v>
      </c>
      <c r="P22" s="1919" t="e">
        <f>O22/$P$11</f>
        <v>#VALUE!</v>
      </c>
      <c r="Q22" s="2001" t="e">
        <f>D22*F22*KAT!K37</f>
        <v>#VALUE!</v>
      </c>
      <c r="R22" s="1919" t="e">
        <f>Q22/$R$11</f>
        <v>#VALUE!</v>
      </c>
      <c r="S22" s="1121"/>
      <c r="T22" s="2049"/>
      <c r="U22" s="1916"/>
      <c r="V22" s="1917"/>
      <c r="W22" s="1916"/>
      <c r="X22" s="1917"/>
      <c r="Y22" s="91"/>
    </row>
    <row r="23" spans="1:32" s="9" customFormat="1" ht="26.25" customHeight="1" x14ac:dyDescent="0.2">
      <c r="A23" s="90"/>
      <c r="B23" s="1920" t="s">
        <v>451</v>
      </c>
      <c r="C23" s="2013" t="str">
        <f>Personalaufwendungen!D20</f>
        <v>Pflege- / Betreuungskräfte mit mind. einjähriger Berufsausbildung  (§ 113 c Abs. 1 Nr. 2 SGB XI)</v>
      </c>
      <c r="D23" s="336" t="e">
        <f>Personalaufwendungen!I20*Personalaufwendungen!H20*(1+pnk+Personalaufwendungen!I74)*(1+risiko)</f>
        <v>#VALUE!</v>
      </c>
      <c r="E23" s="246" t="e">
        <f>I23+K23+M23+O23+Q23+S23</f>
        <v>#VALUE!</v>
      </c>
      <c r="F23" s="252">
        <v>1</v>
      </c>
      <c r="G23" s="1859">
        <f>IFERROR(D23/'Allgemeine Angaben'!$L$47*('Allgemeine Angaben'!$L$47-'Allgemeine Angaben'!$L$48),0)</f>
        <v>0</v>
      </c>
      <c r="H23" s="1775">
        <f>IFERROR(D23/'Allgemeine Angaben'!$L$47*'Allgemeine Angaben'!$L$48,0)</f>
        <v>0</v>
      </c>
      <c r="I23" s="2001" t="e">
        <f>$D23*$F23*KAT!K33</f>
        <v>#VALUE!</v>
      </c>
      <c r="J23" s="1919" t="e">
        <f>I23/$J$11</f>
        <v>#VALUE!</v>
      </c>
      <c r="K23" s="2002" t="e">
        <f>D23*F23*KAT!K34</f>
        <v>#VALUE!</v>
      </c>
      <c r="L23" s="1919" t="e">
        <f>K23/$L$11</f>
        <v>#VALUE!</v>
      </c>
      <c r="M23" s="2001" t="e">
        <f>D23*F23*KAT!K35</f>
        <v>#VALUE!</v>
      </c>
      <c r="N23" s="1919" t="e">
        <f>M23/$N$11</f>
        <v>#VALUE!</v>
      </c>
      <c r="O23" s="2001" t="e">
        <f>D23*F23*KAT!K36</f>
        <v>#VALUE!</v>
      </c>
      <c r="P23" s="1919" t="e">
        <f>O23/$P$11</f>
        <v>#VALUE!</v>
      </c>
      <c r="Q23" s="2001" t="e">
        <f>D23*F23*KAT!K37</f>
        <v>#VALUE!</v>
      </c>
      <c r="R23" s="1919" t="e">
        <f>Q23/$R$11</f>
        <v>#VALUE!</v>
      </c>
      <c r="S23" s="1121"/>
      <c r="T23" s="2049"/>
      <c r="U23" s="1916"/>
      <c r="V23" s="1917"/>
      <c r="W23" s="1916"/>
      <c r="X23" s="1917"/>
      <c r="Y23" s="91"/>
    </row>
    <row r="24" spans="1:32" s="9" customFormat="1" ht="26.25" customHeight="1" x14ac:dyDescent="0.2">
      <c r="A24" s="90"/>
      <c r="B24" s="136" t="s">
        <v>452</v>
      </c>
      <c r="C24" s="2013" t="str">
        <f>Personalaufwendungen!D22</f>
        <v>Pflege- / Betreuungskräfte ohne mind. einjährige Berufsausbildung (§ 113 c Abs. 1 Nr. 1 SGB XI)</v>
      </c>
      <c r="D24" s="336" t="e">
        <f>Personalaufwendungen!I22*Personalaufwendungen!H22*(1+pnk+Personalaufwendungen!I74)*(1+risiko)</f>
        <v>#VALUE!</v>
      </c>
      <c r="E24" s="246" t="e">
        <f>I24+K24+M24+O24+Q24+S24</f>
        <v>#VALUE!</v>
      </c>
      <c r="F24" s="252">
        <v>1</v>
      </c>
      <c r="G24" s="1859">
        <f>IFERROR(D24/'Allgemeine Angaben'!$L$47*('Allgemeine Angaben'!$L$47-'Allgemeine Angaben'!$L$48),0)</f>
        <v>0</v>
      </c>
      <c r="H24" s="1775">
        <f>IFERROR(D24/'Allgemeine Angaben'!$L$47*'Allgemeine Angaben'!$L$48,0)</f>
        <v>0</v>
      </c>
      <c r="I24" s="2001" t="e">
        <f>$D24*$F24*KAT!K33</f>
        <v>#VALUE!</v>
      </c>
      <c r="J24" s="1919" t="e">
        <f>I24/$J$11</f>
        <v>#VALUE!</v>
      </c>
      <c r="K24" s="2002" t="e">
        <f>D24*F24*KAT!K34</f>
        <v>#VALUE!</v>
      </c>
      <c r="L24" s="1919" t="e">
        <f>K24/$L$11</f>
        <v>#VALUE!</v>
      </c>
      <c r="M24" s="2001" t="e">
        <f>D24*F24*KAT!K35</f>
        <v>#VALUE!</v>
      </c>
      <c r="N24" s="1919" t="e">
        <f>M24/$N$11</f>
        <v>#VALUE!</v>
      </c>
      <c r="O24" s="2001" t="e">
        <f>D24*F24*KAT!K36</f>
        <v>#VALUE!</v>
      </c>
      <c r="P24" s="1919" t="e">
        <f>O24/$P$11</f>
        <v>#VALUE!</v>
      </c>
      <c r="Q24" s="2001" t="e">
        <f>D24*F24*KAT!K37</f>
        <v>#VALUE!</v>
      </c>
      <c r="R24" s="1919" t="e">
        <f>Q24/$R$11</f>
        <v>#VALUE!</v>
      </c>
      <c r="S24" s="1121"/>
      <c r="T24" s="2049"/>
      <c r="U24" s="1916"/>
      <c r="V24" s="1917"/>
      <c r="W24" s="1916"/>
      <c r="X24" s="1917"/>
      <c r="Y24" s="91"/>
    </row>
    <row r="25" spans="1:32" ht="26.25" customHeight="1" x14ac:dyDescent="0.2">
      <c r="A25" s="3"/>
      <c r="B25" s="1179" t="s">
        <v>123</v>
      </c>
      <c r="C25" s="1180" t="s">
        <v>498</v>
      </c>
      <c r="D25" s="336" t="e">
        <f>Personalaufwendungen!I46*Personalaufwendungen!H46*(1+pnk+Personalaufwendungen!I74)*(1+risiko)</f>
        <v>#VALUE!</v>
      </c>
      <c r="E25" s="1121"/>
      <c r="F25" s="1122"/>
      <c r="G25" s="1859">
        <f>IFERROR(D25/'Allgemeine Angaben'!$L$47*('Allgemeine Angaben'!$L$47-'Allgemeine Angaben'!$L$48),0)</f>
        <v>0</v>
      </c>
      <c r="H25" s="1834">
        <f>IFERROR(D25/'Allgemeine Angaben'!$L$47*'Allgemeine Angaben'!$L$48,0)</f>
        <v>0</v>
      </c>
      <c r="I25" s="247"/>
      <c r="J25" s="163"/>
      <c r="K25" s="168"/>
      <c r="L25" s="163"/>
      <c r="M25" s="247"/>
      <c r="N25" s="163"/>
      <c r="O25" s="247"/>
      <c r="P25" s="163"/>
      <c r="Q25" s="247"/>
      <c r="R25" s="163"/>
      <c r="S25" s="247"/>
      <c r="T25" s="2050"/>
      <c r="U25" s="181"/>
      <c r="V25" s="172"/>
      <c r="W25" s="1171" t="e">
        <f>D25</f>
        <v>#VALUE!</v>
      </c>
      <c r="X25" s="275" t="e">
        <f>W25/$P$8</f>
        <v>#VALUE!</v>
      </c>
      <c r="Y25" s="5"/>
      <c r="Z25" s="1126"/>
    </row>
    <row r="26" spans="1:32" x14ac:dyDescent="0.2">
      <c r="A26" s="3"/>
      <c r="B26" s="1179" t="s">
        <v>124</v>
      </c>
      <c r="C26" s="1181" t="str">
        <f>Personalaufwendungen!C48</f>
        <v>Einrichtungsleitung</v>
      </c>
      <c r="D26" s="336" t="e">
        <f>Personalaufwendungen!I48*Personalaufwendungen!H48*(1+pnk+Personalaufwendungen!I74)*(1+risiko)</f>
        <v>#VALUE!</v>
      </c>
      <c r="E26" s="2202" t="e">
        <f>I26+K26+M26+O26+Q26+S26</f>
        <v>#VALUE!</v>
      </c>
      <c r="F26" s="1122">
        <v>0.5</v>
      </c>
      <c r="G26" s="1859">
        <f>IFERROR(D26/'Allgemeine Angaben'!$L$47*('Allgemeine Angaben'!$L$47-'Allgemeine Angaben'!$L$48),0)</f>
        <v>0</v>
      </c>
      <c r="H26" s="1834">
        <f>IFERROR(D26/'Allgemeine Angaben'!$L$47*'Allgemeine Angaben'!$L$48,0)</f>
        <v>0</v>
      </c>
      <c r="I26" s="247" t="e">
        <f>D26*F26/$P$6*$J$11</f>
        <v>#VALUE!</v>
      </c>
      <c r="J26" s="163" t="e">
        <f>I26/$J$11</f>
        <v>#VALUE!</v>
      </c>
      <c r="K26" s="168" t="e">
        <f>D26*F26/$P$6*$L$11</f>
        <v>#VALUE!</v>
      </c>
      <c r="L26" s="163" t="e">
        <f>K26/$L$11</f>
        <v>#VALUE!</v>
      </c>
      <c r="M26" s="247" t="e">
        <f>D26*F26/$P$6*$N$11</f>
        <v>#VALUE!</v>
      </c>
      <c r="N26" s="163" t="e">
        <f>M26/$N$11</f>
        <v>#VALUE!</v>
      </c>
      <c r="O26" s="247" t="e">
        <f>D26*F26/$P$6*$P$11</f>
        <v>#VALUE!</v>
      </c>
      <c r="P26" s="163" t="e">
        <f>O26/$P$11</f>
        <v>#VALUE!</v>
      </c>
      <c r="Q26" s="247" t="e">
        <f>D26*F26/$P$6*$R$11</f>
        <v>#VALUE!</v>
      </c>
      <c r="R26" s="163" t="e">
        <f>Q26/$R$11</f>
        <v>#VALUE!</v>
      </c>
      <c r="S26" s="247" t="e">
        <f>D26*F26</f>
        <v>#VALUE!</v>
      </c>
      <c r="T26" s="163" t="e">
        <f>S26/divisor</f>
        <v>#VALUE!</v>
      </c>
      <c r="U26" s="181"/>
      <c r="V26" s="162"/>
      <c r="W26" s="181"/>
      <c r="X26" s="162"/>
      <c r="Y26" s="5"/>
      <c r="Z26" s="1126"/>
    </row>
    <row r="27" spans="1:32" x14ac:dyDescent="0.2">
      <c r="A27" s="3"/>
      <c r="B27" s="1179" t="s">
        <v>125</v>
      </c>
      <c r="C27" s="1181" t="str">
        <f>Personalaufwendungen!C50</f>
        <v>Hauswirtschaft</v>
      </c>
      <c r="D27" s="336" t="e">
        <f>Personalaufwendungen!I56*Personalaufwendungen!H56*(1+pnk+Personalaufwendungen!I74)*(1+risiko)</f>
        <v>#VALUE!</v>
      </c>
      <c r="E27" s="1121" t="e">
        <f>I27+K27+M27+O27+Q27+S27</f>
        <v>#VALUE!</v>
      </c>
      <c r="F27" s="1122">
        <v>0.5</v>
      </c>
      <c r="G27" s="1859">
        <f>IFERROR(D27/'Allgemeine Angaben'!$L$47*('Allgemeine Angaben'!$L$47-'Allgemeine Angaben'!$L$48),0)</f>
        <v>0</v>
      </c>
      <c r="H27" s="1834">
        <f>IFERROR(D27/'Allgemeine Angaben'!$L$47*'Allgemeine Angaben'!$L$48,0)</f>
        <v>0</v>
      </c>
      <c r="I27" s="247" t="e">
        <f>D27*F27/$P$6*$J$11</f>
        <v>#VALUE!</v>
      </c>
      <c r="J27" s="163" t="e">
        <f>I27/$J$11</f>
        <v>#VALUE!</v>
      </c>
      <c r="K27" s="168" t="e">
        <f>D27*F27/$P$6*$L$11</f>
        <v>#VALUE!</v>
      </c>
      <c r="L27" s="163" t="e">
        <f>K27/$L$11</f>
        <v>#VALUE!</v>
      </c>
      <c r="M27" s="247" t="e">
        <f>D27*F27/$P$6*$N$11</f>
        <v>#VALUE!</v>
      </c>
      <c r="N27" s="163" t="e">
        <f>M27/$N$11</f>
        <v>#VALUE!</v>
      </c>
      <c r="O27" s="247" t="e">
        <f>D27*F27/$P$6*$P$11</f>
        <v>#VALUE!</v>
      </c>
      <c r="P27" s="163" t="e">
        <f>O27/$P$11</f>
        <v>#VALUE!</v>
      </c>
      <c r="Q27" s="247" t="e">
        <f>D27*F27/$P$6*$R$11</f>
        <v>#VALUE!</v>
      </c>
      <c r="R27" s="163" t="e">
        <f>Q27/$R$11</f>
        <v>#VALUE!</v>
      </c>
      <c r="S27" s="247" t="e">
        <f>D27*F27</f>
        <v>#VALUE!</v>
      </c>
      <c r="T27" s="163" t="e">
        <f>S27/divisor</f>
        <v>#VALUE!</v>
      </c>
      <c r="U27" s="181"/>
      <c r="V27" s="162"/>
      <c r="W27" s="181"/>
      <c r="X27" s="162"/>
      <c r="Y27" s="5"/>
    </row>
    <row r="28" spans="1:32" x14ac:dyDescent="0.2">
      <c r="A28" s="3"/>
      <c r="B28" s="1179" t="s">
        <v>126</v>
      </c>
      <c r="C28" s="1181" t="str">
        <f>Personalaufwendungen!C58</f>
        <v>Küche</v>
      </c>
      <c r="D28" s="336" t="e">
        <f>Personalaufwendungen!I58*Personalaufwendungen!H58*(1+pnk+Personalaufwendungen!I74)*(1+risiko)</f>
        <v>#VALUE!</v>
      </c>
      <c r="E28" s="1121" t="e">
        <f>I28+K28+M28+O28+Q28+S28</f>
        <v>#VALUE!</v>
      </c>
      <c r="F28" s="1122">
        <v>0.5</v>
      </c>
      <c r="G28" s="1859">
        <f>IFERROR(D28/'Allgemeine Angaben'!$L$47*('Allgemeine Angaben'!$L$47-'Allgemeine Angaben'!$L$48),0)</f>
        <v>0</v>
      </c>
      <c r="H28" s="1834">
        <f>IFERROR(D28/'Allgemeine Angaben'!$L$47*'Allgemeine Angaben'!$L$48,0)</f>
        <v>0</v>
      </c>
      <c r="I28" s="247" t="e">
        <f>D28*F28/$P$6*$J$11</f>
        <v>#VALUE!</v>
      </c>
      <c r="J28" s="163" t="e">
        <f>I28/$J$11</f>
        <v>#VALUE!</v>
      </c>
      <c r="K28" s="168" t="e">
        <f>D28*F28/$P$6*$L$11</f>
        <v>#VALUE!</v>
      </c>
      <c r="L28" s="163" t="e">
        <f>K28/$L$11</f>
        <v>#VALUE!</v>
      </c>
      <c r="M28" s="247" t="e">
        <f>D28*F28/$P$6*$N$11</f>
        <v>#VALUE!</v>
      </c>
      <c r="N28" s="163" t="e">
        <f>M28/$N$11</f>
        <v>#VALUE!</v>
      </c>
      <c r="O28" s="247" t="e">
        <f>D28*F28/$P$6*$P$11</f>
        <v>#VALUE!</v>
      </c>
      <c r="P28" s="163" t="e">
        <f>O28/$P$11</f>
        <v>#VALUE!</v>
      </c>
      <c r="Q28" s="247" t="e">
        <f>D28*F28/$P$6*$R$11</f>
        <v>#VALUE!</v>
      </c>
      <c r="R28" s="163" t="e">
        <f>Q28/$R$11</f>
        <v>#VALUE!</v>
      </c>
      <c r="S28" s="247" t="e">
        <f>D28*F28</f>
        <v>#VALUE!</v>
      </c>
      <c r="T28" s="163" t="e">
        <f>S28/divisor</f>
        <v>#VALUE!</v>
      </c>
      <c r="U28" s="181"/>
      <c r="V28" s="162"/>
      <c r="W28" s="181"/>
      <c r="X28" s="162"/>
      <c r="Y28" s="5"/>
    </row>
    <row r="29" spans="1:32" x14ac:dyDescent="0.2">
      <c r="A29" s="3"/>
      <c r="B29" s="1179" t="s">
        <v>127</v>
      </c>
      <c r="C29" s="1181" t="str">
        <f>Personalaufwendungen!C60</f>
        <v>Haustechnik</v>
      </c>
      <c r="D29" s="336" t="e">
        <f>Personalaufwendungen!I60*Personalaufwendungen!H60*(1+pnk+Personalaufwendungen!I74)*(1+risiko)</f>
        <v>#VALUE!</v>
      </c>
      <c r="E29" s="1121" t="e">
        <f>I29+K29+M29+O29+Q29+S29</f>
        <v>#VALUE!</v>
      </c>
      <c r="F29" s="1122">
        <v>0.5</v>
      </c>
      <c r="G29" s="1859">
        <f>IFERROR(D29/'Allgemeine Angaben'!$L$47*('Allgemeine Angaben'!$L$47-'Allgemeine Angaben'!$L$48),0)</f>
        <v>0</v>
      </c>
      <c r="H29" s="1834">
        <f>IFERROR(D29/'Allgemeine Angaben'!$L$47*'Allgemeine Angaben'!$L$48,0)</f>
        <v>0</v>
      </c>
      <c r="I29" s="247" t="e">
        <f>D29*F29/$P$6*$J$11</f>
        <v>#VALUE!</v>
      </c>
      <c r="J29" s="163" t="e">
        <f>I29/$J$11</f>
        <v>#VALUE!</v>
      </c>
      <c r="K29" s="168" t="e">
        <f>D29*F29/$P$6*$L$11</f>
        <v>#VALUE!</v>
      </c>
      <c r="L29" s="163" t="e">
        <f>K29/$L$11</f>
        <v>#VALUE!</v>
      </c>
      <c r="M29" s="247" t="e">
        <f>D29*F29/$P$6*$N$11</f>
        <v>#VALUE!</v>
      </c>
      <c r="N29" s="163" t="e">
        <f>M29/$N$11</f>
        <v>#VALUE!</v>
      </c>
      <c r="O29" s="247" t="e">
        <f>D29*F29/$P$6*$P$11</f>
        <v>#VALUE!</v>
      </c>
      <c r="P29" s="163" t="e">
        <f>O29/$P$11</f>
        <v>#VALUE!</v>
      </c>
      <c r="Q29" s="247" t="e">
        <f>D29*F29/$P$6*$R$11</f>
        <v>#VALUE!</v>
      </c>
      <c r="R29" s="163" t="e">
        <f>Q29/$R$11</f>
        <v>#VALUE!</v>
      </c>
      <c r="S29" s="247" t="e">
        <f>D29*F29</f>
        <v>#VALUE!</v>
      </c>
      <c r="T29" s="163" t="e">
        <f>S29/divisor</f>
        <v>#VALUE!</v>
      </c>
      <c r="U29" s="181"/>
      <c r="V29" s="162"/>
      <c r="W29" s="181"/>
      <c r="X29" s="162"/>
      <c r="Y29" s="5"/>
    </row>
    <row r="30" spans="1:32" x14ac:dyDescent="0.2">
      <c r="A30" s="3"/>
      <c r="B30" s="1179" t="s">
        <v>137</v>
      </c>
      <c r="C30" s="1181" t="s">
        <v>517</v>
      </c>
      <c r="D30" s="336">
        <f>Personalaufwendungen!I79*Personalaufwendungen!H79+Personalaufwendungen!I81*Personalaufwendungen!H81</f>
        <v>0</v>
      </c>
      <c r="E30" s="1121" t="e">
        <f>I30+K30+M30+O30+Q30+S30</f>
        <v>#DIV/0!</v>
      </c>
      <c r="F30" s="1122">
        <v>0.5</v>
      </c>
      <c r="G30" s="1859">
        <f>IFERROR(D30/'Allgemeine Angaben'!$L$47*('Allgemeine Angaben'!$L$47-'Allgemeine Angaben'!$L$48),0)</f>
        <v>0</v>
      </c>
      <c r="H30" s="1834">
        <f>IFERROR(D30/'Allgemeine Angaben'!$L$47*'Allgemeine Angaben'!$L$48,0)</f>
        <v>0</v>
      </c>
      <c r="I30" s="247" t="e">
        <f>D30*F30/$P$6*$J$11</f>
        <v>#DIV/0!</v>
      </c>
      <c r="J30" s="163" t="e">
        <f>I30/$J$11</f>
        <v>#DIV/0!</v>
      </c>
      <c r="K30" s="168" t="e">
        <f>D30*F30/$P$6*$L$11</f>
        <v>#DIV/0!</v>
      </c>
      <c r="L30" s="163" t="e">
        <f>K30/$L$11</f>
        <v>#DIV/0!</v>
      </c>
      <c r="M30" s="247" t="e">
        <f>D30*F30/$P$6*$N$11</f>
        <v>#DIV/0!</v>
      </c>
      <c r="N30" s="163" t="e">
        <f>M30/$N$11</f>
        <v>#DIV/0!</v>
      </c>
      <c r="O30" s="247" t="e">
        <f>D30*F30/$P$6*$P$11</f>
        <v>#DIV/0!</v>
      </c>
      <c r="P30" s="163" t="e">
        <f>O30/$P$11</f>
        <v>#DIV/0!</v>
      </c>
      <c r="Q30" s="247" t="e">
        <f>D30*F30/$P$6*$R$11</f>
        <v>#DIV/0!</v>
      </c>
      <c r="R30" s="163" t="e">
        <f>Q30/$R$11</f>
        <v>#DIV/0!</v>
      </c>
      <c r="S30" s="247">
        <f>D30*F30</f>
        <v>0</v>
      </c>
      <c r="T30" s="163" t="e">
        <f>S30/divisor</f>
        <v>#DIV/0!</v>
      </c>
      <c r="U30" s="181"/>
      <c r="V30" s="162"/>
      <c r="W30" s="181"/>
      <c r="X30" s="162"/>
      <c r="Y30" s="5"/>
    </row>
    <row r="31" spans="1:32" x14ac:dyDescent="0.2">
      <c r="A31" s="3"/>
      <c r="C31" s="164"/>
      <c r="D31" s="243"/>
      <c r="E31" s="1127"/>
      <c r="F31" s="1127"/>
      <c r="G31" s="1809"/>
      <c r="H31" s="1809"/>
      <c r="I31" s="248"/>
      <c r="J31" s="162"/>
      <c r="K31" s="248"/>
      <c r="L31" s="162"/>
      <c r="M31" s="248"/>
      <c r="N31" s="162"/>
      <c r="O31" s="248"/>
      <c r="P31" s="162"/>
      <c r="Q31" s="248"/>
      <c r="R31" s="162"/>
      <c r="S31" s="248"/>
      <c r="T31" s="162"/>
      <c r="U31" s="181"/>
      <c r="V31" s="162"/>
      <c r="W31" s="181"/>
      <c r="X31" s="162"/>
      <c r="Y31" s="5"/>
      <c r="Z31" s="632"/>
      <c r="AA31" s="632"/>
      <c r="AB31" s="632"/>
      <c r="AC31" s="492"/>
      <c r="AD31" s="492"/>
      <c r="AE31" s="492"/>
      <c r="AF31" s="492"/>
    </row>
    <row r="32" spans="1:32" x14ac:dyDescent="0.2">
      <c r="A32" s="3"/>
      <c r="B32" s="193" t="s">
        <v>43</v>
      </c>
      <c r="C32" s="158" t="s">
        <v>128</v>
      </c>
      <c r="D32" s="335">
        <f>SUM(D33:D40)</f>
        <v>0</v>
      </c>
      <c r="E32" s="159" t="e">
        <f>I32+K32+M32+O32+Q32+S32+U32</f>
        <v>#DIV/0!</v>
      </c>
      <c r="F32" s="159"/>
      <c r="G32" s="1858">
        <f>IFERROR(D32/'Allgemeine Angaben'!$L$47*('Allgemeine Angaben'!$L$47-'Allgemeine Angaben'!$L$48),0)</f>
        <v>0</v>
      </c>
      <c r="H32" s="1833">
        <f>IFERROR(D32/'Allgemeine Angaben'!$L$47*'Allgemeine Angaben'!$L$48,0)</f>
        <v>0</v>
      </c>
      <c r="I32" s="245" t="e">
        <f t="shared" ref="I32:R32" si="1">SUM(I34:I40)</f>
        <v>#DIV/0!</v>
      </c>
      <c r="J32" s="160" t="e">
        <f t="shared" si="1"/>
        <v>#DIV/0!</v>
      </c>
      <c r="K32" s="252" t="e">
        <f t="shared" si="1"/>
        <v>#DIV/0!</v>
      </c>
      <c r="L32" s="160" t="e">
        <f t="shared" si="1"/>
        <v>#DIV/0!</v>
      </c>
      <c r="M32" s="245" t="e">
        <f t="shared" si="1"/>
        <v>#DIV/0!</v>
      </c>
      <c r="N32" s="160" t="e">
        <f t="shared" si="1"/>
        <v>#DIV/0!</v>
      </c>
      <c r="O32" s="245" t="e">
        <f t="shared" si="1"/>
        <v>#DIV/0!</v>
      </c>
      <c r="P32" s="160" t="e">
        <f t="shared" si="1"/>
        <v>#DIV/0!</v>
      </c>
      <c r="Q32" s="245" t="e">
        <f t="shared" si="1"/>
        <v>#DIV/0!</v>
      </c>
      <c r="R32" s="160" t="e">
        <f t="shared" si="1"/>
        <v>#DIV/0!</v>
      </c>
      <c r="S32" s="255">
        <f>SUM(S35:S40)</f>
        <v>0</v>
      </c>
      <c r="T32" s="161" t="e">
        <f>SUM(T35:T40)</f>
        <v>#DIV/0!</v>
      </c>
      <c r="U32" s="255">
        <f>SUM(U33:U40)</f>
        <v>0</v>
      </c>
      <c r="V32" s="161" t="e">
        <f>SUM(V33:V40)</f>
        <v>#DIV/0!</v>
      </c>
      <c r="W32" s="273"/>
      <c r="X32" s="162"/>
      <c r="Y32" s="5"/>
      <c r="Z32" s="632"/>
      <c r="AA32" s="632"/>
      <c r="AB32" s="632"/>
      <c r="AC32" s="492"/>
      <c r="AD32" s="492"/>
      <c r="AE32" s="492"/>
      <c r="AF32" s="492"/>
    </row>
    <row r="33" spans="1:26" x14ac:dyDescent="0.2">
      <c r="A33" s="3"/>
      <c r="B33" s="272" t="s">
        <v>56</v>
      </c>
      <c r="C33" s="167" t="str">
        <f>Sachaufwendungen!C21</f>
        <v>Lebensmittel</v>
      </c>
      <c r="D33" s="336">
        <f>Sachaufwendungen!L21</f>
        <v>0</v>
      </c>
      <c r="E33" s="159"/>
      <c r="F33" s="159"/>
      <c r="G33" s="1859">
        <f>IFERROR(D33/'Allgemeine Angaben'!$L$47*('Allgemeine Angaben'!$L$47-'Allgemeine Angaben'!$L$48),0)</f>
        <v>0</v>
      </c>
      <c r="H33" s="1834">
        <f>IFERROR(D33/'Allgemeine Angaben'!$L$47*'Allgemeine Angaben'!$L$48,0)</f>
        <v>0</v>
      </c>
      <c r="I33" s="249"/>
      <c r="J33" s="169"/>
      <c r="K33" s="168"/>
      <c r="L33" s="169"/>
      <c r="M33" s="168"/>
      <c r="N33" s="169"/>
      <c r="O33" s="168"/>
      <c r="P33" s="169"/>
      <c r="Q33" s="168"/>
      <c r="R33" s="169"/>
      <c r="S33" s="168"/>
      <c r="T33" s="170"/>
      <c r="U33" s="247">
        <f>D33</f>
        <v>0</v>
      </c>
      <c r="V33" s="171" t="e">
        <f>U33/divisor</f>
        <v>#DIV/0!</v>
      </c>
      <c r="W33" s="248"/>
      <c r="X33" s="162"/>
      <c r="Y33" s="5"/>
    </row>
    <row r="34" spans="1:26" x14ac:dyDescent="0.2">
      <c r="A34" s="3"/>
      <c r="B34" s="272" t="s">
        <v>58</v>
      </c>
      <c r="C34" s="167" t="str">
        <f>Sachaufwendungen!C22</f>
        <v>Pflegerischer Bedarf</v>
      </c>
      <c r="D34" s="336">
        <f>Sachaufwendungen!L22</f>
        <v>0</v>
      </c>
      <c r="E34" s="159" t="e">
        <f t="shared" ref="E34:E40" si="2">I34+K34+M34+O34+Q34+S34+U34</f>
        <v>#DIV/0!</v>
      </c>
      <c r="F34" s="159">
        <v>1</v>
      </c>
      <c r="G34" s="1859">
        <f>IFERROR(D34/'Allgemeine Angaben'!$L$47*('Allgemeine Angaben'!$L$47-'Allgemeine Angaben'!$L$48),0)</f>
        <v>0</v>
      </c>
      <c r="H34" s="1834">
        <f>IFERROR(D34/'Allgemeine Angaben'!$L$47*'Allgemeine Angaben'!$L$48,0)</f>
        <v>0</v>
      </c>
      <c r="I34" s="247" t="e">
        <f t="shared" ref="I34:I40" si="3">D34*F34/divisor*$J$11</f>
        <v>#DIV/0!</v>
      </c>
      <c r="J34" s="163" t="e">
        <f>I34/$J$11</f>
        <v>#DIV/0!</v>
      </c>
      <c r="K34" s="168" t="e">
        <f t="shared" ref="K34:K40" si="4">D34*F34/divisor*$L$11</f>
        <v>#DIV/0!</v>
      </c>
      <c r="L34" s="163" t="e">
        <f t="shared" ref="L34:L40" si="5">K34/$L$11</f>
        <v>#DIV/0!</v>
      </c>
      <c r="M34" s="247" t="e">
        <f t="shared" ref="M34:M40" si="6">D34*F34/divisor*$N$11</f>
        <v>#DIV/0!</v>
      </c>
      <c r="N34" s="163" t="e">
        <f t="shared" ref="N34:N40" si="7">M34/$N$11</f>
        <v>#DIV/0!</v>
      </c>
      <c r="O34" s="247" t="e">
        <f t="shared" ref="O34:O40" si="8">D34*F34/divisor*$P$11</f>
        <v>#DIV/0!</v>
      </c>
      <c r="P34" s="163" t="e">
        <f t="shared" ref="P34:P40" si="9">O34/$P$11</f>
        <v>#DIV/0!</v>
      </c>
      <c r="Q34" s="247" t="e">
        <f t="shared" ref="Q34:Q40" si="10">D34*F34/divisor*$R$11</f>
        <v>#DIV/0!</v>
      </c>
      <c r="R34" s="163" t="e">
        <f t="shared" ref="R34:R40" si="11">Q34/$R$11</f>
        <v>#DIV/0!</v>
      </c>
      <c r="S34" s="258"/>
      <c r="T34" s="172"/>
      <c r="U34" s="260"/>
      <c r="V34" s="162"/>
      <c r="W34" s="181"/>
      <c r="X34" s="162"/>
      <c r="Y34" s="5"/>
    </row>
    <row r="35" spans="1:26" x14ac:dyDescent="0.2">
      <c r="A35" s="3"/>
      <c r="B35" s="272" t="s">
        <v>60</v>
      </c>
      <c r="C35" s="173" t="str">
        <f>Sachaufwendungen!C23</f>
        <v>Wasser, Energie, Brennstoffe</v>
      </c>
      <c r="D35" s="336">
        <f>Sachaufwendungen!L23</f>
        <v>0</v>
      </c>
      <c r="E35" s="159" t="e">
        <f>I35+K35+M35+O35+Q35+S35+U35</f>
        <v>#DIV/0!</v>
      </c>
      <c r="F35" s="159">
        <v>0.5</v>
      </c>
      <c r="G35" s="1859">
        <f>IFERROR(D35/'Allgemeine Angaben'!$L$47*('Allgemeine Angaben'!$L$47-'Allgemeine Angaben'!$L$48),0)</f>
        <v>0</v>
      </c>
      <c r="H35" s="1834">
        <f>IFERROR(D35/'Allgemeine Angaben'!$L$47*'Allgemeine Angaben'!$L$48,0)</f>
        <v>0</v>
      </c>
      <c r="I35" s="247" t="e">
        <f t="shared" si="3"/>
        <v>#DIV/0!</v>
      </c>
      <c r="J35" s="163" t="e">
        <f t="shared" ref="J35:J40" si="12">I35/$J$11</f>
        <v>#DIV/0!</v>
      </c>
      <c r="K35" s="168" t="e">
        <f t="shared" si="4"/>
        <v>#DIV/0!</v>
      </c>
      <c r="L35" s="163" t="e">
        <f t="shared" si="5"/>
        <v>#DIV/0!</v>
      </c>
      <c r="M35" s="247" t="e">
        <f t="shared" si="6"/>
        <v>#DIV/0!</v>
      </c>
      <c r="N35" s="163" t="e">
        <f t="shared" si="7"/>
        <v>#DIV/0!</v>
      </c>
      <c r="O35" s="247" t="e">
        <f t="shared" si="8"/>
        <v>#DIV/0!</v>
      </c>
      <c r="P35" s="163" t="e">
        <f t="shared" si="9"/>
        <v>#DIV/0!</v>
      </c>
      <c r="Q35" s="247" t="e">
        <f t="shared" si="10"/>
        <v>#DIV/0!</v>
      </c>
      <c r="R35" s="163" t="e">
        <f t="shared" si="11"/>
        <v>#DIV/0!</v>
      </c>
      <c r="S35" s="247">
        <f>D35*F35</f>
        <v>0</v>
      </c>
      <c r="T35" s="163" t="e">
        <f>S35/divisor</f>
        <v>#DIV/0!</v>
      </c>
      <c r="U35" s="261"/>
      <c r="V35" s="162"/>
      <c r="W35" s="181"/>
      <c r="X35" s="162"/>
      <c r="Y35" s="5"/>
      <c r="Z35" s="1126"/>
    </row>
    <row r="36" spans="1:26" x14ac:dyDescent="0.2">
      <c r="A36" s="3"/>
      <c r="B36" s="2169" t="s">
        <v>62</v>
      </c>
      <c r="C36" s="167" t="str">
        <f>Sachaufwendungen!C24</f>
        <v>Betreuungsaufwand</v>
      </c>
      <c r="D36" s="336">
        <f>Sachaufwendungen!L24</f>
        <v>0</v>
      </c>
      <c r="E36" s="159" t="e">
        <f t="shared" si="2"/>
        <v>#DIV/0!</v>
      </c>
      <c r="F36" s="159">
        <v>1</v>
      </c>
      <c r="G36" s="1859">
        <f>IFERROR(D36/'Allgemeine Angaben'!$L$47*('Allgemeine Angaben'!$L$47-'Allgemeine Angaben'!$L$48),0)</f>
        <v>0</v>
      </c>
      <c r="H36" s="1834">
        <f>IFERROR(D36/'Allgemeine Angaben'!$L$47*'Allgemeine Angaben'!$L$48,0)</f>
        <v>0</v>
      </c>
      <c r="I36" s="247" t="e">
        <f t="shared" si="3"/>
        <v>#DIV/0!</v>
      </c>
      <c r="J36" s="163" t="e">
        <f t="shared" si="12"/>
        <v>#DIV/0!</v>
      </c>
      <c r="K36" s="168" t="e">
        <f t="shared" si="4"/>
        <v>#DIV/0!</v>
      </c>
      <c r="L36" s="163" t="e">
        <f t="shared" si="5"/>
        <v>#DIV/0!</v>
      </c>
      <c r="M36" s="247" t="e">
        <f t="shared" si="6"/>
        <v>#DIV/0!</v>
      </c>
      <c r="N36" s="163" t="e">
        <f t="shared" si="7"/>
        <v>#DIV/0!</v>
      </c>
      <c r="O36" s="247" t="e">
        <f t="shared" si="8"/>
        <v>#DIV/0!</v>
      </c>
      <c r="P36" s="163" t="e">
        <f t="shared" si="9"/>
        <v>#DIV/0!</v>
      </c>
      <c r="Q36" s="247" t="e">
        <f t="shared" si="10"/>
        <v>#DIV/0!</v>
      </c>
      <c r="R36" s="163" t="e">
        <f t="shared" si="11"/>
        <v>#DIV/0!</v>
      </c>
      <c r="S36" s="258"/>
      <c r="T36" s="172"/>
      <c r="U36" s="181"/>
      <c r="V36" s="162"/>
      <c r="W36" s="181"/>
      <c r="X36" s="162"/>
      <c r="Y36" s="5"/>
    </row>
    <row r="37" spans="1:26" x14ac:dyDescent="0.2">
      <c r="A37" s="3"/>
      <c r="B37" s="2169" t="s">
        <v>63</v>
      </c>
      <c r="C37" s="167" t="str">
        <f>Sachaufwendungen!C25</f>
        <v>Wirtschaftsbedarf</v>
      </c>
      <c r="D37" s="336">
        <f>Sachaufwendungen!L25</f>
        <v>0</v>
      </c>
      <c r="E37" s="159" t="e">
        <f t="shared" si="2"/>
        <v>#DIV/0!</v>
      </c>
      <c r="F37" s="159">
        <v>0.5</v>
      </c>
      <c r="G37" s="1859">
        <f>IFERROR(D37/'Allgemeine Angaben'!$L$47*('Allgemeine Angaben'!$L$47-'Allgemeine Angaben'!$L$48),0)</f>
        <v>0</v>
      </c>
      <c r="H37" s="1834">
        <f>IFERROR(D37/'Allgemeine Angaben'!$L$47*'Allgemeine Angaben'!$L$48,0)</f>
        <v>0</v>
      </c>
      <c r="I37" s="247" t="e">
        <f t="shared" si="3"/>
        <v>#DIV/0!</v>
      </c>
      <c r="J37" s="163" t="e">
        <f t="shared" si="12"/>
        <v>#DIV/0!</v>
      </c>
      <c r="K37" s="168" t="e">
        <f t="shared" si="4"/>
        <v>#DIV/0!</v>
      </c>
      <c r="L37" s="163" t="e">
        <f t="shared" si="5"/>
        <v>#DIV/0!</v>
      </c>
      <c r="M37" s="247" t="e">
        <f t="shared" si="6"/>
        <v>#DIV/0!</v>
      </c>
      <c r="N37" s="163" t="e">
        <f t="shared" si="7"/>
        <v>#DIV/0!</v>
      </c>
      <c r="O37" s="247" t="e">
        <f t="shared" si="8"/>
        <v>#DIV/0!</v>
      </c>
      <c r="P37" s="163" t="e">
        <f t="shared" si="9"/>
        <v>#DIV/0!</v>
      </c>
      <c r="Q37" s="247" t="e">
        <f t="shared" si="10"/>
        <v>#DIV/0!</v>
      </c>
      <c r="R37" s="163" t="e">
        <f t="shared" si="11"/>
        <v>#DIV/0!</v>
      </c>
      <c r="S37" s="247">
        <f>D37*F37</f>
        <v>0</v>
      </c>
      <c r="T37" s="163" t="e">
        <f>S37/divisor</f>
        <v>#DIV/0!</v>
      </c>
      <c r="U37" s="261"/>
      <c r="V37" s="162"/>
      <c r="W37" s="181"/>
      <c r="X37" s="162"/>
      <c r="Y37" s="5"/>
    </row>
    <row r="38" spans="1:26" x14ac:dyDescent="0.2">
      <c r="A38" s="3"/>
      <c r="B38" s="2169" t="s">
        <v>64</v>
      </c>
      <c r="C38" s="167" t="str">
        <f>Sachaufwendungen!C26</f>
        <v>Steuern/Abgaben/Versicherungen</v>
      </c>
      <c r="D38" s="336">
        <f>Sachaufwendungen!L26</f>
        <v>0</v>
      </c>
      <c r="E38" s="159" t="e">
        <f t="shared" si="2"/>
        <v>#DIV/0!</v>
      </c>
      <c r="F38" s="159">
        <v>0.5</v>
      </c>
      <c r="G38" s="1859">
        <f>IFERROR(D38/'Allgemeine Angaben'!$L$47*('Allgemeine Angaben'!$L$47-'Allgemeine Angaben'!$L$48),0)</f>
        <v>0</v>
      </c>
      <c r="H38" s="1834">
        <f>IFERROR(D38/'Allgemeine Angaben'!$L$47*'Allgemeine Angaben'!$L$48,0)</f>
        <v>0</v>
      </c>
      <c r="I38" s="247" t="e">
        <f t="shared" si="3"/>
        <v>#DIV/0!</v>
      </c>
      <c r="J38" s="163" t="e">
        <f t="shared" si="12"/>
        <v>#DIV/0!</v>
      </c>
      <c r="K38" s="168" t="e">
        <f t="shared" si="4"/>
        <v>#DIV/0!</v>
      </c>
      <c r="L38" s="163" t="e">
        <f t="shared" si="5"/>
        <v>#DIV/0!</v>
      </c>
      <c r="M38" s="247" t="e">
        <f t="shared" si="6"/>
        <v>#DIV/0!</v>
      </c>
      <c r="N38" s="163" t="e">
        <f t="shared" si="7"/>
        <v>#DIV/0!</v>
      </c>
      <c r="O38" s="247" t="e">
        <f t="shared" si="8"/>
        <v>#DIV/0!</v>
      </c>
      <c r="P38" s="163" t="e">
        <f t="shared" si="9"/>
        <v>#DIV/0!</v>
      </c>
      <c r="Q38" s="247" t="e">
        <f t="shared" si="10"/>
        <v>#DIV/0!</v>
      </c>
      <c r="R38" s="163" t="e">
        <f t="shared" si="11"/>
        <v>#DIV/0!</v>
      </c>
      <c r="S38" s="247">
        <f>D38*F38</f>
        <v>0</v>
      </c>
      <c r="T38" s="163" t="e">
        <f>S38/divisor</f>
        <v>#DIV/0!</v>
      </c>
      <c r="U38" s="261"/>
      <c r="V38" s="162"/>
      <c r="W38" s="181"/>
      <c r="X38" s="162"/>
      <c r="Y38" s="5"/>
    </row>
    <row r="39" spans="1:26" x14ac:dyDescent="0.2">
      <c r="A39" s="3"/>
      <c r="B39" s="2169" t="s">
        <v>66</v>
      </c>
      <c r="C39" s="174" t="str">
        <f>Sachaufwendungen!C27</f>
        <v>Wartung (keine Instandhaltung)</v>
      </c>
      <c r="D39" s="336">
        <f>Sachaufwendungen!L27</f>
        <v>0</v>
      </c>
      <c r="E39" s="159" t="e">
        <f t="shared" si="2"/>
        <v>#DIV/0!</v>
      </c>
      <c r="F39" s="159">
        <v>0.5</v>
      </c>
      <c r="G39" s="1859">
        <f>IFERROR(D39/'Allgemeine Angaben'!$L$47*('Allgemeine Angaben'!$L$47-'Allgemeine Angaben'!$L$48),0)</f>
        <v>0</v>
      </c>
      <c r="H39" s="1834">
        <f>IFERROR(D39/'Allgemeine Angaben'!$L$47*'Allgemeine Angaben'!$L$48,0)</f>
        <v>0</v>
      </c>
      <c r="I39" s="247" t="e">
        <f t="shared" si="3"/>
        <v>#DIV/0!</v>
      </c>
      <c r="J39" s="163" t="e">
        <f t="shared" si="12"/>
        <v>#DIV/0!</v>
      </c>
      <c r="K39" s="168" t="e">
        <f t="shared" si="4"/>
        <v>#DIV/0!</v>
      </c>
      <c r="L39" s="163" t="e">
        <f t="shared" si="5"/>
        <v>#DIV/0!</v>
      </c>
      <c r="M39" s="247" t="e">
        <f t="shared" si="6"/>
        <v>#DIV/0!</v>
      </c>
      <c r="N39" s="163" t="e">
        <f t="shared" si="7"/>
        <v>#DIV/0!</v>
      </c>
      <c r="O39" s="247" t="e">
        <f t="shared" si="8"/>
        <v>#DIV/0!</v>
      </c>
      <c r="P39" s="163" t="e">
        <f t="shared" si="9"/>
        <v>#DIV/0!</v>
      </c>
      <c r="Q39" s="247" t="e">
        <f t="shared" si="10"/>
        <v>#DIV/0!</v>
      </c>
      <c r="R39" s="163" t="e">
        <f t="shared" si="11"/>
        <v>#DIV/0!</v>
      </c>
      <c r="S39" s="247">
        <f>D39*F39</f>
        <v>0</v>
      </c>
      <c r="T39" s="163" t="e">
        <f>S39/divisor</f>
        <v>#DIV/0!</v>
      </c>
      <c r="U39" s="261"/>
      <c r="V39" s="162"/>
      <c r="W39" s="181"/>
      <c r="X39" s="162"/>
      <c r="Y39" s="5"/>
    </row>
    <row r="40" spans="1:26" x14ac:dyDescent="0.2">
      <c r="A40" s="3"/>
      <c r="B40" s="2169" t="s">
        <v>68</v>
      </c>
      <c r="C40" s="167" t="str">
        <f>Sachaufwendungen!C28</f>
        <v>sonstige Aufwendungen</v>
      </c>
      <c r="D40" s="336">
        <f>Sachaufwendungen!L28</f>
        <v>0</v>
      </c>
      <c r="E40" s="159" t="e">
        <f t="shared" si="2"/>
        <v>#DIV/0!</v>
      </c>
      <c r="F40" s="159">
        <v>0.5</v>
      </c>
      <c r="G40" s="1859">
        <f>IFERROR(D40/'Allgemeine Angaben'!$L$47*('Allgemeine Angaben'!$L$47-'Allgemeine Angaben'!$L$48),0)</f>
        <v>0</v>
      </c>
      <c r="H40" s="1834">
        <f>IFERROR(D40/'Allgemeine Angaben'!$L$47*'Allgemeine Angaben'!$L$48,0)</f>
        <v>0</v>
      </c>
      <c r="I40" s="247" t="e">
        <f t="shared" si="3"/>
        <v>#DIV/0!</v>
      </c>
      <c r="J40" s="163" t="e">
        <f t="shared" si="12"/>
        <v>#DIV/0!</v>
      </c>
      <c r="K40" s="168" t="e">
        <f t="shared" si="4"/>
        <v>#DIV/0!</v>
      </c>
      <c r="L40" s="163" t="e">
        <f t="shared" si="5"/>
        <v>#DIV/0!</v>
      </c>
      <c r="M40" s="247" t="e">
        <f t="shared" si="6"/>
        <v>#DIV/0!</v>
      </c>
      <c r="N40" s="163" t="e">
        <f t="shared" si="7"/>
        <v>#DIV/0!</v>
      </c>
      <c r="O40" s="247" t="e">
        <f t="shared" si="8"/>
        <v>#DIV/0!</v>
      </c>
      <c r="P40" s="163" t="e">
        <f t="shared" si="9"/>
        <v>#DIV/0!</v>
      </c>
      <c r="Q40" s="247" t="e">
        <f t="shared" si="10"/>
        <v>#DIV/0!</v>
      </c>
      <c r="R40" s="163" t="e">
        <f t="shared" si="11"/>
        <v>#DIV/0!</v>
      </c>
      <c r="S40" s="247">
        <f>D40*F40</f>
        <v>0</v>
      </c>
      <c r="T40" s="163" t="e">
        <f>S40/divisor</f>
        <v>#DIV/0!</v>
      </c>
      <c r="U40" s="261"/>
      <c r="V40" s="162"/>
      <c r="W40" s="181"/>
      <c r="X40" s="162"/>
      <c r="Y40" s="5"/>
    </row>
    <row r="41" spans="1:26" x14ac:dyDescent="0.2">
      <c r="A41" s="3"/>
      <c r="D41" s="243"/>
      <c r="E41" s="1127"/>
      <c r="F41" s="1127"/>
      <c r="G41" s="243"/>
      <c r="H41" s="243"/>
      <c r="I41" s="248"/>
      <c r="J41" s="162"/>
      <c r="K41" s="248"/>
      <c r="L41" s="162"/>
      <c r="M41" s="248"/>
      <c r="N41" s="166"/>
      <c r="O41" s="248"/>
      <c r="P41" s="166"/>
      <c r="Q41" s="248"/>
      <c r="R41" s="166"/>
      <c r="S41" s="248"/>
      <c r="T41" s="162"/>
      <c r="U41" s="181"/>
      <c r="V41" s="162"/>
      <c r="W41" s="181"/>
      <c r="X41" s="162"/>
      <c r="Y41" s="5"/>
    </row>
    <row r="42" spans="1:26" x14ac:dyDescent="0.2">
      <c r="A42" s="3"/>
      <c r="B42" s="175" t="s">
        <v>129</v>
      </c>
      <c r="C42" s="176" t="s">
        <v>130</v>
      </c>
      <c r="D42" s="335">
        <f>SUM(D43:D49)</f>
        <v>0</v>
      </c>
      <c r="E42" s="159" t="e">
        <f>SUM(E43:E49)</f>
        <v>#DIV/0!</v>
      </c>
      <c r="F42" s="159"/>
      <c r="G42" s="1858">
        <f>IFERROR(D42/'Allgemeine Angaben'!$L$47*('Allgemeine Angaben'!$L$47-'Allgemeine Angaben'!$L$48),0)</f>
        <v>0</v>
      </c>
      <c r="H42" s="1833">
        <f>IFERROR(D42/'Allgemeine Angaben'!$L$47*'Allgemeine Angaben'!$L$48,0)</f>
        <v>0</v>
      </c>
      <c r="I42" s="245" t="e">
        <f t="shared" ref="I42:T42" si="13">SUM(I43:I49)</f>
        <v>#DIV/0!</v>
      </c>
      <c r="J42" s="160" t="e">
        <f t="shared" si="13"/>
        <v>#DIV/0!</v>
      </c>
      <c r="K42" s="252" t="e">
        <f t="shared" si="13"/>
        <v>#DIV/0!</v>
      </c>
      <c r="L42" s="160" t="e">
        <f t="shared" si="13"/>
        <v>#DIV/0!</v>
      </c>
      <c r="M42" s="245" t="e">
        <f t="shared" si="13"/>
        <v>#DIV/0!</v>
      </c>
      <c r="N42" s="160" t="e">
        <f t="shared" si="13"/>
        <v>#DIV/0!</v>
      </c>
      <c r="O42" s="245" t="e">
        <f t="shared" si="13"/>
        <v>#DIV/0!</v>
      </c>
      <c r="P42" s="160" t="e">
        <f t="shared" si="13"/>
        <v>#DIV/0!</v>
      </c>
      <c r="Q42" s="245" t="e">
        <f t="shared" si="13"/>
        <v>#DIV/0!</v>
      </c>
      <c r="R42" s="160" t="e">
        <f t="shared" si="13"/>
        <v>#DIV/0!</v>
      </c>
      <c r="S42" s="255">
        <f t="shared" si="13"/>
        <v>0</v>
      </c>
      <c r="T42" s="161" t="e">
        <f t="shared" si="13"/>
        <v>#DIV/0!</v>
      </c>
      <c r="U42" s="181"/>
      <c r="V42" s="162"/>
      <c r="W42" s="181"/>
      <c r="X42" s="162"/>
      <c r="Y42" s="5"/>
    </row>
    <row r="43" spans="1:26" x14ac:dyDescent="0.2">
      <c r="A43" s="3"/>
      <c r="B43" s="177" t="str">
        <f>Sachaufwendungen!B43</f>
        <v>3.1</v>
      </c>
      <c r="C43" s="178" t="str">
        <f>Sachaufwendungen!C43</f>
        <v>Küche (ohne Pkt. 2.1)</v>
      </c>
      <c r="D43" s="336">
        <f>Sachaufwendungen!L43</f>
        <v>0</v>
      </c>
      <c r="E43" s="159" t="e">
        <f t="shared" ref="E43:E49" si="14">I43+K43+M43+O43+Q43+S43</f>
        <v>#DIV/0!</v>
      </c>
      <c r="F43" s="159">
        <v>0.5</v>
      </c>
      <c r="G43" s="1859">
        <f>IFERROR(D43/'Allgemeine Angaben'!$L$47*('Allgemeine Angaben'!$L$47-'Allgemeine Angaben'!$L$48),0)</f>
        <v>0</v>
      </c>
      <c r="H43" s="1834">
        <f>IFERROR(D43/'Allgemeine Angaben'!$L$47*'Allgemeine Angaben'!$L$48,0)</f>
        <v>0</v>
      </c>
      <c r="I43" s="247" t="e">
        <f t="shared" ref="I43:I49" si="15">D43*F43/divisor*$J$11</f>
        <v>#DIV/0!</v>
      </c>
      <c r="J43" s="163" t="e">
        <f t="shared" ref="J43:J49" si="16">I43/$J$11</f>
        <v>#DIV/0!</v>
      </c>
      <c r="K43" s="168" t="e">
        <f t="shared" ref="K43:K49" si="17">D43*F43/divisor*$L$11</f>
        <v>#DIV/0!</v>
      </c>
      <c r="L43" s="163" t="e">
        <f t="shared" ref="L43:L49" si="18">K43/$L$11</f>
        <v>#DIV/0!</v>
      </c>
      <c r="M43" s="247" t="e">
        <f t="shared" ref="M43:M49" si="19">D43*F43/divisor*$N$11</f>
        <v>#DIV/0!</v>
      </c>
      <c r="N43" s="163" t="e">
        <f t="shared" ref="N43:N49" si="20">M43/$N$11</f>
        <v>#DIV/0!</v>
      </c>
      <c r="O43" s="247" t="e">
        <f t="shared" ref="O43:O49" si="21">D43*F43/divisor*$P$11</f>
        <v>#DIV/0!</v>
      </c>
      <c r="P43" s="163" t="e">
        <f t="shared" ref="P43:P49" si="22">O43/$P$11</f>
        <v>#DIV/0!</v>
      </c>
      <c r="Q43" s="247" t="e">
        <f t="shared" ref="Q43:Q49" si="23">D43*F43/divisor*$R$11</f>
        <v>#DIV/0!</v>
      </c>
      <c r="R43" s="163" t="e">
        <f t="shared" ref="R43:R49" si="24">Q43/$R$11</f>
        <v>#DIV/0!</v>
      </c>
      <c r="S43" s="247">
        <f t="shared" ref="S43:S49" si="25">D43*F43</f>
        <v>0</v>
      </c>
      <c r="T43" s="163" t="e">
        <f t="shared" ref="T43:T49" si="26">S43/divisor</f>
        <v>#DIV/0!</v>
      </c>
      <c r="U43" s="262"/>
      <c r="V43" s="235"/>
      <c r="W43" s="269"/>
      <c r="X43" s="235"/>
      <c r="Y43" s="5"/>
      <c r="Z43" s="1126"/>
    </row>
    <row r="44" spans="1:26" x14ac:dyDescent="0.2">
      <c r="A44" s="3"/>
      <c r="B44" s="177" t="str">
        <f>Sachaufwendungen!B44</f>
        <v>3.2</v>
      </c>
      <c r="C44" s="178" t="str">
        <f>Sachaufwendungen!C44</f>
        <v>Wäscherei</v>
      </c>
      <c r="D44" s="336">
        <f>Sachaufwendungen!L44</f>
        <v>0</v>
      </c>
      <c r="E44" s="159" t="e">
        <f t="shared" si="14"/>
        <v>#DIV/0!</v>
      </c>
      <c r="F44" s="159">
        <v>0.5</v>
      </c>
      <c r="G44" s="1859">
        <f>IFERROR(D44/'Allgemeine Angaben'!$L$47*('Allgemeine Angaben'!$L$47-'Allgemeine Angaben'!$L$48),0)</f>
        <v>0</v>
      </c>
      <c r="H44" s="1834">
        <f>IFERROR(D44/'Allgemeine Angaben'!$L$47*'Allgemeine Angaben'!$L$48,0)</f>
        <v>0</v>
      </c>
      <c r="I44" s="247" t="e">
        <f>D44*F44/divisor*$J$11</f>
        <v>#DIV/0!</v>
      </c>
      <c r="J44" s="163" t="e">
        <f t="shared" si="16"/>
        <v>#DIV/0!</v>
      </c>
      <c r="K44" s="168" t="e">
        <f>D44*F44/divisor*$L$11</f>
        <v>#DIV/0!</v>
      </c>
      <c r="L44" s="163" t="e">
        <f t="shared" si="18"/>
        <v>#DIV/0!</v>
      </c>
      <c r="M44" s="247" t="e">
        <f t="shared" si="19"/>
        <v>#DIV/0!</v>
      </c>
      <c r="N44" s="163" t="e">
        <f t="shared" si="20"/>
        <v>#DIV/0!</v>
      </c>
      <c r="O44" s="247" t="e">
        <f t="shared" si="21"/>
        <v>#DIV/0!</v>
      </c>
      <c r="P44" s="163" t="e">
        <f t="shared" si="22"/>
        <v>#DIV/0!</v>
      </c>
      <c r="Q44" s="247" t="e">
        <f t="shared" si="23"/>
        <v>#DIV/0!</v>
      </c>
      <c r="R44" s="163" t="e">
        <f t="shared" si="24"/>
        <v>#DIV/0!</v>
      </c>
      <c r="S44" s="247">
        <f t="shared" si="25"/>
        <v>0</v>
      </c>
      <c r="T44" s="163" t="e">
        <f t="shared" si="26"/>
        <v>#DIV/0!</v>
      </c>
      <c r="U44" s="263"/>
      <c r="V44" s="235"/>
      <c r="W44" s="269"/>
      <c r="X44" s="235"/>
      <c r="Y44" s="179"/>
    </row>
    <row r="45" spans="1:26" x14ac:dyDescent="0.2">
      <c r="A45" s="3"/>
      <c r="B45" s="177" t="str">
        <f>Sachaufwendungen!B45</f>
        <v>3.3</v>
      </c>
      <c r="C45" s="178" t="str">
        <f>Sachaufwendungen!C45</f>
        <v>Wäschekennzeichnung</v>
      </c>
      <c r="D45" s="336">
        <f>Sachaufwendungen!L45</f>
        <v>0</v>
      </c>
      <c r="E45" s="159" t="e">
        <f t="shared" si="14"/>
        <v>#DIV/0!</v>
      </c>
      <c r="F45" s="159">
        <v>0.5</v>
      </c>
      <c r="G45" s="1859">
        <f>IFERROR(D45/'Allgemeine Angaben'!$L$47*('Allgemeine Angaben'!$L$47-'Allgemeine Angaben'!$L$48),0)</f>
        <v>0</v>
      </c>
      <c r="H45" s="1834">
        <f>IFERROR(D45/'Allgemeine Angaben'!$L$47*'Allgemeine Angaben'!$L$48,0)</f>
        <v>0</v>
      </c>
      <c r="I45" s="247" t="e">
        <f t="shared" si="15"/>
        <v>#DIV/0!</v>
      </c>
      <c r="J45" s="163" t="e">
        <f t="shared" si="16"/>
        <v>#DIV/0!</v>
      </c>
      <c r="K45" s="168" t="e">
        <f>D45*F45/divisor*$L$11</f>
        <v>#DIV/0!</v>
      </c>
      <c r="L45" s="163" t="e">
        <f t="shared" si="18"/>
        <v>#DIV/0!</v>
      </c>
      <c r="M45" s="247" t="e">
        <f t="shared" si="19"/>
        <v>#DIV/0!</v>
      </c>
      <c r="N45" s="163" t="e">
        <f t="shared" si="20"/>
        <v>#DIV/0!</v>
      </c>
      <c r="O45" s="247" t="e">
        <f t="shared" si="21"/>
        <v>#DIV/0!</v>
      </c>
      <c r="P45" s="163" t="e">
        <f t="shared" si="22"/>
        <v>#DIV/0!</v>
      </c>
      <c r="Q45" s="247" t="e">
        <f t="shared" si="23"/>
        <v>#DIV/0!</v>
      </c>
      <c r="R45" s="163" t="e">
        <f t="shared" si="24"/>
        <v>#DIV/0!</v>
      </c>
      <c r="S45" s="247">
        <f t="shared" si="25"/>
        <v>0</v>
      </c>
      <c r="T45" s="163" t="e">
        <f t="shared" si="26"/>
        <v>#DIV/0!</v>
      </c>
      <c r="U45" s="263"/>
      <c r="V45" s="235"/>
      <c r="W45" s="269"/>
      <c r="X45" s="235"/>
      <c r="Y45" s="5"/>
    </row>
    <row r="46" spans="1:26" x14ac:dyDescent="0.2">
      <c r="A46" s="3"/>
      <c r="B46" s="177" t="str">
        <f>Sachaufwendungen!B46</f>
        <v>3.4</v>
      </c>
      <c r="C46" s="178" t="str">
        <f>Sachaufwendungen!C46</f>
        <v>Reinigung</v>
      </c>
      <c r="D46" s="336">
        <f>Sachaufwendungen!L46</f>
        <v>0</v>
      </c>
      <c r="E46" s="159" t="e">
        <f t="shared" si="14"/>
        <v>#DIV/0!</v>
      </c>
      <c r="F46" s="159">
        <v>0.5</v>
      </c>
      <c r="G46" s="1859">
        <f>IFERROR(D46/'Allgemeine Angaben'!$L$47*('Allgemeine Angaben'!$L$47-'Allgemeine Angaben'!$L$48),0)</f>
        <v>0</v>
      </c>
      <c r="H46" s="1834">
        <f>IFERROR(D46/'Allgemeine Angaben'!$L$47*'Allgemeine Angaben'!$L$48,0)</f>
        <v>0</v>
      </c>
      <c r="I46" s="247" t="e">
        <f t="shared" si="15"/>
        <v>#DIV/0!</v>
      </c>
      <c r="J46" s="163" t="e">
        <f t="shared" si="16"/>
        <v>#DIV/0!</v>
      </c>
      <c r="K46" s="168" t="e">
        <f t="shared" si="17"/>
        <v>#DIV/0!</v>
      </c>
      <c r="L46" s="163" t="e">
        <f t="shared" si="18"/>
        <v>#DIV/0!</v>
      </c>
      <c r="M46" s="247" t="e">
        <f t="shared" si="19"/>
        <v>#DIV/0!</v>
      </c>
      <c r="N46" s="163" t="e">
        <f t="shared" si="20"/>
        <v>#DIV/0!</v>
      </c>
      <c r="O46" s="247" t="e">
        <f t="shared" si="21"/>
        <v>#DIV/0!</v>
      </c>
      <c r="P46" s="163" t="e">
        <f t="shared" si="22"/>
        <v>#DIV/0!</v>
      </c>
      <c r="Q46" s="247" t="e">
        <f t="shared" si="23"/>
        <v>#DIV/0!</v>
      </c>
      <c r="R46" s="163" t="e">
        <f t="shared" si="24"/>
        <v>#DIV/0!</v>
      </c>
      <c r="S46" s="247">
        <f t="shared" si="25"/>
        <v>0</v>
      </c>
      <c r="T46" s="163" t="e">
        <f t="shared" si="26"/>
        <v>#DIV/0!</v>
      </c>
      <c r="U46" s="264"/>
      <c r="V46" s="236"/>
      <c r="W46" s="270"/>
      <c r="X46" s="236"/>
      <c r="Y46" s="5"/>
    </row>
    <row r="47" spans="1:26" x14ac:dyDescent="0.2">
      <c r="A47" s="3"/>
      <c r="B47" s="177" t="str">
        <f>Sachaufwendungen!B47</f>
        <v>3.5</v>
      </c>
      <c r="C47" s="178" t="str">
        <f>IF(Sachaufwendungen!C47&gt;0,Sachaufwendungen!C47,"")</f>
        <v>Haustechnik</v>
      </c>
      <c r="D47" s="336">
        <f>Sachaufwendungen!L47</f>
        <v>0</v>
      </c>
      <c r="E47" s="159" t="e">
        <f t="shared" si="14"/>
        <v>#DIV/0!</v>
      </c>
      <c r="F47" s="159">
        <v>0.5</v>
      </c>
      <c r="G47" s="1859">
        <f>IFERROR(D47/'Allgemeine Angaben'!$L$47*('Allgemeine Angaben'!$L$47-'Allgemeine Angaben'!$L$48),0)</f>
        <v>0</v>
      </c>
      <c r="H47" s="1834">
        <f>IFERROR(D47/'Allgemeine Angaben'!$L$47*'Allgemeine Angaben'!$L$48,0)</f>
        <v>0</v>
      </c>
      <c r="I47" s="247" t="e">
        <f t="shared" si="15"/>
        <v>#DIV/0!</v>
      </c>
      <c r="J47" s="163" t="e">
        <f t="shared" si="16"/>
        <v>#DIV/0!</v>
      </c>
      <c r="K47" s="168" t="e">
        <f t="shared" si="17"/>
        <v>#DIV/0!</v>
      </c>
      <c r="L47" s="163" t="e">
        <f t="shared" si="18"/>
        <v>#DIV/0!</v>
      </c>
      <c r="M47" s="247" t="e">
        <f t="shared" si="19"/>
        <v>#DIV/0!</v>
      </c>
      <c r="N47" s="163" t="e">
        <f t="shared" si="20"/>
        <v>#DIV/0!</v>
      </c>
      <c r="O47" s="247" t="e">
        <f t="shared" si="21"/>
        <v>#DIV/0!</v>
      </c>
      <c r="P47" s="163" t="e">
        <f t="shared" si="22"/>
        <v>#DIV/0!</v>
      </c>
      <c r="Q47" s="247" t="e">
        <f t="shared" si="23"/>
        <v>#DIV/0!</v>
      </c>
      <c r="R47" s="163" t="e">
        <f t="shared" si="24"/>
        <v>#DIV/0!</v>
      </c>
      <c r="S47" s="247">
        <f t="shared" si="25"/>
        <v>0</v>
      </c>
      <c r="T47" s="163" t="e">
        <f t="shared" si="26"/>
        <v>#DIV/0!</v>
      </c>
      <c r="U47" s="181"/>
      <c r="V47" s="162"/>
      <c r="W47" s="181"/>
      <c r="X47" s="162"/>
      <c r="Y47" s="5"/>
    </row>
    <row r="48" spans="1:26" x14ac:dyDescent="0.2">
      <c r="A48" s="3"/>
      <c r="B48" s="177" t="str">
        <f>Sachaufwendungen!B48</f>
        <v>3.6</v>
      </c>
      <c r="C48" s="178" t="str">
        <f>IF(Sachaufwendungen!C48&gt;0,Sachaufwendungen!C48,"")</f>
        <v/>
      </c>
      <c r="D48" s="336">
        <f>Sachaufwendungen!L48</f>
        <v>0</v>
      </c>
      <c r="E48" s="159" t="e">
        <f t="shared" si="14"/>
        <v>#DIV/0!</v>
      </c>
      <c r="F48" s="159">
        <v>0.5</v>
      </c>
      <c r="G48" s="1859">
        <f>IFERROR(D48/'Allgemeine Angaben'!$L$47*('Allgemeine Angaben'!$L$47-'Allgemeine Angaben'!$L$48),0)</f>
        <v>0</v>
      </c>
      <c r="H48" s="1834">
        <f>IFERROR(D48/'Allgemeine Angaben'!$L$47*'Allgemeine Angaben'!$L$48,0)</f>
        <v>0</v>
      </c>
      <c r="I48" s="247" t="e">
        <f t="shared" si="15"/>
        <v>#DIV/0!</v>
      </c>
      <c r="J48" s="163" t="e">
        <f t="shared" si="16"/>
        <v>#DIV/0!</v>
      </c>
      <c r="K48" s="168" t="e">
        <f t="shared" si="17"/>
        <v>#DIV/0!</v>
      </c>
      <c r="L48" s="163" t="e">
        <f t="shared" si="18"/>
        <v>#DIV/0!</v>
      </c>
      <c r="M48" s="247" t="e">
        <f t="shared" si="19"/>
        <v>#DIV/0!</v>
      </c>
      <c r="N48" s="163" t="e">
        <f t="shared" si="20"/>
        <v>#DIV/0!</v>
      </c>
      <c r="O48" s="247" t="e">
        <f t="shared" si="21"/>
        <v>#DIV/0!</v>
      </c>
      <c r="P48" s="163" t="e">
        <f t="shared" si="22"/>
        <v>#DIV/0!</v>
      </c>
      <c r="Q48" s="247" t="e">
        <f t="shared" si="23"/>
        <v>#DIV/0!</v>
      </c>
      <c r="R48" s="163" t="e">
        <f t="shared" si="24"/>
        <v>#DIV/0!</v>
      </c>
      <c r="S48" s="247">
        <f t="shared" si="25"/>
        <v>0</v>
      </c>
      <c r="T48" s="163" t="e">
        <f>S48/divisor</f>
        <v>#DIV/0!</v>
      </c>
      <c r="U48" s="181"/>
      <c r="V48" s="162"/>
      <c r="W48" s="181"/>
      <c r="X48" s="162"/>
      <c r="Y48" s="5"/>
    </row>
    <row r="49" spans="1:34" x14ac:dyDescent="0.2">
      <c r="A49" s="3"/>
      <c r="B49" s="177" t="str">
        <f>Sachaufwendungen!B49</f>
        <v>3.7</v>
      </c>
      <c r="C49" s="178" t="str">
        <f>IF(Sachaufwendungen!C49&gt;0,Sachaufwendungen!C49,"")</f>
        <v/>
      </c>
      <c r="D49" s="336">
        <f>Sachaufwendungen!L49</f>
        <v>0</v>
      </c>
      <c r="E49" s="159" t="e">
        <f t="shared" si="14"/>
        <v>#DIV/0!</v>
      </c>
      <c r="F49" s="159">
        <v>0.5</v>
      </c>
      <c r="G49" s="1859">
        <f>IFERROR(D49/'Allgemeine Angaben'!$L$47*('Allgemeine Angaben'!$L$47-'Allgemeine Angaben'!$L$48),0)</f>
        <v>0</v>
      </c>
      <c r="H49" s="1834">
        <f>IFERROR(D49/'Allgemeine Angaben'!$L$47*'Allgemeine Angaben'!$L$48,0)</f>
        <v>0</v>
      </c>
      <c r="I49" s="247" t="e">
        <f t="shared" si="15"/>
        <v>#DIV/0!</v>
      </c>
      <c r="J49" s="163" t="e">
        <f t="shared" si="16"/>
        <v>#DIV/0!</v>
      </c>
      <c r="K49" s="168" t="e">
        <f t="shared" si="17"/>
        <v>#DIV/0!</v>
      </c>
      <c r="L49" s="163" t="e">
        <f t="shared" si="18"/>
        <v>#DIV/0!</v>
      </c>
      <c r="M49" s="247" t="e">
        <f t="shared" si="19"/>
        <v>#DIV/0!</v>
      </c>
      <c r="N49" s="163" t="e">
        <f t="shared" si="20"/>
        <v>#DIV/0!</v>
      </c>
      <c r="O49" s="247" t="e">
        <f t="shared" si="21"/>
        <v>#DIV/0!</v>
      </c>
      <c r="P49" s="163" t="e">
        <f t="shared" si="22"/>
        <v>#DIV/0!</v>
      </c>
      <c r="Q49" s="247" t="e">
        <f t="shared" si="23"/>
        <v>#DIV/0!</v>
      </c>
      <c r="R49" s="163" t="e">
        <f t="shared" si="24"/>
        <v>#DIV/0!</v>
      </c>
      <c r="S49" s="247">
        <f t="shared" si="25"/>
        <v>0</v>
      </c>
      <c r="T49" s="163" t="e">
        <f t="shared" si="26"/>
        <v>#DIV/0!</v>
      </c>
      <c r="U49" s="181"/>
      <c r="V49" s="162"/>
      <c r="W49" s="181"/>
      <c r="X49" s="162"/>
      <c r="Y49" s="5"/>
    </row>
    <row r="50" spans="1:34" x14ac:dyDescent="0.2">
      <c r="A50" s="3"/>
      <c r="D50" s="180"/>
      <c r="E50" s="181"/>
      <c r="F50" s="181"/>
      <c r="I50" s="250"/>
      <c r="J50" s="183"/>
      <c r="K50" s="253"/>
      <c r="L50" s="183"/>
      <c r="M50" s="256"/>
      <c r="N50" s="182"/>
      <c r="O50" s="250"/>
      <c r="P50" s="182"/>
      <c r="Q50" s="250"/>
      <c r="R50" s="182"/>
      <c r="S50" s="248"/>
      <c r="T50" s="162"/>
      <c r="U50" s="181"/>
      <c r="V50" s="162"/>
      <c r="W50" s="181"/>
      <c r="X50" s="162"/>
      <c r="Y50" s="5"/>
    </row>
    <row r="51" spans="1:34" x14ac:dyDescent="0.2">
      <c r="A51" s="3"/>
      <c r="B51" s="2167" t="s">
        <v>1105</v>
      </c>
      <c r="C51" s="2168" t="s">
        <v>1098</v>
      </c>
      <c r="D51" s="336">
        <f>Sachaufwendungen!L74</f>
        <v>0</v>
      </c>
      <c r="E51" s="1117" t="e">
        <f>I51+K51+M51+O51+Q51+S51</f>
        <v>#DIV/0!</v>
      </c>
      <c r="F51" s="159">
        <v>0.5</v>
      </c>
      <c r="G51" s="1859">
        <f>IFERROR(D51/'Allgemeine Angaben'!$L$47*('Allgemeine Angaben'!$L$47-'Allgemeine Angaben'!$L$48),0)</f>
        <v>0</v>
      </c>
      <c r="H51" s="1834">
        <f>IFERROR(D51/'Allgemeine Angaben'!$L$47*'Allgemeine Angaben'!$L$48,0)</f>
        <v>0</v>
      </c>
      <c r="I51" s="247" t="e">
        <f t="shared" ref="I51" si="27">D51*F51/divisor*$J$11</f>
        <v>#DIV/0!</v>
      </c>
      <c r="J51" s="163" t="e">
        <f t="shared" ref="J51" si="28">I51/$J$11</f>
        <v>#DIV/0!</v>
      </c>
      <c r="K51" s="168" t="e">
        <f t="shared" ref="K51" si="29">D51*F51/divisor*$L$11</f>
        <v>#DIV/0!</v>
      </c>
      <c r="L51" s="163" t="e">
        <f>K51/$L$11</f>
        <v>#DIV/0!</v>
      </c>
      <c r="M51" s="247" t="e">
        <f t="shared" ref="M51" si="30">D51*F51/divisor*$N$11</f>
        <v>#DIV/0!</v>
      </c>
      <c r="N51" s="163" t="e">
        <f t="shared" ref="N51" si="31">M51/$N$11</f>
        <v>#DIV/0!</v>
      </c>
      <c r="O51" s="247" t="e">
        <f t="shared" ref="O51" si="32">D51*F51/divisor*$P$11</f>
        <v>#DIV/0!</v>
      </c>
      <c r="P51" s="163" t="e">
        <f t="shared" ref="P51" si="33">O51/$P$11</f>
        <v>#DIV/0!</v>
      </c>
      <c r="Q51" s="247" t="e">
        <f t="shared" ref="Q51" si="34">D51*F51/divisor*$R$11</f>
        <v>#DIV/0!</v>
      </c>
      <c r="R51" s="163" t="e">
        <f t="shared" ref="R51" si="35">Q51/$R$11</f>
        <v>#DIV/0!</v>
      </c>
      <c r="S51" s="247">
        <f t="shared" ref="S51" si="36">D51*F51</f>
        <v>0</v>
      </c>
      <c r="T51" s="163" t="e">
        <f t="shared" ref="T51" si="37">S51/divisor</f>
        <v>#DIV/0!</v>
      </c>
      <c r="U51" s="181"/>
      <c r="V51" s="162"/>
      <c r="W51" s="181"/>
      <c r="X51" s="162"/>
      <c r="Y51" s="5"/>
    </row>
    <row r="52" spans="1:34" x14ac:dyDescent="0.2">
      <c r="A52" s="3"/>
      <c r="D52" s="180"/>
      <c r="E52" s="181"/>
      <c r="F52" s="181"/>
      <c r="I52" s="250"/>
      <c r="J52" s="183"/>
      <c r="K52" s="253"/>
      <c r="L52" s="183"/>
      <c r="M52" s="256"/>
      <c r="N52" s="182"/>
      <c r="O52" s="250"/>
      <c r="P52" s="182"/>
      <c r="Q52" s="250"/>
      <c r="R52" s="182"/>
      <c r="S52" s="248"/>
      <c r="T52" s="162"/>
      <c r="U52" s="181"/>
      <c r="V52" s="162"/>
      <c r="W52" s="181"/>
      <c r="X52" s="162"/>
      <c r="Y52" s="5"/>
    </row>
    <row r="53" spans="1:34" x14ac:dyDescent="0.2">
      <c r="A53" s="3"/>
      <c r="B53" s="184"/>
      <c r="C53" s="155" t="str">
        <f>IF('Allgemeine Angaben'!D7&lt;&gt;"vst","errechnete Aufwendungen:","errechnete Aufwendungen nach Pflegegrad 2 bis 5:")</f>
        <v>errechnete Aufwendungen:</v>
      </c>
      <c r="D53" s="336">
        <f>K53+M53+O53+Q53</f>
        <v>0</v>
      </c>
      <c r="E53" s="1117" t="e">
        <f>D42+D32+D16+D51-S16-S32-S42-U32-I53-D25-S51</f>
        <v>#VALUE!</v>
      </c>
      <c r="F53" s="159"/>
      <c r="G53" s="1812"/>
      <c r="H53" s="1813"/>
      <c r="I53" s="1811" t="e">
        <f>J53*J11</f>
        <v>#VALUE!</v>
      </c>
      <c r="J53" s="333" t="e">
        <f>IF('Belegung_wö. Arbeitszeit'!E33=0,ROUND('Gesamtkalkulation '!L58*0.757,2),ROUND(('Gesamtkalkulation '!J16+'Gesamtkalkulation '!J32+'Gesamtkalkulation '!J42+J51),2))</f>
        <v>#VALUE!</v>
      </c>
      <c r="K53" s="254">
        <f>IFERROR(L53*L11,0)</f>
        <v>0</v>
      </c>
      <c r="L53" s="185" t="str">
        <f>IF(ISERROR(L42+L32+L16+L51),"",(L42+L32+L16+L51))</f>
        <v/>
      </c>
      <c r="M53" s="254">
        <f>IFERROR(N53*N11,0)</f>
        <v>0</v>
      </c>
      <c r="N53" s="185" t="str">
        <f>IF(ISERROR(N42+N32+N16+N51),"",(N42+N32+N16+N51))</f>
        <v/>
      </c>
      <c r="O53" s="254">
        <f>IFERROR(P53*P11,0)</f>
        <v>0</v>
      </c>
      <c r="P53" s="185" t="str">
        <f>IF(ISERROR(P42+P32+P16+P51),"",(P42+P32+P16+P51))</f>
        <v/>
      </c>
      <c r="Q53" s="254">
        <f>IFERROR(R53*R11,0)</f>
        <v>0</v>
      </c>
      <c r="R53" s="185" t="str">
        <f>IF(ISERROR(R42+R32+R16+R51),"",(R42+R32+R16+R51))</f>
        <v/>
      </c>
      <c r="S53" s="259"/>
      <c r="T53" s="162"/>
      <c r="U53" s="265"/>
      <c r="V53" s="162"/>
      <c r="W53" s="181"/>
      <c r="X53" s="162"/>
      <c r="Y53" s="5"/>
    </row>
    <row r="54" spans="1:34" x14ac:dyDescent="0.2">
      <c r="A54" s="3"/>
      <c r="B54" s="184"/>
      <c r="C54" s="155" t="s">
        <v>131</v>
      </c>
      <c r="D54" s="336" t="str">
        <f>IF('Allgemeine Angaben'!D7="vst",(((L12*L10)+(N12*N10)+(P12*P10)+(R12*R10))*12)*$N$6/100,"")</f>
        <v/>
      </c>
      <c r="E54" s="159" t="str">
        <f>IF('Allgemeine Angaben'!D7="vst",K54+M54+O54+Q54,"")</f>
        <v/>
      </c>
      <c r="F54" s="159"/>
      <c r="G54" s="1814"/>
      <c r="H54" s="1815"/>
      <c r="I54" s="168"/>
      <c r="J54" s="163"/>
      <c r="K54" s="254" t="str">
        <f>IF('Allgemeine Angaben'!D7="vst",L12/($R$6)*L11,"")</f>
        <v/>
      </c>
      <c r="L54" s="185" t="str">
        <f>IF('Allgemeine Angaben'!D7="vst",K54/L11,"")</f>
        <v/>
      </c>
      <c r="M54" s="254" t="str">
        <f>IF('Allgemeine Angaben'!D7="vst",N12/($R$6)*N11,"")</f>
        <v/>
      </c>
      <c r="N54" s="185" t="str">
        <f>IF('Allgemeine Angaben'!D7="vst",M54/N11,"")</f>
        <v/>
      </c>
      <c r="O54" s="254" t="str">
        <f>IF('Allgemeine Angaben'!D7="vst",P12/($R$6)*P11,"")</f>
        <v/>
      </c>
      <c r="P54" s="185" t="str">
        <f>IF('Allgemeine Angaben'!D7="vst",O54/P11,"")</f>
        <v/>
      </c>
      <c r="Q54" s="254" t="str">
        <f>IF('Allgemeine Angaben'!D7="vst",R12/($R$6)*R11,"")</f>
        <v/>
      </c>
      <c r="R54" s="185" t="str">
        <f>IF('Allgemeine Angaben'!D7="vst",Q54/R11,"")</f>
        <v/>
      </c>
      <c r="S54" s="259"/>
      <c r="T54" s="162"/>
      <c r="U54" s="265"/>
      <c r="V54" s="186"/>
      <c r="W54" s="271"/>
      <c r="X54" s="186"/>
      <c r="Y54" s="5"/>
    </row>
    <row r="55" spans="1:34" x14ac:dyDescent="0.2">
      <c r="A55" s="3"/>
      <c r="B55" s="184"/>
      <c r="C55" s="155" t="s">
        <v>132</v>
      </c>
      <c r="D55" s="336" t="str">
        <f>IF('Allgemeine Angaben'!D7="vst",D53-D54,"")</f>
        <v/>
      </c>
      <c r="E55" s="159" t="str">
        <f>IF('Allgemeine Angaben'!D7="vst",K55+M55+O55+Q55,"")</f>
        <v/>
      </c>
      <c r="F55" s="159"/>
      <c r="G55" s="1816"/>
      <c r="H55" s="1817"/>
      <c r="I55" s="168"/>
      <c r="J55" s="163"/>
      <c r="K55" s="254" t="str">
        <f>IF('Allgemeine Angaben'!D7="vst",(K53-K54),"")</f>
        <v/>
      </c>
      <c r="L55" s="185" t="str">
        <f>IF('Allgemeine Angaben'!$D$7="vst",ROUND($D$55/eeadivisor,2),"")</f>
        <v/>
      </c>
      <c r="M55" s="254" t="str">
        <f>IF('Allgemeine Angaben'!D7="vst",(M53-M54),"")</f>
        <v/>
      </c>
      <c r="N55" s="185" t="str">
        <f>IF('Allgemeine Angaben'!$D$7="vst",ROUND($D$55/eeadivisor,2),"")</f>
        <v/>
      </c>
      <c r="O55" s="254" t="str">
        <f>IF('Allgemeine Angaben'!D7="vst",(O53-O54),"")</f>
        <v/>
      </c>
      <c r="P55" s="185" t="str">
        <f>IF('Allgemeine Angaben'!$D$7="vst",ROUND($D$55/eeadivisor,2),"")</f>
        <v/>
      </c>
      <c r="Q55" s="254" t="str">
        <f>IF('Allgemeine Angaben'!D7="vst",(Q53-Q54),"")</f>
        <v/>
      </c>
      <c r="R55" s="185" t="str">
        <f>IF('Allgemeine Angaben'!$D$7="vst",ROUND($D$55/eeadivisor,2),"")</f>
        <v/>
      </c>
      <c r="S55" s="259"/>
      <c r="T55" s="192" t="s">
        <v>136</v>
      </c>
      <c r="U55" s="265"/>
      <c r="V55" s="186"/>
      <c r="W55" s="271"/>
      <c r="X55" s="186"/>
      <c r="Y55" s="5"/>
    </row>
    <row r="56" spans="1:34" x14ac:dyDescent="0.2">
      <c r="A56" s="3"/>
      <c r="I56" s="145"/>
      <c r="J56" s="187"/>
      <c r="K56" s="191"/>
      <c r="L56" s="188"/>
      <c r="M56" s="191"/>
      <c r="N56" s="188"/>
      <c r="O56" s="191"/>
      <c r="P56" s="188"/>
      <c r="Q56" s="191"/>
      <c r="R56" s="188"/>
      <c r="S56" s="191"/>
      <c r="U56" s="189"/>
      <c r="V56" s="187"/>
      <c r="W56" s="191"/>
      <c r="X56" s="64"/>
      <c r="Y56" s="5"/>
      <c r="Z56" s="627"/>
      <c r="AA56" s="627"/>
      <c r="AB56" s="627"/>
      <c r="AC56" s="633"/>
      <c r="AH56" s="10"/>
    </row>
    <row r="57" spans="1:34" ht="15" thickBot="1" x14ac:dyDescent="0.25">
      <c r="A57" s="3"/>
      <c r="I57" s="4"/>
      <c r="J57" s="233" t="s">
        <v>95</v>
      </c>
      <c r="K57" s="75"/>
      <c r="L57" s="233" t="s">
        <v>96</v>
      </c>
      <c r="M57" s="75"/>
      <c r="N57" s="233" t="s">
        <v>97</v>
      </c>
      <c r="O57" s="101"/>
      <c r="P57" s="233" t="s">
        <v>98</v>
      </c>
      <c r="Q57" s="101"/>
      <c r="R57" s="233" t="s">
        <v>99</v>
      </c>
      <c r="S57" s="75"/>
      <c r="T57" s="233" t="s">
        <v>134</v>
      </c>
      <c r="U57" s="101"/>
      <c r="V57" s="233" t="s">
        <v>135</v>
      </c>
      <c r="W57" s="101"/>
      <c r="X57" s="233" t="s">
        <v>612</v>
      </c>
      <c r="Y57" s="5"/>
      <c r="Z57" s="627"/>
      <c r="AA57" s="627"/>
      <c r="AB57" s="627"/>
      <c r="AC57" s="633"/>
      <c r="AH57" s="10"/>
    </row>
    <row r="58" spans="1:34" ht="15.75" customHeight="1" thickBot="1" x14ac:dyDescent="0.25">
      <c r="A58" s="3"/>
      <c r="D58" s="67" t="s">
        <v>133</v>
      </c>
      <c r="F58" s="17"/>
      <c r="I58" s="67" t="s">
        <v>95</v>
      </c>
      <c r="J58" s="190" t="str">
        <f>IF(ISERROR(J53),"",J53)</f>
        <v/>
      </c>
      <c r="K58" s="67" t="s">
        <v>96</v>
      </c>
      <c r="L58" s="350" t="e">
        <f>ROUND(L12/$R$6+L55,2)</f>
        <v>#VALUE!</v>
      </c>
      <c r="M58" s="67" t="s">
        <v>97</v>
      </c>
      <c r="N58" s="190" t="e">
        <f>ROUND(N12/$R$6+N55,2)</f>
        <v>#VALUE!</v>
      </c>
      <c r="O58" s="67" t="s">
        <v>98</v>
      </c>
      <c r="P58" s="190" t="e">
        <f>ROUND(P12/$R$6+P55,2)</f>
        <v>#VALUE!</v>
      </c>
      <c r="Q58" s="67" t="s">
        <v>99</v>
      </c>
      <c r="R58" s="190" t="e">
        <f>ROUND(R12/$R$6+R55,2)</f>
        <v>#VALUE!</v>
      </c>
      <c r="S58" s="67" t="s">
        <v>134</v>
      </c>
      <c r="T58" s="190" t="e">
        <f>IF(ROUND(T42+T32+T16+T51,2)=0,"",ROUND(T42+T32+T16+T51,2))</f>
        <v>#DIV/0!</v>
      </c>
      <c r="U58" s="266" t="s">
        <v>135</v>
      </c>
      <c r="V58" s="190" t="e">
        <f>IF(V32=0,"",ROUND(V32,2))</f>
        <v>#DIV/0!</v>
      </c>
      <c r="W58" s="390" t="s">
        <v>179</v>
      </c>
      <c r="X58" s="190" t="e">
        <f>ROUND(X25-0.03,2)</f>
        <v>#VALUE!</v>
      </c>
      <c r="Y58" s="5"/>
      <c r="Z58" s="627"/>
      <c r="AA58" s="627"/>
      <c r="AB58" s="627"/>
      <c r="AC58" s="633"/>
    </row>
    <row r="59" spans="1:34" ht="18.75" customHeight="1" thickBot="1" x14ac:dyDescent="0.25">
      <c r="A59" s="3"/>
      <c r="I59" s="4"/>
      <c r="M59" s="10"/>
      <c r="Q59" s="4"/>
      <c r="S59" s="10"/>
      <c r="Y59" s="5"/>
      <c r="Z59" s="627"/>
    </row>
    <row r="60" spans="1:34" ht="15" thickBot="1" x14ac:dyDescent="0.25">
      <c r="A60" s="3"/>
      <c r="C60" s="1806"/>
      <c r="D60" s="67" t="s">
        <v>596</v>
      </c>
      <c r="I60" s="4"/>
      <c r="J60" s="190" t="str">
        <f>IF(ISERROR(L55),"",L55)</f>
        <v/>
      </c>
      <c r="M60" s="10"/>
      <c r="Q60" s="4"/>
      <c r="S60" s="10"/>
      <c r="Y60" s="5"/>
      <c r="Z60" s="627"/>
    </row>
    <row r="61" spans="1:34" x14ac:dyDescent="0.2">
      <c r="A61" s="3"/>
      <c r="D61" s="67"/>
      <c r="E61" s="187"/>
      <c r="F61" s="187"/>
      <c r="I61" s="138"/>
      <c r="J61" s="187"/>
      <c r="K61" s="92"/>
      <c r="L61" s="92"/>
      <c r="M61" s="92"/>
      <c r="N61" s="92"/>
      <c r="O61" s="92"/>
      <c r="P61" s="187"/>
      <c r="Q61" s="187"/>
      <c r="R61" s="187"/>
      <c r="S61" s="187"/>
      <c r="T61" s="7" t="str">
        <f>IF('Allgemeine Angaben'!L48&gt;0,"Unterkunft:","")</f>
        <v/>
      </c>
      <c r="U61" s="7"/>
      <c r="V61" s="7" t="str">
        <f>IF('Allgemeine Angaben'!L48&gt;0,"Verpflegung:","")</f>
        <v/>
      </c>
      <c r="W61" s="92"/>
      <c r="X61" s="92" t="str">
        <f>IF('Allgemeine Angaben'!L48&gt;0,"§ 43 b SGB XI:","")</f>
        <v/>
      </c>
      <c r="Y61" s="5"/>
    </row>
    <row r="62" spans="1:34" ht="14.45" customHeight="1" x14ac:dyDescent="0.2">
      <c r="A62" s="3"/>
      <c r="C62" s="649" t="str">
        <f>IF('Allgemeine Angaben'!L48&gt;0,"errechnete Pflegesatz (Tag je Platz) für angebundene / integrierte KZP:","")</f>
        <v/>
      </c>
      <c r="D62" s="633"/>
      <c r="I62" s="67" t="str">
        <f>IF('Allgemeine Angaben'!$L$48&gt;0,"Pflegegrad 1 - 5:","")</f>
        <v/>
      </c>
      <c r="J62" s="391">
        <f>IFERROR(ROUND(IF('Allgemeine Angaben'!L48&gt;0,(D53+J53*J11)/D6*'Allgemeine Angaben'!L48/(365*0.8*'Allgemeine Angaben'!L48),""),2),0)</f>
        <v>0</v>
      </c>
      <c r="K62" s="852"/>
      <c r="L62" s="1184"/>
      <c r="M62" s="1125"/>
      <c r="N62" s="1124"/>
      <c r="O62" s="1125"/>
      <c r="P62" s="1124"/>
      <c r="Q62" s="1125"/>
      <c r="R62" s="1124"/>
      <c r="S62" s="67" t="str">
        <f>IF('Allgemeine Angaben'!$L$48&gt;0,'Gesamtkalkulation '!S58,"")</f>
        <v/>
      </c>
      <c r="T62" s="391">
        <f>IFERROR(ROUND(IF('Allgemeine Angaben'!$L$48&gt;0,'Gesamtkalkulation '!T58*0.96/0.8,""),2),0)</f>
        <v>0</v>
      </c>
      <c r="U62" s="67" t="str">
        <f>IF('Allgemeine Angaben'!$L$48&gt;0,'Gesamtkalkulation '!U58,"")</f>
        <v/>
      </c>
      <c r="V62" s="391">
        <f>IFERROR(ROUND(IF('Allgemeine Angaben'!$L$48&gt;0,'Gesamtkalkulation '!V58*0.96/0.8,""),2),0)</f>
        <v>0</v>
      </c>
      <c r="X62" s="391" t="str">
        <f>IFERROR(IF('Allgemeine Angaben'!$L$48&gt;0,'Gesamtkalkulation '!X58+0.03,""),0)</f>
        <v/>
      </c>
      <c r="Y62" s="5"/>
    </row>
    <row r="63" spans="1:34" x14ac:dyDescent="0.2">
      <c r="A63" s="51"/>
      <c r="B63" s="52"/>
      <c r="C63" s="82"/>
      <c r="D63" s="52"/>
      <c r="E63" s="52"/>
      <c r="F63" s="52"/>
      <c r="G63" s="52"/>
      <c r="H63" s="52"/>
      <c r="I63" s="394"/>
      <c r="J63" s="52"/>
      <c r="K63" s="394"/>
      <c r="L63" s="52"/>
      <c r="M63" s="394"/>
      <c r="N63" s="37"/>
      <c r="O63" s="394"/>
      <c r="P63" s="37"/>
      <c r="Q63" s="394"/>
      <c r="R63" s="37"/>
      <c r="S63" s="394"/>
      <c r="T63" s="52"/>
      <c r="U63" s="394"/>
      <c r="V63" s="52"/>
      <c r="W63" s="52"/>
      <c r="X63" s="52"/>
      <c r="Y63" s="559"/>
    </row>
    <row r="64" spans="1:34" ht="15" thickBot="1" x14ac:dyDescent="0.25">
      <c r="C64" s="6"/>
      <c r="H64" s="67"/>
      <c r="I64" s="4"/>
      <c r="J64" s="67"/>
      <c r="K64" s="4"/>
      <c r="L64" s="67"/>
      <c r="M64" s="10"/>
      <c r="N64" s="67"/>
      <c r="O64" s="10"/>
      <c r="P64" s="67"/>
      <c r="R64" s="67"/>
      <c r="T64" s="67"/>
      <c r="Y64" s="4"/>
    </row>
    <row r="65" spans="3:28" s="1084" customFormat="1" ht="20.45" customHeight="1" thickBot="1" x14ac:dyDescent="0.25">
      <c r="C65" s="4"/>
      <c r="D65" s="194"/>
      <c r="E65" s="195"/>
      <c r="F65" s="195"/>
      <c r="H65" s="195"/>
      <c r="I65" s="2612" t="s">
        <v>138</v>
      </c>
      <c r="J65" s="2613"/>
      <c r="K65" s="2613"/>
      <c r="L65" s="2613"/>
      <c r="M65" s="2613"/>
      <c r="N65" s="2613"/>
      <c r="O65" s="2613"/>
      <c r="P65" s="2614"/>
      <c r="Q65" s="4"/>
      <c r="R65" s="10"/>
      <c r="S65" s="4"/>
      <c r="T65" s="4"/>
      <c r="U65" s="4"/>
      <c r="V65" s="4"/>
      <c r="W65" s="4"/>
      <c r="X65" s="4"/>
      <c r="Z65" s="1326"/>
      <c r="AA65" s="1326"/>
      <c r="AB65" s="1326"/>
    </row>
    <row r="66" spans="3:28" s="1084" customFormat="1" x14ac:dyDescent="0.2">
      <c r="C66" s="1123"/>
      <c r="D66" s="4"/>
      <c r="E66" s="4"/>
      <c r="F66" s="4"/>
      <c r="H66" s="4"/>
      <c r="I66" s="4"/>
      <c r="J66" s="1332"/>
      <c r="K66" s="4"/>
      <c r="L66" s="10"/>
      <c r="M66" s="4"/>
      <c r="N66" s="4"/>
      <c r="O66" s="4"/>
      <c r="P66" s="4"/>
      <c r="Q66" s="4"/>
      <c r="R66" s="10"/>
      <c r="S66" s="4"/>
      <c r="T66" s="4"/>
      <c r="U66" s="4"/>
      <c r="V66" s="4"/>
      <c r="W66" s="4"/>
      <c r="X66" s="4"/>
      <c r="Z66" s="1326"/>
      <c r="AA66" s="1326"/>
      <c r="AB66" s="1326"/>
    </row>
    <row r="67" spans="3:28" s="1084" customFormat="1" x14ac:dyDescent="0.2">
      <c r="H67" s="1459"/>
      <c r="I67" s="1461"/>
      <c r="J67" s="1459"/>
      <c r="K67" s="1462"/>
      <c r="L67" s="1459"/>
      <c r="M67" s="1459"/>
      <c r="N67" s="1459"/>
      <c r="O67" s="1459"/>
      <c r="P67" s="1459"/>
      <c r="Q67" s="330"/>
      <c r="Y67" s="1326"/>
      <c r="Z67" s="1326"/>
      <c r="AA67" s="1326"/>
      <c r="AB67" s="1326"/>
    </row>
    <row r="68" spans="3:28" s="1084" customFormat="1" x14ac:dyDescent="0.2">
      <c r="D68" s="1457"/>
      <c r="F68" s="1458"/>
      <c r="H68" s="1459"/>
      <c r="I68" s="1463"/>
      <c r="J68" s="1459"/>
      <c r="K68" s="1459"/>
      <c r="L68" s="1459"/>
      <c r="M68" s="1459"/>
      <c r="N68" s="1459"/>
      <c r="O68" s="1459"/>
      <c r="P68" s="1459"/>
      <c r="R68" s="1460"/>
      <c r="T68" s="1460"/>
      <c r="Y68" s="1326"/>
      <c r="Z68" s="1326"/>
      <c r="AA68" s="1326"/>
      <c r="AB68" s="1326"/>
    </row>
    <row r="69" spans="3:28" x14ac:dyDescent="0.2">
      <c r="I69" s="1464"/>
      <c r="T69" s="2051"/>
    </row>
  </sheetData>
  <sheetProtection algorithmName="SHA-512" hashValue="CY/uNwuCAPnPikXDg362Hy/lJ3CMWpHffYgldCzuigYDZbvFNtjdlTZI9t57vKYZD+odelNAIG0l71fwNcpkdQ==" saltValue="PJdsKBdcO7kBM+0ORVoUJQ==" spinCount="100000" sheet="1" objects="1" scenarios="1" selectLockedCells="1"/>
  <mergeCells count="1">
    <mergeCell ref="I65:P65"/>
  </mergeCells>
  <conditionalFormatting sqref="D16:D29 E16:E49 I16:T49">
    <cfRule type="containsErrors" dxfId="145" priority="8">
      <formula>ISERROR(D16)</formula>
    </cfRule>
  </conditionalFormatting>
  <conditionalFormatting sqref="D53">
    <cfRule type="cellIs" dxfId="144" priority="98" operator="between">
      <formula>0</formula>
      <formula>0</formula>
    </cfRule>
  </conditionalFormatting>
  <conditionalFormatting sqref="E51 I51:T51">
    <cfRule type="containsErrors" dxfId="143" priority="1">
      <formula>ISERROR(E51)</formula>
    </cfRule>
  </conditionalFormatting>
  <conditionalFormatting sqref="F16">
    <cfRule type="containsErrors" dxfId="142" priority="7">
      <formula>ISERROR(F16)</formula>
    </cfRule>
  </conditionalFormatting>
  <conditionalFormatting sqref="G31">
    <cfRule type="cellIs" dxfId="140" priority="38" operator="between">
      <formula>0</formula>
      <formula>0</formula>
    </cfRule>
  </conditionalFormatting>
  <conditionalFormatting sqref="H16:H40 D30:D40 D42:D49 H42:H49 D51">
    <cfRule type="cellIs" dxfId="131" priority="92" operator="between">
      <formula>0</formula>
      <formula>0</formula>
    </cfRule>
  </conditionalFormatting>
  <conditionalFormatting sqref="H51">
    <cfRule type="cellIs" dxfId="130" priority="2" operator="between">
      <formula>0</formula>
      <formula>0</formula>
    </cfRule>
  </conditionalFormatting>
  <conditionalFormatting sqref="H53">
    <cfRule type="cellIs" dxfId="129" priority="35" operator="between">
      <formula>0</formula>
      <formula>0</formula>
    </cfRule>
  </conditionalFormatting>
  <conditionalFormatting sqref="J53">
    <cfRule type="expression" dxfId="128" priority="99">
      <formula>$K$53=0</formula>
    </cfRule>
  </conditionalFormatting>
  <conditionalFormatting sqref="J57">
    <cfRule type="containsErrors" dxfId="127" priority="48">
      <formula>ISERROR(J57)</formula>
    </cfRule>
  </conditionalFormatting>
  <conditionalFormatting sqref="J10:R10">
    <cfRule type="cellIs" dxfId="124" priority="96" operator="between">
      <formula>0</formula>
      <formula>0</formula>
    </cfRule>
  </conditionalFormatting>
  <conditionalFormatting sqref="L57">
    <cfRule type="containsErrors" dxfId="123" priority="46">
      <formula>ISERROR(L57)</formula>
    </cfRule>
  </conditionalFormatting>
  <conditionalFormatting sqref="N57">
    <cfRule type="containsErrors" dxfId="122" priority="45">
      <formula>ISERROR(N57)</formula>
    </cfRule>
  </conditionalFormatting>
  <conditionalFormatting sqref="N58">
    <cfRule type="containsText" dxfId="121" priority="95" operator="containsText" text="FALSCH">
      <formula>NOT(ISERROR(SEARCH("FALSCH",N58)))</formula>
    </cfRule>
  </conditionalFormatting>
  <conditionalFormatting sqref="P6">
    <cfRule type="cellIs" dxfId="120" priority="97" operator="between">
      <formula>0</formula>
      <formula>0</formula>
    </cfRule>
  </conditionalFormatting>
  <conditionalFormatting sqref="P57">
    <cfRule type="containsErrors" dxfId="119" priority="44">
      <formula>ISERROR(P57)</formula>
    </cfRule>
  </conditionalFormatting>
  <conditionalFormatting sqref="P58">
    <cfRule type="containsText" dxfId="118" priority="94" operator="containsText" text="FALSCH">
      <formula>NOT(ISERROR(SEARCH("FALSCH",P58)))</formula>
    </cfRule>
  </conditionalFormatting>
  <conditionalFormatting sqref="R57">
    <cfRule type="containsErrors" dxfId="117" priority="42">
      <formula>ISERROR(R57)</formula>
    </cfRule>
  </conditionalFormatting>
  <conditionalFormatting sqref="R58">
    <cfRule type="containsText" dxfId="116" priority="93" operator="containsText" text="FALSCH">
      <formula>NOT(ISERROR(SEARCH("FALSCH",R58)))</formula>
    </cfRule>
  </conditionalFormatting>
  <conditionalFormatting sqref="T57">
    <cfRule type="containsErrors" dxfId="113" priority="43">
      <formula>ISERROR(T57)</formula>
    </cfRule>
  </conditionalFormatting>
  <conditionalFormatting sqref="T62:X62 D53:R55 X25 V32:V33 J58:X58 J60 J62">
    <cfRule type="containsErrors" dxfId="109" priority="281">
      <formula>ISERROR(D25)</formula>
    </cfRule>
  </conditionalFormatting>
  <conditionalFormatting sqref="V57">
    <cfRule type="containsErrors" dxfId="108" priority="41">
      <formula>ISERROR(V57)</formula>
    </cfRule>
  </conditionalFormatting>
  <conditionalFormatting sqref="X57">
    <cfRule type="containsErrors" dxfId="107" priority="40">
      <formula>ISERROR(X57)</formula>
    </cfRule>
  </conditionalFormatting>
  <hyperlinks>
    <hyperlink ref="I65" location="'Anlage 1'!A1" display="Anlage 1" xr:uid="{00000000-0004-0000-0900-000000000000}"/>
    <hyperlink ref="I65:P65" location="Bewohnervertretung!A1" display="gehe weiter zu Bewohnervertretung" xr:uid="{00000000-0004-0000-0900-000001000000}"/>
  </hyperlinks>
  <pageMargins left="0.70866141732283472" right="0.70866141732283472" top="0.78740157480314965" bottom="0.78740157480314965" header="0.31496062992125984" footer="0.31496062992125984"/>
  <pageSetup paperSize="9" scale="54" orientation="landscape"/>
  <headerFooter>
    <oddHeader>&amp;C&amp;9Seite 6</oddHeader>
    <oddFooter>&amp;L&amp;8Version: 24.04.2026&amp;C&amp;8Verhandlungsunterlagen vollstationär SGB XI ab 01.07.2026&amp;R&amp;8PSK vom 24.04.2026</oddFooter>
  </headerFooter>
  <ignoredErrors>
    <ignoredError sqref="U62 I16:R17 I30:T30 X25 I32:V32 V33 I34:T35 I42:T43 L58:S58 I20:R20 K19:R19 I26 K26:T26 K18 J19 L22 L23 I27:S29 T27:T29 L24 N22 N23 N24 P22 P23 P24 R22 R23 R24 D16:D29 J24 J22:J23 J25:J26 M18:R18 Q54:R55 I55:J55 I54:J54 I36:T40 I47:T49 I46:T46 J44 I45:J45 L45:T45 L44:T44 Q53 U58:X58" evalError="1"/>
    <ignoredError sqref="L54:P55 M53 O53" evalError="1" formula="1"/>
  </ignoredErrors>
  <legacyDrawing r:id="rId1"/>
  <extLst>
    <ext xmlns:x14="http://schemas.microsoft.com/office/spreadsheetml/2009/9/main" uri="{78C0D931-6437-407d-A8EE-F0AAD7539E65}">
      <x14:conditionalFormattings>
        <x14:conditionalFormatting xmlns:xm="http://schemas.microsoft.com/office/excel/2006/main">
          <x14:cfRule type="expression" priority="105" id="{B76BB2F1-06D1-44A0-8EA3-3294A0622347}">
            <xm:f>'Allgemeine Angaben'!$D$7="tst"</xm:f>
            <x14:dxf>
              <font>
                <color theme="0"/>
              </font>
              <fill>
                <patternFill>
                  <bgColor theme="0"/>
                </patternFill>
              </fill>
              <border>
                <left/>
                <right/>
                <bottom/>
                <vertical/>
                <horizontal/>
              </border>
            </x14:dxf>
          </x14:cfRule>
          <x14:cfRule type="expression" priority="102" id="{074122E9-B25B-47E2-9727-2EAB10277E85}">
            <xm:f>'Allgemeine Angaben'!$D$7="kzp"</xm:f>
            <x14:dxf>
              <font>
                <color theme="0"/>
              </font>
              <fill>
                <patternFill>
                  <fgColor theme="0"/>
                  <bgColor theme="0"/>
                </patternFill>
              </fill>
              <border>
                <left/>
                <right/>
                <bottom/>
                <vertical/>
                <horizontal/>
              </border>
            </x14:dxf>
          </x14:cfRule>
          <xm:sqref>C12:F12 I12:R12 I54:R54 B54:F55 I55:T55</xm:sqref>
        </x14:conditionalFormatting>
        <x14:conditionalFormatting xmlns:xm="http://schemas.microsoft.com/office/excel/2006/main">
          <x14:cfRule type="expression" priority="24" id="{E28C0F0A-3EFF-4F4A-8B28-BBC4077CA10B}">
            <xm:f>'Allgemeine Angaben'!$L$48&gt;0</xm:f>
            <x14:dxf>
              <font>
                <b val="0"/>
                <i val="0"/>
                <color auto="1"/>
              </font>
              <fill>
                <patternFill>
                  <bgColor theme="6" tint="0.59996337778862885"/>
                </patternFill>
              </fill>
              <border>
                <left style="thin">
                  <color auto="1"/>
                </left>
                <right style="thin">
                  <color auto="1"/>
                </right>
                <top style="thin">
                  <color auto="1"/>
                </top>
                <bottom style="thin">
                  <color auto="1"/>
                </bottom>
              </border>
            </x14:dxf>
          </x14:cfRule>
          <xm:sqref>G15</xm:sqref>
        </x14:conditionalFormatting>
        <x14:conditionalFormatting xmlns:xm="http://schemas.microsoft.com/office/excel/2006/main">
          <x14:cfRule type="expression" priority="10" id="{90048BFF-D198-48D7-AFAB-F7003A9C764A}">
            <xm:f>'Allgemeine Angaben'!$L$48&gt;0</xm:f>
            <x14:dxf>
              <font>
                <b/>
                <i val="0"/>
              </font>
            </x14:dxf>
          </x14:cfRule>
          <xm:sqref>G16:H17</xm:sqref>
        </x14:conditionalFormatting>
        <x14:conditionalFormatting xmlns:xm="http://schemas.microsoft.com/office/excel/2006/main">
          <x14:cfRule type="expression" priority="15" id="{B0A9B9B4-FF11-4E98-A395-6E437889A40D}">
            <xm:f>'Allgemeine Angaben'!$L$48&gt;0</xm:f>
            <x14:dxf>
              <font>
                <b val="0"/>
                <i val="0"/>
                <color theme="1"/>
              </font>
              <fill>
                <patternFill>
                  <bgColor theme="0" tint="-4.9989318521683403E-2"/>
                </patternFill>
              </fill>
              <border>
                <left style="thin">
                  <color auto="1"/>
                </left>
                <right style="thin">
                  <color auto="1"/>
                </right>
                <top style="thin">
                  <color auto="1"/>
                </top>
                <bottom style="thin">
                  <color auto="1"/>
                </bottom>
                <vertical/>
                <horizontal/>
              </border>
            </x14:dxf>
          </x14:cfRule>
          <xm:sqref>G16:H30</xm:sqref>
        </x14:conditionalFormatting>
        <x14:conditionalFormatting xmlns:xm="http://schemas.microsoft.com/office/excel/2006/main">
          <x14:cfRule type="expression" priority="11" id="{44E5D982-C700-4446-A531-8AA901A8211E}">
            <xm:f>'Allgemeine Angaben'!$L$48&gt;0</xm:f>
            <x14:dxf>
              <font>
                <b/>
                <i val="0"/>
              </font>
            </x14:dxf>
          </x14:cfRule>
          <xm:sqref>G21:H21 G32:H32 G42:H42</xm:sqref>
        </x14:conditionalFormatting>
        <x14:conditionalFormatting xmlns:xm="http://schemas.microsoft.com/office/excel/2006/main">
          <x14:cfRule type="expression" priority="734" id="{F062E379-C2B3-4ECB-A8D8-42C98EDAD760}">
            <xm:f>KAT!$A$70="ja"</xm:f>
            <x14:dxf>
              <fill>
                <patternFill>
                  <bgColor rgb="FFCCECFF"/>
                </patternFill>
              </fill>
            </x14:dxf>
          </x14:cfRule>
          <x14:cfRule type="expression" priority="735" id="{07EE481D-8BA2-4BBE-BFA7-04E2D7C20B28}">
            <xm:f>'Allgemeine Angaben'!$L$48&gt;0</xm:f>
            <x14:dxf>
              <font>
                <b val="0"/>
                <i val="0"/>
                <color theme="1"/>
              </font>
              <fill>
                <patternFill>
                  <bgColor theme="0" tint="-4.9989318521683403E-2"/>
                </patternFill>
              </fill>
              <border>
                <left style="thin">
                  <color auto="1"/>
                </left>
                <right style="thin">
                  <color auto="1"/>
                </right>
                <top style="thin">
                  <color auto="1"/>
                </top>
                <bottom style="thin">
                  <color auto="1"/>
                </bottom>
                <vertical/>
                <horizontal/>
              </border>
            </x14:dxf>
          </x14:cfRule>
          <xm:sqref>G32:H40 G42:H49</xm:sqref>
        </x14:conditionalFormatting>
        <x14:conditionalFormatting xmlns:xm="http://schemas.microsoft.com/office/excel/2006/main">
          <x14:cfRule type="expression" priority="3" id="{CFF56247-151A-4BAB-8E72-919D84C935D8}">
            <xm:f>KAT!$A$70="ja"</xm:f>
            <x14:dxf>
              <fill>
                <patternFill>
                  <bgColor rgb="FFCCECFF"/>
                </patternFill>
              </fill>
            </x14:dxf>
          </x14:cfRule>
          <x14:cfRule type="expression" priority="4" id="{66BE9818-D734-453E-8062-6D82FCB95CD7}">
            <xm:f>'Allgemeine Angaben'!$L$48&gt;0</xm:f>
            <x14:dxf>
              <font>
                <b val="0"/>
                <i val="0"/>
                <color theme="1"/>
              </font>
              <fill>
                <patternFill>
                  <bgColor theme="0" tint="-4.9989318521683403E-2"/>
                </patternFill>
              </fill>
              <border>
                <left style="thin">
                  <color auto="1"/>
                </left>
                <right style="thin">
                  <color auto="1"/>
                </right>
                <top style="thin">
                  <color auto="1"/>
                </top>
                <bottom style="thin">
                  <color auto="1"/>
                </bottom>
                <vertical/>
                <horizontal/>
              </border>
            </x14:dxf>
          </x14:cfRule>
          <xm:sqref>G51:H51</xm:sqref>
        </x14:conditionalFormatting>
        <x14:conditionalFormatting xmlns:xm="http://schemas.microsoft.com/office/excel/2006/main">
          <x14:cfRule type="expression" priority="23" id="{9E25B1F8-3A4A-426C-94CB-8E5A64E53DB5}">
            <xm:f>'Allgemeine Angaben'!$L$48&gt;0</xm:f>
            <x14:dxf>
              <font>
                <b val="0"/>
                <i val="0"/>
                <color theme="1"/>
              </font>
              <fill>
                <patternFill>
                  <bgColor theme="6" tint="0.59996337778862885"/>
                </patternFill>
              </fill>
              <border>
                <left style="thin">
                  <color auto="1"/>
                </left>
                <right style="thin">
                  <color auto="1"/>
                </right>
                <top style="thin">
                  <color auto="1"/>
                </top>
                <bottom style="thin">
                  <color auto="1"/>
                </bottom>
              </border>
            </x14:dxf>
          </x14:cfRule>
          <xm:sqref>H15</xm:sqref>
        </x14:conditionalFormatting>
        <x14:conditionalFormatting xmlns:xm="http://schemas.microsoft.com/office/excel/2006/main">
          <x14:cfRule type="expression" priority="739" id="{BA52BD0A-4FDD-4579-858B-44C3A2B68CC7}">
            <xm:f>'Allgemeine Angaben'!$L$48&gt;0</xm:f>
            <x14: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x14:dxf>
          </x14:cfRule>
          <x14:cfRule type="expression" priority="738" id="{590E33D2-2FDB-47EB-B545-BC58BD393AD0}">
            <xm:f>KAT!$A$70="ja"</xm:f>
            <x14:dxf>
              <fill>
                <patternFill>
                  <bgColor rgb="FFCCECFF"/>
                </patternFill>
              </fill>
            </x14:dxf>
          </x14:cfRule>
          <xm:sqref>J62</xm:sqref>
        </x14:conditionalFormatting>
        <x14:conditionalFormatting xmlns:xm="http://schemas.microsoft.com/office/excel/2006/main">
          <x14:cfRule type="expression" priority="109" id="{07C8E480-9846-495D-94E5-811CD282BFFC}">
            <xm:f>'Allgemeine Angaben'!$D$7="tst"</xm:f>
            <x14:dxf>
              <font>
                <color theme="0"/>
              </font>
              <fill>
                <patternFill>
                  <bgColor theme="0"/>
                </patternFill>
              </fill>
              <border>
                <left/>
                <right/>
                <top/>
                <bottom/>
                <vertical/>
                <horizontal/>
              </border>
            </x14:dxf>
          </x14:cfRule>
          <xm:sqref>T55 Q65</xm:sqref>
        </x14:conditionalFormatting>
        <x14:conditionalFormatting xmlns:xm="http://schemas.microsoft.com/office/excel/2006/main">
          <x14:cfRule type="expression" priority="106" id="{0566DA16-5EBC-4792-A482-DB323D7D639D}">
            <xm:f>'Allgemeine Angaben'!$D$7="kzp"</xm:f>
            <x14:dxf>
              <font>
                <color theme="0"/>
              </font>
            </x14:dxf>
          </x14:cfRule>
          <xm:sqref>T55</xm:sqref>
        </x14:conditionalFormatting>
        <x14:conditionalFormatting xmlns:xm="http://schemas.microsoft.com/office/excel/2006/main">
          <x14:cfRule type="expression" priority="280" id="{30F6EB2A-7C14-4981-B0F8-BC6A1F2D2F71}">
            <xm:f>'Allgemeine Angaben'!$L$48&gt;0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T62 V62 X62</xm:sqref>
        </x14:conditionalFormatting>
        <x14:conditionalFormatting xmlns:xm="http://schemas.microsoft.com/office/excel/2006/main">
          <x14:cfRule type="expression" priority="22" id="{CE0BC7A1-BC37-46A2-B971-E91B4AF40134}">
            <xm:f>'Allgemeine Angaben'!$L$48&gt;0</xm:f>
            <x14:dxf>
              <font>
                <b/>
                <i val="0"/>
                <color auto="1"/>
              </font>
              <fill>
                <patternFill>
                  <bgColor theme="0"/>
                </patternFill>
              </fill>
              <border>
                <left/>
                <right/>
                <top/>
                <bottom/>
                <vertical/>
                <horizontal/>
              </border>
            </x14:dxf>
          </x14:cfRule>
          <xm:sqref>T61:X61</xm:sqref>
        </x14:conditionalFormatting>
        <x14:conditionalFormatting xmlns:xm="http://schemas.microsoft.com/office/excel/2006/main">
          <x14:cfRule type="expression" priority="731" id="{2D07743F-B27A-407E-B52F-BE8283761681}">
            <xm:f>KAT!$A$70="ja"</xm:f>
            <x14:dxf>
              <fill>
                <patternFill>
                  <bgColor rgb="FFCCECFF"/>
                </patternFill>
              </fill>
            </x14:dxf>
          </x14:cfRule>
          <xm:sqref>T61:X62 G15:H30 C62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tabColor theme="0"/>
    <pageSetUpPr fitToPage="1"/>
  </sheetPr>
  <dimension ref="A1:Q64"/>
  <sheetViews>
    <sheetView showGridLines="0" zoomScaleNormal="100" workbookViewId="0">
      <selection activeCell="H6" sqref="H6"/>
    </sheetView>
  </sheetViews>
  <sheetFormatPr baseColWidth="10" defaultRowHeight="14.25" x14ac:dyDescent="0.2"/>
  <cols>
    <col min="1" max="2" width="3.625" style="198" customWidth="1"/>
    <col min="3" max="3" width="3.25" style="198" customWidth="1"/>
    <col min="4" max="4" width="3.125" style="198" customWidth="1"/>
    <col min="5" max="5" width="3.5" style="198" customWidth="1"/>
    <col min="6" max="6" width="11" style="198"/>
    <col min="7" max="7" width="3.125" style="198" customWidth="1"/>
    <col min="8" max="8" width="3.5" style="198" customWidth="1"/>
    <col min="9" max="9" width="11" style="198"/>
    <col min="10" max="10" width="11.875" style="198" customWidth="1"/>
    <col min="11" max="11" width="3.125" style="198" customWidth="1"/>
    <col min="12" max="12" width="17.75" style="198" customWidth="1"/>
    <col min="13" max="13" width="18.875" style="198" customWidth="1"/>
    <col min="14" max="14" width="4" style="198" customWidth="1"/>
    <col min="17" max="22" width="11" customWidth="1"/>
  </cols>
  <sheetData>
    <row r="1" spans="1:17" ht="15.75" x14ac:dyDescent="0.25">
      <c r="A1" s="2624" t="s">
        <v>139</v>
      </c>
      <c r="B1" s="2625"/>
      <c r="C1" s="2625"/>
      <c r="D1" s="2625"/>
      <c r="E1" s="2625"/>
      <c r="F1" s="2625"/>
      <c r="G1" s="2625"/>
      <c r="H1" s="2625"/>
      <c r="I1" s="2625"/>
      <c r="J1" s="2625"/>
      <c r="K1" s="2625"/>
      <c r="L1" s="2625"/>
      <c r="M1" s="2625"/>
      <c r="N1" s="2626"/>
      <c r="O1" s="339"/>
      <c r="Q1" s="621"/>
    </row>
    <row r="2" spans="1:17" ht="15" x14ac:dyDescent="0.2">
      <c r="A2" s="2627"/>
      <c r="B2" s="2628"/>
      <c r="C2" s="2628"/>
      <c r="D2" s="2628"/>
      <c r="E2" s="2628"/>
      <c r="F2" s="2628"/>
      <c r="G2" s="2628"/>
      <c r="H2" s="2628"/>
      <c r="I2" s="2628"/>
      <c r="J2" s="2628"/>
      <c r="K2" s="2628"/>
      <c r="L2" s="2628"/>
      <c r="M2" s="2628"/>
      <c r="N2" s="2629"/>
      <c r="O2" s="8"/>
    </row>
    <row r="3" spans="1:17" ht="15.75" x14ac:dyDescent="0.25">
      <c r="A3" s="2630" t="str">
        <f>'Allgemeine Angaben'!A3:N3</f>
        <v/>
      </c>
      <c r="B3" s="2631"/>
      <c r="C3" s="2631"/>
      <c r="D3" s="2631"/>
      <c r="E3" s="2631"/>
      <c r="F3" s="2631"/>
      <c r="G3" s="2631"/>
      <c r="H3" s="2631"/>
      <c r="I3" s="2631"/>
      <c r="J3" s="2631"/>
      <c r="K3" s="2631"/>
      <c r="L3" s="2631"/>
      <c r="M3" s="2631"/>
      <c r="N3" s="2632"/>
    </row>
    <row r="4" spans="1:17" ht="15.75" x14ac:dyDescent="0.25">
      <c r="A4" s="453"/>
      <c r="B4" s="225" t="str">
        <f>'Allgemeine Angaben'!B4</f>
        <v/>
      </c>
      <c r="C4" s="454"/>
      <c r="D4" s="454"/>
      <c r="E4" s="454"/>
      <c r="F4" s="454"/>
      <c r="G4" s="454"/>
      <c r="H4" s="454"/>
      <c r="I4" s="454"/>
      <c r="J4" s="454"/>
      <c r="K4" s="454"/>
      <c r="L4" s="456" t="str">
        <f>'Allgemeine Angaben'!K4</f>
        <v>Antrag vom:</v>
      </c>
      <c r="M4" s="457">
        <f>'Allgemeine Angaben'!L4</f>
        <v>0</v>
      </c>
      <c r="N4" s="455"/>
      <c r="O4" s="2"/>
      <c r="Q4" s="8"/>
    </row>
    <row r="5" spans="1:17" ht="16.5" thickBot="1" x14ac:dyDescent="0.3">
      <c r="A5" s="196"/>
      <c r="B5" s="197"/>
      <c r="N5" s="199"/>
      <c r="O5" s="198"/>
      <c r="Q5" s="622"/>
    </row>
    <row r="6" spans="1:17" s="305" customFormat="1" ht="16.5" thickBot="1" x14ac:dyDescent="0.3">
      <c r="A6" s="303"/>
      <c r="B6" s="2633" t="s">
        <v>140</v>
      </c>
      <c r="C6" s="2633"/>
      <c r="D6" s="2633"/>
      <c r="E6" s="2633"/>
      <c r="F6" s="2633"/>
      <c r="G6" s="2634"/>
      <c r="H6" s="304"/>
      <c r="J6" s="197"/>
      <c r="K6" s="304"/>
      <c r="L6" s="2635" t="s">
        <v>440</v>
      </c>
      <c r="M6" s="2633"/>
      <c r="N6" s="306"/>
      <c r="Q6" s="623"/>
    </row>
    <row r="7" spans="1:17" ht="14.25" customHeight="1" x14ac:dyDescent="0.2">
      <c r="A7" s="196"/>
      <c r="N7" s="199"/>
      <c r="O7" s="198"/>
    </row>
    <row r="8" spans="1:17" ht="27" customHeight="1" x14ac:dyDescent="0.2">
      <c r="A8" s="196"/>
      <c r="B8" s="2618" t="s">
        <v>442</v>
      </c>
      <c r="C8" s="2618"/>
      <c r="D8" s="2618"/>
      <c r="E8" s="2618"/>
      <c r="F8" s="2618"/>
      <c r="G8" s="2618"/>
      <c r="H8" s="2618"/>
      <c r="I8" s="2618"/>
      <c r="J8" s="2618"/>
      <c r="K8" s="2618"/>
      <c r="L8" s="2618"/>
      <c r="M8" s="2618"/>
      <c r="N8" s="199"/>
      <c r="O8" s="198"/>
    </row>
    <row r="9" spans="1:17" ht="15.75" x14ac:dyDescent="0.25">
      <c r="A9" s="196"/>
      <c r="B9" s="200"/>
      <c r="N9" s="199"/>
      <c r="O9" s="198"/>
      <c r="Q9" s="201"/>
    </row>
    <row r="10" spans="1:17" s="305" customFormat="1" ht="15" x14ac:dyDescent="0.2">
      <c r="A10" s="307"/>
      <c r="B10" s="308" t="s">
        <v>141</v>
      </c>
      <c r="C10" s="308" t="s">
        <v>142</v>
      </c>
      <c r="D10" s="308"/>
      <c r="E10" s="308"/>
      <c r="F10" s="308"/>
      <c r="G10" s="308"/>
      <c r="I10" s="308"/>
      <c r="J10" s="308"/>
      <c r="N10" s="309"/>
    </row>
    <row r="11" spans="1:17" ht="12.75" customHeight="1" thickBot="1" x14ac:dyDescent="0.3">
      <c r="A11" s="196"/>
      <c r="B11" s="200"/>
      <c r="N11" s="199"/>
      <c r="O11" s="198"/>
    </row>
    <row r="12" spans="1:17" ht="16.5" thickBot="1" x14ac:dyDescent="0.3">
      <c r="A12" s="196"/>
      <c r="D12" s="310"/>
      <c r="F12" s="197" t="s">
        <v>143</v>
      </c>
      <c r="G12" s="201"/>
      <c r="H12" s="201"/>
      <c r="I12" s="201"/>
      <c r="N12" s="199"/>
      <c r="O12" s="198"/>
    </row>
    <row r="13" spans="1:17" ht="15" x14ac:dyDescent="0.2">
      <c r="A13" s="196"/>
      <c r="F13" s="308" t="s">
        <v>144</v>
      </c>
      <c r="G13" s="202"/>
      <c r="H13" s="202"/>
      <c r="I13" s="202"/>
      <c r="J13" s="202"/>
      <c r="K13" s="202"/>
      <c r="N13" s="199"/>
      <c r="O13" s="198"/>
    </row>
    <row r="14" spans="1:17" ht="12.75" customHeight="1" thickBot="1" x14ac:dyDescent="0.25">
      <c r="A14" s="196"/>
      <c r="F14" s="202"/>
      <c r="G14" s="202"/>
      <c r="H14" s="202"/>
      <c r="I14" s="202"/>
      <c r="J14" s="202"/>
      <c r="K14" s="202"/>
      <c r="N14" s="199"/>
      <c r="O14" s="198"/>
    </row>
    <row r="15" spans="1:17" ht="16.5" thickBot="1" x14ac:dyDescent="0.3">
      <c r="A15" s="196"/>
      <c r="D15" s="310"/>
      <c r="F15" s="197" t="s">
        <v>145</v>
      </c>
      <c r="G15" s="201"/>
      <c r="H15" s="201"/>
      <c r="I15" s="201"/>
      <c r="N15" s="199"/>
      <c r="O15" s="198"/>
    </row>
    <row r="16" spans="1:17" ht="15" x14ac:dyDescent="0.2">
      <c r="A16" s="196"/>
      <c r="F16" s="308" t="s">
        <v>146</v>
      </c>
      <c r="N16" s="199"/>
      <c r="O16" s="198"/>
    </row>
    <row r="17" spans="1:15" x14ac:dyDescent="0.2">
      <c r="A17" s="196"/>
      <c r="F17" s="202"/>
      <c r="N17" s="199"/>
      <c r="O17" s="198"/>
    </row>
    <row r="18" spans="1:15" s="305" customFormat="1" ht="15" x14ac:dyDescent="0.2">
      <c r="A18" s="307"/>
      <c r="B18" s="308" t="s">
        <v>147</v>
      </c>
      <c r="C18" s="308" t="s">
        <v>148</v>
      </c>
      <c r="D18" s="308"/>
      <c r="E18" s="308"/>
      <c r="F18" s="308"/>
      <c r="G18" s="308"/>
      <c r="H18" s="308"/>
      <c r="I18" s="308"/>
      <c r="J18" s="308"/>
      <c r="L18" s="308"/>
      <c r="M18" s="308"/>
      <c r="N18" s="311"/>
    </row>
    <row r="19" spans="1:15" ht="12.75" customHeight="1" thickBot="1" x14ac:dyDescent="0.25">
      <c r="A19" s="196"/>
      <c r="C19" s="201"/>
      <c r="D19" s="201"/>
      <c r="E19" s="201"/>
      <c r="F19" s="201"/>
      <c r="G19" s="201"/>
      <c r="H19" s="201"/>
      <c r="I19" s="201"/>
      <c r="J19" s="201"/>
      <c r="K19" s="201"/>
      <c r="L19" s="201"/>
      <c r="M19" s="201"/>
      <c r="N19" s="203"/>
      <c r="O19" s="198"/>
    </row>
    <row r="20" spans="1:15" ht="15" thickBot="1" x14ac:dyDescent="0.25">
      <c r="A20" s="196"/>
      <c r="C20" s="201"/>
      <c r="D20" s="312"/>
      <c r="E20" s="21"/>
      <c r="F20" s="2619" t="s">
        <v>149</v>
      </c>
      <c r="G20" s="2619"/>
      <c r="H20" s="2619"/>
      <c r="I20" s="2619"/>
      <c r="J20" s="2619"/>
      <c r="K20" s="2619"/>
      <c r="L20" s="2619"/>
      <c r="M20" s="298"/>
      <c r="N20" s="237"/>
      <c r="O20" s="198"/>
    </row>
    <row r="21" spans="1:15" x14ac:dyDescent="0.2">
      <c r="A21" s="196"/>
      <c r="C21" s="201"/>
      <c r="D21" s="21"/>
      <c r="E21" s="21"/>
      <c r="F21" s="313" t="s">
        <v>443</v>
      </c>
      <c r="G21" s="313"/>
      <c r="H21" s="313"/>
      <c r="I21" s="313"/>
      <c r="J21" s="313"/>
      <c r="K21" s="313"/>
      <c r="L21" s="313"/>
      <c r="M21" s="298"/>
      <c r="N21" s="237"/>
      <c r="O21" s="345"/>
    </row>
    <row r="22" spans="1:15" x14ac:dyDescent="0.2">
      <c r="A22" s="196"/>
      <c r="C22" s="201"/>
      <c r="D22" s="21"/>
      <c r="E22" s="21"/>
      <c r="F22" s="2619"/>
      <c r="G22" s="2619"/>
      <c r="H22" s="2619"/>
      <c r="I22" s="2619"/>
      <c r="J22" s="2619"/>
      <c r="K22" s="2619"/>
      <c r="L22" s="2619"/>
      <c r="M22" s="298"/>
      <c r="N22" s="237"/>
      <c r="O22" s="198"/>
    </row>
    <row r="23" spans="1:15" ht="12.75" customHeight="1" thickBot="1" x14ac:dyDescent="0.25">
      <c r="A23" s="196"/>
      <c r="C23" s="201"/>
      <c r="D23" s="21"/>
      <c r="E23" s="21"/>
      <c r="F23" s="21"/>
      <c r="G23" s="21"/>
      <c r="H23" s="21"/>
      <c r="I23" s="21"/>
      <c r="J23" s="21"/>
      <c r="K23" s="21"/>
      <c r="L23" s="21"/>
      <c r="M23" s="21"/>
      <c r="N23" s="85"/>
      <c r="O23" s="198"/>
    </row>
    <row r="24" spans="1:15" ht="15" thickBot="1" x14ac:dyDescent="0.25">
      <c r="A24" s="196"/>
      <c r="C24" s="201"/>
      <c r="D24" s="312"/>
      <c r="E24" s="21"/>
      <c r="F24" s="2620" t="s">
        <v>444</v>
      </c>
      <c r="G24" s="2620"/>
      <c r="H24" s="2620"/>
      <c r="I24" s="2620"/>
      <c r="J24" s="2620"/>
      <c r="K24" s="2620"/>
      <c r="L24" s="2620"/>
      <c r="M24" s="299"/>
      <c r="N24" s="238"/>
      <c r="O24" s="204"/>
    </row>
    <row r="25" spans="1:15" x14ac:dyDescent="0.2">
      <c r="A25" s="196"/>
      <c r="C25" s="201"/>
      <c r="D25" s="21"/>
      <c r="E25" s="21"/>
      <c r="F25" s="21" t="s">
        <v>206</v>
      </c>
      <c r="G25" s="21"/>
      <c r="H25" s="21"/>
      <c r="I25" s="21"/>
      <c r="J25" s="21"/>
      <c r="K25" s="21"/>
      <c r="L25" s="21"/>
      <c r="M25" s="299"/>
      <c r="N25" s="238"/>
      <c r="O25" s="198"/>
    </row>
    <row r="26" spans="1:15" x14ac:dyDescent="0.2">
      <c r="A26" s="196"/>
      <c r="C26" s="201"/>
      <c r="D26" s="21"/>
      <c r="E26" s="21"/>
      <c r="F26" s="2620"/>
      <c r="G26" s="2620"/>
      <c r="H26" s="2620"/>
      <c r="I26" s="2620"/>
      <c r="J26" s="2620"/>
      <c r="K26" s="2620"/>
      <c r="L26" s="2620"/>
      <c r="M26" s="299"/>
      <c r="N26" s="238"/>
      <c r="O26" s="198"/>
    </row>
    <row r="27" spans="1:15" ht="14.85" customHeight="1" x14ac:dyDescent="0.2">
      <c r="A27" s="205"/>
      <c r="B27" s="206"/>
      <c r="C27" s="207"/>
      <c r="D27" s="208"/>
      <c r="E27" s="208"/>
      <c r="F27" s="208"/>
      <c r="G27" s="208"/>
      <c r="H27" s="208"/>
      <c r="I27" s="208"/>
      <c r="J27" s="208"/>
      <c r="K27" s="208"/>
      <c r="L27" s="208"/>
      <c r="M27" s="208"/>
      <c r="N27" s="209"/>
      <c r="O27" s="198"/>
    </row>
    <row r="28" spans="1:15" ht="14.85" customHeight="1" x14ac:dyDescent="0.2">
      <c r="A28" s="196"/>
      <c r="C28" s="201"/>
      <c r="D28" s="21"/>
      <c r="E28" s="21"/>
      <c r="F28" s="21"/>
      <c r="G28" s="21"/>
      <c r="H28" s="21"/>
      <c r="I28" s="21"/>
      <c r="J28" s="21"/>
      <c r="K28" s="21"/>
      <c r="L28" s="21"/>
      <c r="M28" s="21"/>
      <c r="N28" s="85"/>
      <c r="O28" s="198"/>
    </row>
    <row r="29" spans="1:15" s="305" customFormat="1" ht="15" x14ac:dyDescent="0.2">
      <c r="A29" s="307"/>
      <c r="B29" s="308" t="s">
        <v>150</v>
      </c>
      <c r="C29" s="308" t="s">
        <v>441</v>
      </c>
      <c r="D29" s="308"/>
      <c r="E29" s="308"/>
      <c r="F29" s="308"/>
      <c r="G29" s="308"/>
      <c r="H29" s="308"/>
      <c r="I29" s="308"/>
      <c r="J29" s="308"/>
      <c r="L29" s="308"/>
      <c r="M29" s="308"/>
      <c r="N29" s="311"/>
    </row>
    <row r="30" spans="1:15" ht="12.75" customHeight="1" x14ac:dyDescent="0.2">
      <c r="A30" s="196"/>
      <c r="C30" s="201"/>
      <c r="D30" s="21"/>
      <c r="E30" s="21"/>
      <c r="F30" s="21"/>
      <c r="G30" s="21"/>
      <c r="H30" s="21"/>
      <c r="I30" s="21"/>
      <c r="J30" s="21"/>
      <c r="K30" s="21"/>
      <c r="L30" s="21"/>
      <c r="M30" s="21"/>
      <c r="N30" s="85"/>
      <c r="O30" s="198"/>
    </row>
    <row r="31" spans="1:15" x14ac:dyDescent="0.2">
      <c r="A31" s="196"/>
      <c r="B31" t="s">
        <v>174</v>
      </c>
      <c r="N31" s="199"/>
      <c r="O31" s="198"/>
    </row>
    <row r="32" spans="1:15" x14ac:dyDescent="0.2">
      <c r="A32" s="196"/>
      <c r="B32" s="201" t="s">
        <v>175</v>
      </c>
      <c r="N32" s="199"/>
      <c r="O32" s="198"/>
    </row>
    <row r="33" spans="1:15" x14ac:dyDescent="0.2">
      <c r="A33" s="196"/>
      <c r="B33" s="201" t="s">
        <v>176</v>
      </c>
      <c r="N33" s="199"/>
      <c r="O33" s="198"/>
    </row>
    <row r="34" spans="1:15" x14ac:dyDescent="0.2">
      <c r="A34" s="196"/>
      <c r="B34" s="201" t="s">
        <v>177</v>
      </c>
      <c r="N34" s="199"/>
      <c r="O34" s="198"/>
    </row>
    <row r="35" spans="1:15" x14ac:dyDescent="0.2">
      <c r="A35" s="196"/>
      <c r="B35" s="201" t="s">
        <v>178</v>
      </c>
      <c r="N35" s="199"/>
      <c r="O35" s="198"/>
    </row>
    <row r="36" spans="1:15" x14ac:dyDescent="0.2">
      <c r="A36" s="196"/>
      <c r="B36"/>
      <c r="N36" s="199"/>
      <c r="O36" s="198"/>
    </row>
    <row r="37" spans="1:15" x14ac:dyDescent="0.2">
      <c r="A37" s="196"/>
      <c r="B37" s="201" t="s">
        <v>445</v>
      </c>
      <c r="C37" s="201"/>
      <c r="D37" s="201"/>
      <c r="E37" s="201"/>
      <c r="F37" s="201"/>
      <c r="G37" s="201"/>
      <c r="H37" s="201"/>
      <c r="I37" s="201"/>
      <c r="J37" s="201"/>
      <c r="K37" s="201"/>
      <c r="L37" s="201"/>
      <c r="M37" s="201"/>
      <c r="N37" s="199"/>
      <c r="O37" s="198"/>
    </row>
    <row r="38" spans="1:15" x14ac:dyDescent="0.2">
      <c r="A38" s="196"/>
      <c r="B38" s="2621"/>
      <c r="C38" s="2622"/>
      <c r="D38" s="2622"/>
      <c r="E38" s="2622"/>
      <c r="F38" s="2622"/>
      <c r="G38" s="2622"/>
      <c r="H38" s="2622"/>
      <c r="I38" s="2622"/>
      <c r="J38" s="2622"/>
      <c r="K38" s="2622"/>
      <c r="L38" s="2622"/>
      <c r="M38" s="2622"/>
      <c r="N38" s="199"/>
      <c r="O38" s="2"/>
    </row>
    <row r="39" spans="1:15" x14ac:dyDescent="0.2">
      <c r="A39" s="196"/>
      <c r="B39" s="2622"/>
      <c r="C39" s="2622"/>
      <c r="D39" s="2622"/>
      <c r="E39" s="2622"/>
      <c r="F39" s="2622"/>
      <c r="G39" s="2622"/>
      <c r="H39" s="2622"/>
      <c r="I39" s="2622"/>
      <c r="J39" s="2622"/>
      <c r="K39" s="2622"/>
      <c r="L39" s="2622"/>
      <c r="M39" s="2622"/>
      <c r="N39" s="199"/>
      <c r="O39" s="198"/>
    </row>
    <row r="40" spans="1:15" x14ac:dyDescent="0.2">
      <c r="A40" s="196"/>
      <c r="B40" s="2622"/>
      <c r="C40" s="2622"/>
      <c r="D40" s="2622"/>
      <c r="E40" s="2622"/>
      <c r="F40" s="2622"/>
      <c r="G40" s="2622"/>
      <c r="H40" s="2622"/>
      <c r="I40" s="2622"/>
      <c r="J40" s="2622"/>
      <c r="K40" s="2622"/>
      <c r="L40" s="2622"/>
      <c r="M40" s="2622"/>
      <c r="N40" s="199"/>
      <c r="O40" s="198"/>
    </row>
    <row r="41" spans="1:15" x14ac:dyDescent="0.2">
      <c r="A41" s="196"/>
      <c r="B41" s="2622"/>
      <c r="C41" s="2622"/>
      <c r="D41" s="2622"/>
      <c r="E41" s="2622"/>
      <c r="F41" s="2622"/>
      <c r="G41" s="2622"/>
      <c r="H41" s="2622"/>
      <c r="I41" s="2622"/>
      <c r="J41" s="2622"/>
      <c r="K41" s="2622"/>
      <c r="L41" s="2622"/>
      <c r="M41" s="2622"/>
      <c r="N41" s="199"/>
      <c r="O41" s="198"/>
    </row>
    <row r="42" spans="1:15" x14ac:dyDescent="0.2">
      <c r="A42" s="196"/>
      <c r="B42" s="2622"/>
      <c r="C42" s="2622"/>
      <c r="D42" s="2622"/>
      <c r="E42" s="2622"/>
      <c r="F42" s="2622"/>
      <c r="G42" s="2622"/>
      <c r="H42" s="2622"/>
      <c r="I42" s="2622"/>
      <c r="J42" s="2622"/>
      <c r="K42" s="2622"/>
      <c r="L42" s="2622"/>
      <c r="M42" s="2622"/>
      <c r="N42" s="199"/>
      <c r="O42" s="198"/>
    </row>
    <row r="43" spans="1:15" x14ac:dyDescent="0.2">
      <c r="A43" s="196"/>
      <c r="B43" s="2622"/>
      <c r="C43" s="2622"/>
      <c r="D43" s="2622"/>
      <c r="E43" s="2622"/>
      <c r="F43" s="2622"/>
      <c r="G43" s="2622"/>
      <c r="H43" s="2622"/>
      <c r="I43" s="2622"/>
      <c r="J43" s="2622"/>
      <c r="K43" s="2622"/>
      <c r="L43" s="2622"/>
      <c r="M43" s="2622"/>
      <c r="N43" s="199"/>
      <c r="O43" s="198"/>
    </row>
    <row r="44" spans="1:15" x14ac:dyDescent="0.2">
      <c r="A44" s="196"/>
      <c r="B44" s="2622"/>
      <c r="C44" s="2622"/>
      <c r="D44" s="2622"/>
      <c r="E44" s="2622"/>
      <c r="F44" s="2622"/>
      <c r="G44" s="2622"/>
      <c r="H44" s="2622"/>
      <c r="I44" s="2622"/>
      <c r="J44" s="2622"/>
      <c r="K44" s="2622"/>
      <c r="L44" s="2622"/>
      <c r="M44" s="2622"/>
      <c r="N44" s="199"/>
      <c r="O44" s="198"/>
    </row>
    <row r="45" spans="1:15" x14ac:dyDescent="0.2">
      <c r="A45" s="196"/>
      <c r="B45" s="2622"/>
      <c r="C45" s="2622"/>
      <c r="D45" s="2622"/>
      <c r="E45" s="2622"/>
      <c r="F45" s="2622"/>
      <c r="G45" s="2622"/>
      <c r="H45" s="2622"/>
      <c r="I45" s="2622"/>
      <c r="J45" s="2622"/>
      <c r="K45" s="2622"/>
      <c r="L45" s="2622"/>
      <c r="M45" s="2622"/>
      <c r="N45" s="199"/>
      <c r="O45" s="198"/>
    </row>
    <row r="46" spans="1:15" x14ac:dyDescent="0.2">
      <c r="A46" s="196"/>
      <c r="B46" s="2622"/>
      <c r="C46" s="2622"/>
      <c r="D46" s="2622"/>
      <c r="E46" s="2622"/>
      <c r="F46" s="2622"/>
      <c r="G46" s="2622"/>
      <c r="H46" s="2622"/>
      <c r="I46" s="2622"/>
      <c r="J46" s="2622"/>
      <c r="K46" s="2622"/>
      <c r="L46" s="2622"/>
      <c r="M46" s="2622"/>
      <c r="N46" s="199"/>
      <c r="O46" s="198"/>
    </row>
    <row r="47" spans="1:15" x14ac:dyDescent="0.2">
      <c r="A47" s="196"/>
      <c r="B47" s="2622"/>
      <c r="C47" s="2622"/>
      <c r="D47" s="2622"/>
      <c r="E47" s="2622"/>
      <c r="F47" s="2622"/>
      <c r="G47" s="2622"/>
      <c r="H47" s="2622"/>
      <c r="I47" s="2622"/>
      <c r="J47" s="2622"/>
      <c r="K47" s="2622"/>
      <c r="L47" s="2622"/>
      <c r="M47" s="2622"/>
      <c r="N47" s="199"/>
      <c r="O47" s="198"/>
    </row>
    <row r="48" spans="1:15" x14ac:dyDescent="0.2">
      <c r="A48" s="196"/>
      <c r="B48" s="2622"/>
      <c r="C48" s="2622"/>
      <c r="D48" s="2622"/>
      <c r="E48" s="2622"/>
      <c r="F48" s="2622"/>
      <c r="G48" s="2622"/>
      <c r="H48" s="2622"/>
      <c r="I48" s="2622"/>
      <c r="J48" s="2622"/>
      <c r="K48" s="2622"/>
      <c r="L48" s="2622"/>
      <c r="M48" s="2622"/>
      <c r="N48" s="199"/>
      <c r="O48" s="198"/>
    </row>
    <row r="49" spans="1:15" x14ac:dyDescent="0.2">
      <c r="A49" s="196"/>
      <c r="B49" s="2622"/>
      <c r="C49" s="2622"/>
      <c r="D49" s="2622"/>
      <c r="E49" s="2622"/>
      <c r="F49" s="2622"/>
      <c r="G49" s="2622"/>
      <c r="H49" s="2622"/>
      <c r="I49" s="2622"/>
      <c r="J49" s="2622"/>
      <c r="K49" s="2622"/>
      <c r="L49" s="2622"/>
      <c r="M49" s="2622"/>
      <c r="N49" s="199"/>
      <c r="O49" s="198"/>
    </row>
    <row r="50" spans="1:15" x14ac:dyDescent="0.2">
      <c r="A50" s="196"/>
      <c r="B50" s="2622"/>
      <c r="C50" s="2622"/>
      <c r="D50" s="2622"/>
      <c r="E50" s="2622"/>
      <c r="F50" s="2622"/>
      <c r="G50" s="2622"/>
      <c r="H50" s="2622"/>
      <c r="I50" s="2622"/>
      <c r="J50" s="2622"/>
      <c r="K50" s="2622"/>
      <c r="L50" s="2622"/>
      <c r="M50" s="2622"/>
      <c r="N50" s="199"/>
      <c r="O50" s="198"/>
    </row>
    <row r="51" spans="1:15" x14ac:dyDescent="0.2">
      <c r="A51" s="196"/>
      <c r="B51" s="2622"/>
      <c r="C51" s="2622"/>
      <c r="D51" s="2622"/>
      <c r="E51" s="2622"/>
      <c r="F51" s="2622"/>
      <c r="G51" s="2622"/>
      <c r="H51" s="2622"/>
      <c r="I51" s="2622"/>
      <c r="J51" s="2622"/>
      <c r="K51" s="2622"/>
      <c r="L51" s="2622"/>
      <c r="M51" s="2622"/>
      <c r="N51" s="199"/>
      <c r="O51" s="198"/>
    </row>
    <row r="52" spans="1:15" x14ac:dyDescent="0.2">
      <c r="A52" s="196"/>
      <c r="B52" s="2622"/>
      <c r="C52" s="2622"/>
      <c r="D52" s="2622"/>
      <c r="E52" s="2622"/>
      <c r="F52" s="2622"/>
      <c r="G52" s="2622"/>
      <c r="H52" s="2622"/>
      <c r="I52" s="2622"/>
      <c r="J52" s="2622"/>
      <c r="K52" s="2622"/>
      <c r="L52" s="2622"/>
      <c r="M52" s="2622"/>
      <c r="N52" s="199"/>
      <c r="O52" s="198"/>
    </row>
    <row r="53" spans="1:15" x14ac:dyDescent="0.2">
      <c r="A53" s="196"/>
      <c r="B53" s="2622"/>
      <c r="C53" s="2622"/>
      <c r="D53" s="2622"/>
      <c r="E53" s="2622"/>
      <c r="F53" s="2622"/>
      <c r="G53" s="2622"/>
      <c r="H53" s="2622"/>
      <c r="I53" s="2622"/>
      <c r="J53" s="2622"/>
      <c r="K53" s="2622"/>
      <c r="L53" s="2622"/>
      <c r="M53" s="2622"/>
      <c r="N53" s="199"/>
      <c r="O53" s="198"/>
    </row>
    <row r="54" spans="1:15" x14ac:dyDescent="0.2">
      <c r="A54" s="196"/>
      <c r="B54" s="2622"/>
      <c r="C54" s="2622"/>
      <c r="D54" s="2622"/>
      <c r="E54" s="2622"/>
      <c r="F54" s="2622"/>
      <c r="G54" s="2622"/>
      <c r="H54" s="2622"/>
      <c r="I54" s="2622"/>
      <c r="J54" s="2622"/>
      <c r="K54" s="2622"/>
      <c r="L54" s="2622"/>
      <c r="M54" s="2622"/>
      <c r="N54" s="199"/>
      <c r="O54" s="198"/>
    </row>
    <row r="55" spans="1:15" x14ac:dyDescent="0.2">
      <c r="A55" s="196"/>
      <c r="B55" s="2622"/>
      <c r="C55" s="2622"/>
      <c r="D55" s="2622"/>
      <c r="E55" s="2622"/>
      <c r="F55" s="2622"/>
      <c r="G55" s="2622"/>
      <c r="H55" s="2622"/>
      <c r="I55" s="2622"/>
      <c r="J55" s="2622"/>
      <c r="K55" s="2622"/>
      <c r="L55" s="2622"/>
      <c r="M55" s="2622"/>
      <c r="N55" s="199"/>
      <c r="O55" s="198"/>
    </row>
    <row r="56" spans="1:15" x14ac:dyDescent="0.2">
      <c r="A56" s="196"/>
      <c r="B56" s="2622"/>
      <c r="C56" s="2622"/>
      <c r="D56" s="2622"/>
      <c r="E56" s="2622"/>
      <c r="F56" s="2622"/>
      <c r="G56" s="2622"/>
      <c r="H56" s="2622"/>
      <c r="I56" s="2622"/>
      <c r="J56" s="2622"/>
      <c r="K56" s="2622"/>
      <c r="L56" s="2622"/>
      <c r="M56" s="2622"/>
      <c r="N56" s="199"/>
      <c r="O56" s="198"/>
    </row>
    <row r="57" spans="1:15" x14ac:dyDescent="0.2">
      <c r="A57" s="196"/>
      <c r="N57" s="199"/>
      <c r="O57" s="198"/>
    </row>
    <row r="58" spans="1:15" x14ac:dyDescent="0.2">
      <c r="A58" s="196"/>
      <c r="N58" s="199"/>
      <c r="O58" s="198"/>
    </row>
    <row r="59" spans="1:15" x14ac:dyDescent="0.2">
      <c r="A59" s="196"/>
      <c r="J59" s="2623"/>
      <c r="K59" s="2623"/>
      <c r="L59" s="2623"/>
      <c r="M59" s="300"/>
      <c r="N59" s="199"/>
      <c r="O59" s="198"/>
    </row>
    <row r="60" spans="1:15" x14ac:dyDescent="0.2">
      <c r="A60" s="196"/>
      <c r="I60" s="210"/>
      <c r="N60" s="199"/>
      <c r="O60" s="198"/>
    </row>
    <row r="61" spans="1:15" x14ac:dyDescent="0.2">
      <c r="A61" s="196"/>
      <c r="N61" s="199"/>
      <c r="O61" s="198"/>
    </row>
    <row r="62" spans="1:15" x14ac:dyDescent="0.2">
      <c r="A62" s="196"/>
      <c r="B62" s="2617"/>
      <c r="C62" s="2582"/>
      <c r="D62" s="2582"/>
      <c r="E62" s="2582"/>
      <c r="F62" s="2582"/>
      <c r="G62" s="2582"/>
      <c r="H62" s="2582"/>
      <c r="I62" s="2582"/>
      <c r="J62" s="746"/>
      <c r="K62" s="2617"/>
      <c r="L62" s="2582"/>
      <c r="M62" s="2582"/>
      <c r="N62" s="199"/>
      <c r="O62" s="198"/>
    </row>
    <row r="63" spans="1:15" x14ac:dyDescent="0.2">
      <c r="A63" s="196"/>
      <c r="B63" s="201" t="s">
        <v>102</v>
      </c>
      <c r="C63"/>
      <c r="D63"/>
      <c r="E63"/>
      <c r="F63"/>
      <c r="G63"/>
      <c r="H63"/>
      <c r="I63"/>
      <c r="J63"/>
      <c r="K63" s="2615" t="s">
        <v>151</v>
      </c>
      <c r="L63" s="2615"/>
      <c r="M63" s="2615"/>
      <c r="N63" s="199"/>
      <c r="O63" s="198"/>
    </row>
    <row r="64" spans="1:15" x14ac:dyDescent="0.2">
      <c r="A64" s="211"/>
      <c r="B64" s="314"/>
      <c r="C64" s="314"/>
      <c r="D64" s="314"/>
      <c r="E64" s="314"/>
      <c r="F64" s="314"/>
      <c r="G64" s="314"/>
      <c r="H64" s="314"/>
      <c r="I64" s="314"/>
      <c r="J64" s="315"/>
      <c r="K64" s="2616" t="s">
        <v>446</v>
      </c>
      <c r="L64" s="2616"/>
      <c r="M64" s="2616"/>
      <c r="N64" s="212"/>
      <c r="O64" s="198"/>
    </row>
  </sheetData>
  <sheetProtection algorithmName="SHA-512" hashValue="Kq0hCGQr8FZV8+fLSmn27USV95cXDe4jyaSUxhQEO8x6nRGRZUKS281K0oE/s6qAoIjPMr9JyMSMLBOmxjQZpg==" saltValue="t5DODYjn2UzZ84Yi0zkChg==" spinCount="100000" sheet="1" objects="1" scenarios="1"/>
  <mergeCells count="16">
    <mergeCell ref="A1:N1"/>
    <mergeCell ref="A2:N2"/>
    <mergeCell ref="A3:N3"/>
    <mergeCell ref="B6:G6"/>
    <mergeCell ref="L6:M6"/>
    <mergeCell ref="K63:M63"/>
    <mergeCell ref="K64:M64"/>
    <mergeCell ref="K62:M62"/>
    <mergeCell ref="B62:I62"/>
    <mergeCell ref="B8:M8"/>
    <mergeCell ref="F20:L20"/>
    <mergeCell ref="F24:L24"/>
    <mergeCell ref="B38:M56"/>
    <mergeCell ref="J59:L59"/>
    <mergeCell ref="F22:L22"/>
    <mergeCell ref="F26:L26"/>
  </mergeCells>
  <pageMargins left="0.70866141732283472" right="0.70866141732283472" top="0.78740157480314965" bottom="0.78740157480314965" header="0.31496062992125984" footer="0.31496062992125984"/>
  <pageSetup paperSize="9" scale="79" orientation="portrait"/>
  <headerFooter>
    <oddHeader>&amp;C&amp;9Bewohnervertretung</oddHeader>
    <oddFooter>&amp;L&amp;8Version: 24.04.2026&amp;C&amp;8Verhandlungsunterlagen vollstationär SGB XI ab 01.07.2026&amp;R&amp;8PSK vom 24.04.2026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8E86-4219-409A-BBBB-C35D22EE036B}">
  <sheetPr>
    <pageSetUpPr fitToPage="1"/>
  </sheetPr>
  <dimension ref="A1:D79"/>
  <sheetViews>
    <sheetView showGridLines="0" zoomScaleNormal="100" zoomScaleSheetLayoutView="90" workbookViewId="0">
      <selection activeCell="G15" sqref="G15"/>
    </sheetView>
  </sheetViews>
  <sheetFormatPr baseColWidth="10" defaultColWidth="10" defaultRowHeight="31.5" customHeight="1" x14ac:dyDescent="0.3"/>
  <cols>
    <col min="1" max="1" width="20.5" style="2279" customWidth="1"/>
    <col min="2" max="2" width="65.75" style="2279" customWidth="1"/>
    <col min="3" max="3" width="52" style="2279" customWidth="1"/>
    <col min="4" max="10" width="10" style="2269" customWidth="1"/>
    <col min="11" max="16384" width="10" style="2269"/>
  </cols>
  <sheetData>
    <row r="1" spans="1:4" ht="31.5" customHeight="1" thickBot="1" x14ac:dyDescent="0.35">
      <c r="A1" s="2651" t="s">
        <v>1163</v>
      </c>
      <c r="B1" s="2652"/>
      <c r="C1" s="2653"/>
      <c r="D1" s="2268"/>
    </row>
    <row r="2" spans="1:4" ht="15.75" x14ac:dyDescent="0.3">
      <c r="A2" s="2270"/>
      <c r="B2" s="2270"/>
      <c r="C2" s="2270"/>
      <c r="D2" s="2271"/>
    </row>
    <row r="3" spans="1:4" s="2272" customFormat="1" ht="31.5" customHeight="1" x14ac:dyDescent="0.2">
      <c r="A3" s="2654" t="s">
        <v>1164</v>
      </c>
      <c r="B3" s="2654"/>
      <c r="C3" s="2654"/>
      <c r="D3" s="2252"/>
    </row>
    <row r="4" spans="1:4" s="2272" customFormat="1" ht="15" x14ac:dyDescent="0.2">
      <c r="A4" s="2273"/>
      <c r="B4" s="2273"/>
      <c r="C4" s="2273"/>
    </row>
    <row r="5" spans="1:4" s="2272" customFormat="1" ht="15" x14ac:dyDescent="0.2">
      <c r="A5" s="2251" t="s">
        <v>207</v>
      </c>
      <c r="B5" s="2654" t="s">
        <v>1165</v>
      </c>
      <c r="C5" s="2654"/>
    </row>
    <row r="6" spans="1:4" s="2272" customFormat="1" ht="15" x14ac:dyDescent="0.2">
      <c r="A6" s="2273"/>
      <c r="B6" s="2654" t="s">
        <v>1166</v>
      </c>
      <c r="C6" s="2654"/>
    </row>
    <row r="7" spans="1:4" s="2272" customFormat="1" ht="15" x14ac:dyDescent="0.2">
      <c r="A7" s="2650" t="s">
        <v>208</v>
      </c>
      <c r="B7" s="2650"/>
      <c r="C7" s="2650"/>
    </row>
    <row r="8" spans="1:4" s="2272" customFormat="1" ht="15.75" thickBot="1" x14ac:dyDescent="0.3">
      <c r="A8" s="2270"/>
      <c r="B8" s="2270"/>
      <c r="C8" s="2270"/>
    </row>
    <row r="9" spans="1:4" s="2272" customFormat="1" ht="31.5" customHeight="1" thickBot="1" x14ac:dyDescent="0.25">
      <c r="A9" s="2274" t="s">
        <v>209</v>
      </c>
      <c r="B9" s="2253" t="s">
        <v>210</v>
      </c>
      <c r="C9" s="2253" t="s">
        <v>211</v>
      </c>
    </row>
    <row r="10" spans="1:4" ht="15" x14ac:dyDescent="0.3">
      <c r="A10" s="2642" t="s">
        <v>57</v>
      </c>
      <c r="B10" s="2248" t="s">
        <v>1210</v>
      </c>
      <c r="C10" s="2249" t="s">
        <v>1244</v>
      </c>
    </row>
    <row r="11" spans="1:4" ht="25.5" x14ac:dyDescent="0.3">
      <c r="A11" s="2640"/>
      <c r="B11" s="2248" t="s">
        <v>1211</v>
      </c>
      <c r="C11" s="2249" t="s">
        <v>1245</v>
      </c>
    </row>
    <row r="12" spans="1:4" ht="25.5" x14ac:dyDescent="0.3">
      <c r="A12" s="2640"/>
      <c r="B12" s="2248" t="s">
        <v>1212</v>
      </c>
      <c r="C12" s="2256" t="s">
        <v>1246</v>
      </c>
    </row>
    <row r="13" spans="1:4" ht="15" x14ac:dyDescent="0.3">
      <c r="A13" s="2640"/>
      <c r="B13" s="2248" t="s">
        <v>1213</v>
      </c>
      <c r="C13" s="2256"/>
    </row>
    <row r="14" spans="1:4" ht="15.75" thickBot="1" x14ac:dyDescent="0.35">
      <c r="A14" s="2640"/>
      <c r="B14" s="2250" t="s">
        <v>1214</v>
      </c>
      <c r="C14" s="2257"/>
    </row>
    <row r="15" spans="1:4" ht="38.25" x14ac:dyDescent="0.3">
      <c r="A15" s="2642" t="s">
        <v>212</v>
      </c>
      <c r="B15" s="2258" t="s">
        <v>1215</v>
      </c>
      <c r="C15" s="2256" t="s">
        <v>1251</v>
      </c>
    </row>
    <row r="16" spans="1:4" ht="38.25" x14ac:dyDescent="0.3">
      <c r="A16" s="2640"/>
      <c r="B16" s="2256" t="s">
        <v>1247</v>
      </c>
      <c r="C16" s="2256" t="s">
        <v>1252</v>
      </c>
    </row>
    <row r="17" spans="1:4" ht="38.25" x14ac:dyDescent="0.3">
      <c r="A17" s="2640"/>
      <c r="B17" s="2249" t="s">
        <v>1248</v>
      </c>
      <c r="C17" s="2256" t="s">
        <v>1253</v>
      </c>
    </row>
    <row r="18" spans="1:4" ht="25.5" x14ac:dyDescent="0.3">
      <c r="A18" s="2640"/>
      <c r="B18" s="2256" t="s">
        <v>1249</v>
      </c>
      <c r="C18" s="2249" t="s">
        <v>1254</v>
      </c>
      <c r="D18" s="2275"/>
    </row>
    <row r="19" spans="1:4" ht="38.25" x14ac:dyDescent="0.3">
      <c r="A19" s="2641"/>
      <c r="B19" s="2260" t="s">
        <v>1250</v>
      </c>
      <c r="C19" s="2260" t="s">
        <v>1255</v>
      </c>
    </row>
    <row r="20" spans="1:4" ht="31.5" customHeight="1" x14ac:dyDescent="0.3">
      <c r="A20" s="2642" t="s">
        <v>213</v>
      </c>
      <c r="B20" s="2249" t="s">
        <v>1256</v>
      </c>
      <c r="C20" s="2256" t="s">
        <v>1260</v>
      </c>
    </row>
    <row r="21" spans="1:4" ht="31.5" customHeight="1" x14ac:dyDescent="0.3">
      <c r="A21" s="2640"/>
      <c r="B21" s="2256" t="s">
        <v>1257</v>
      </c>
      <c r="C21" s="2256" t="s">
        <v>1261</v>
      </c>
    </row>
    <row r="22" spans="1:4" ht="42" customHeight="1" x14ac:dyDescent="0.3">
      <c r="A22" s="2640"/>
      <c r="B22" s="2256" t="s">
        <v>1258</v>
      </c>
      <c r="C22" s="2256" t="s">
        <v>1262</v>
      </c>
    </row>
    <row r="23" spans="1:4" ht="31.5" customHeight="1" thickBot="1" x14ac:dyDescent="0.35">
      <c r="A23" s="2640"/>
      <c r="B23" s="2261" t="s">
        <v>1259</v>
      </c>
      <c r="C23" s="2256" t="s">
        <v>1263</v>
      </c>
    </row>
    <row r="24" spans="1:4" ht="31.5" customHeight="1" x14ac:dyDescent="0.3">
      <c r="A24" s="2642" t="s">
        <v>65</v>
      </c>
      <c r="B24" s="2256" t="s">
        <v>1264</v>
      </c>
      <c r="C24" s="2643"/>
    </row>
    <row r="25" spans="1:4" ht="31.5" customHeight="1" thickBot="1" x14ac:dyDescent="0.35">
      <c r="A25" s="2641"/>
      <c r="B25" s="2260" t="s">
        <v>1265</v>
      </c>
      <c r="C25" s="2644"/>
    </row>
    <row r="26" spans="1:4" ht="15" x14ac:dyDescent="0.3">
      <c r="A26" s="2642" t="s">
        <v>67</v>
      </c>
      <c r="B26" s="2248" t="s">
        <v>1219</v>
      </c>
      <c r="C26" s="2248" t="s">
        <v>1216</v>
      </c>
    </row>
    <row r="27" spans="1:4" ht="18" x14ac:dyDescent="0.3">
      <c r="A27" s="2640"/>
      <c r="B27" s="2248" t="s">
        <v>1220</v>
      </c>
      <c r="C27" s="2248" t="s">
        <v>1217</v>
      </c>
    </row>
    <row r="28" spans="1:4" ht="18" x14ac:dyDescent="0.3">
      <c r="A28" s="2640"/>
      <c r="B28" s="2248" t="s">
        <v>1221</v>
      </c>
      <c r="C28" s="2248" t="s">
        <v>1218</v>
      </c>
    </row>
    <row r="29" spans="1:4" ht="15" x14ac:dyDescent="0.3">
      <c r="A29" s="2640"/>
      <c r="B29" s="2248" t="s">
        <v>1222</v>
      </c>
      <c r="C29" s="2262"/>
    </row>
    <row r="30" spans="1:4" ht="15" x14ac:dyDescent="0.3">
      <c r="A30" s="2640"/>
      <c r="B30" s="2248" t="s">
        <v>1223</v>
      </c>
      <c r="C30" s="2262"/>
    </row>
    <row r="31" spans="1:4" ht="15" x14ac:dyDescent="0.3">
      <c r="A31" s="2640"/>
      <c r="B31" s="2248" t="s">
        <v>1224</v>
      </c>
      <c r="C31" s="2262"/>
    </row>
    <row r="32" spans="1:4" ht="15" x14ac:dyDescent="0.3">
      <c r="A32" s="2640"/>
      <c r="B32" s="2248" t="s">
        <v>1225</v>
      </c>
      <c r="C32" s="2262"/>
    </row>
    <row r="33" spans="1:3" ht="15" x14ac:dyDescent="0.3">
      <c r="A33" s="2640"/>
      <c r="B33" s="2248" t="s">
        <v>1226</v>
      </c>
      <c r="C33" s="2262"/>
    </row>
    <row r="34" spans="1:3" ht="15" x14ac:dyDescent="0.3">
      <c r="A34" s="2640"/>
      <c r="B34" s="2248" t="s">
        <v>1227</v>
      </c>
      <c r="C34" s="2262"/>
    </row>
    <row r="35" spans="1:3" ht="15.75" thickBot="1" x14ac:dyDescent="0.35">
      <c r="A35" s="2641"/>
      <c r="B35" s="2263" t="s">
        <v>1228</v>
      </c>
      <c r="C35" s="2264"/>
    </row>
    <row r="36" spans="1:3" ht="31.5" customHeight="1" x14ac:dyDescent="0.3">
      <c r="A36" s="2642" t="s">
        <v>214</v>
      </c>
      <c r="B36" s="2256" t="s">
        <v>1266</v>
      </c>
      <c r="C36" s="2645"/>
    </row>
    <row r="37" spans="1:3" ht="31.5" customHeight="1" x14ac:dyDescent="0.3">
      <c r="A37" s="2640"/>
      <c r="B37" s="2249" t="s">
        <v>1267</v>
      </c>
      <c r="C37" s="2646"/>
    </row>
    <row r="38" spans="1:3" ht="31.5" customHeight="1" x14ac:dyDescent="0.3">
      <c r="A38" s="2640"/>
      <c r="B38" s="2256" t="s">
        <v>1268</v>
      </c>
      <c r="C38" s="2646"/>
    </row>
    <row r="39" spans="1:3" ht="31.5" customHeight="1" thickBot="1" x14ac:dyDescent="0.35">
      <c r="A39" s="2641"/>
      <c r="B39" s="2260" t="s">
        <v>1269</v>
      </c>
      <c r="C39" s="2647"/>
    </row>
    <row r="40" spans="1:3" ht="15" x14ac:dyDescent="0.3">
      <c r="A40" s="2254" t="s">
        <v>215</v>
      </c>
      <c r="B40" s="2248" t="s">
        <v>1229</v>
      </c>
      <c r="C40" s="2643" t="s">
        <v>1241</v>
      </c>
    </row>
    <row r="41" spans="1:3" ht="15" x14ac:dyDescent="0.3">
      <c r="A41" s="2255"/>
      <c r="B41" s="2248" t="s">
        <v>1230</v>
      </c>
      <c r="C41" s="2648"/>
    </row>
    <row r="42" spans="1:3" ht="15" x14ac:dyDescent="0.3">
      <c r="A42" s="2255"/>
      <c r="B42" s="2248" t="s">
        <v>1231</v>
      </c>
      <c r="C42" s="2648"/>
    </row>
    <row r="43" spans="1:3" ht="15" x14ac:dyDescent="0.3">
      <c r="A43" s="2255"/>
      <c r="B43" s="2248" t="s">
        <v>1232</v>
      </c>
      <c r="C43" s="2648"/>
    </row>
    <row r="44" spans="1:3" ht="15" x14ac:dyDescent="0.3">
      <c r="A44" s="2255"/>
      <c r="B44" s="2248" t="s">
        <v>1233</v>
      </c>
      <c r="C44" s="2648"/>
    </row>
    <row r="45" spans="1:3" ht="15" x14ac:dyDescent="0.3">
      <c r="A45" s="2255"/>
      <c r="B45" s="2248" t="s">
        <v>1234</v>
      </c>
      <c r="C45" s="2648"/>
    </row>
    <row r="46" spans="1:3" ht="15" x14ac:dyDescent="0.3">
      <c r="A46" s="2255"/>
      <c r="B46" s="2248" t="s">
        <v>1235</v>
      </c>
      <c r="C46" s="2648"/>
    </row>
    <row r="47" spans="1:3" ht="15" x14ac:dyDescent="0.3">
      <c r="A47" s="2255"/>
      <c r="B47" s="2248" t="s">
        <v>1236</v>
      </c>
      <c r="C47" s="2648"/>
    </row>
    <row r="48" spans="1:3" ht="15" x14ac:dyDescent="0.3">
      <c r="A48" s="2255"/>
      <c r="B48" s="2248" t="s">
        <v>1237</v>
      </c>
      <c r="C48" s="2648"/>
    </row>
    <row r="49" spans="1:3" ht="15" x14ac:dyDescent="0.3">
      <c r="A49" s="2255"/>
      <c r="B49" s="2248" t="s">
        <v>1238</v>
      </c>
      <c r="C49" s="2649"/>
    </row>
    <row r="50" spans="1:3" ht="15" x14ac:dyDescent="0.3">
      <c r="A50" s="2255"/>
      <c r="B50" s="2248" t="s">
        <v>1239</v>
      </c>
      <c r="C50" s="2649"/>
    </row>
    <row r="51" spans="1:3" ht="15.75" thickBot="1" x14ac:dyDescent="0.35">
      <c r="A51" s="2255"/>
      <c r="B51" s="2263" t="s">
        <v>1240</v>
      </c>
      <c r="C51" s="2649"/>
    </row>
    <row r="52" spans="1:3" ht="31.5" customHeight="1" x14ac:dyDescent="0.3">
      <c r="A52" s="2642" t="s">
        <v>216</v>
      </c>
      <c r="B52" s="2256" t="s">
        <v>1270</v>
      </c>
      <c r="C52" s="2636"/>
    </row>
    <row r="53" spans="1:3" ht="31.5" customHeight="1" thickBot="1" x14ac:dyDescent="0.35">
      <c r="A53" s="2641"/>
      <c r="B53" s="2260" t="s">
        <v>1271</v>
      </c>
      <c r="C53" s="2644"/>
    </row>
    <row r="54" spans="1:3" ht="31.5" customHeight="1" thickBot="1" x14ac:dyDescent="0.35">
      <c r="A54" s="2259" t="s">
        <v>217</v>
      </c>
      <c r="B54" s="2260" t="s">
        <v>218</v>
      </c>
      <c r="C54" s="2260"/>
    </row>
    <row r="55" spans="1:3" ht="31.5" customHeight="1" thickBot="1" x14ac:dyDescent="0.35">
      <c r="A55" s="2259" t="s">
        <v>219</v>
      </c>
      <c r="B55" s="2265" t="s">
        <v>1242</v>
      </c>
      <c r="C55" s="2260"/>
    </row>
    <row r="56" spans="1:3" ht="31.5" customHeight="1" thickBot="1" x14ac:dyDescent="0.35">
      <c r="A56" s="2259" t="s">
        <v>283</v>
      </c>
      <c r="B56" s="2260" t="s">
        <v>303</v>
      </c>
      <c r="C56" s="2260" t="s">
        <v>304</v>
      </c>
    </row>
    <row r="57" spans="1:3" ht="31.5" customHeight="1" thickBot="1" x14ac:dyDescent="0.35">
      <c r="A57" s="2259" t="s">
        <v>221</v>
      </c>
      <c r="B57" s="2260" t="s">
        <v>220</v>
      </c>
      <c r="C57" s="2265"/>
    </row>
    <row r="58" spans="1:3" ht="31.5" customHeight="1" thickBot="1" x14ac:dyDescent="0.35">
      <c r="A58" s="2259" t="s">
        <v>222</v>
      </c>
      <c r="B58" s="2260" t="s">
        <v>223</v>
      </c>
      <c r="C58" s="2266"/>
    </row>
    <row r="59" spans="1:3" ht="31.5" customHeight="1" thickBot="1" x14ac:dyDescent="0.35">
      <c r="A59" s="2259" t="s">
        <v>224</v>
      </c>
      <c r="B59" s="2265" t="s">
        <v>1243</v>
      </c>
      <c r="C59" s="2265"/>
    </row>
    <row r="60" spans="1:3" ht="15" x14ac:dyDescent="0.3">
      <c r="A60" s="2254"/>
      <c r="B60" s="2267" t="s">
        <v>1273</v>
      </c>
      <c r="C60" s="2636" t="s">
        <v>1272</v>
      </c>
    </row>
    <row r="61" spans="1:3" ht="15" x14ac:dyDescent="0.3">
      <c r="A61" s="2639" t="s">
        <v>1098</v>
      </c>
      <c r="B61" s="2249" t="s">
        <v>1274</v>
      </c>
      <c r="C61" s="2637"/>
    </row>
    <row r="62" spans="1:3" ht="15" x14ac:dyDescent="0.3">
      <c r="A62" s="2640"/>
      <c r="B62" s="2249" t="s">
        <v>1275</v>
      </c>
      <c r="C62" s="2637"/>
    </row>
    <row r="63" spans="1:3" ht="15" x14ac:dyDescent="0.3">
      <c r="A63" s="2640"/>
      <c r="B63" s="2256" t="s">
        <v>1276</v>
      </c>
      <c r="C63" s="2637"/>
    </row>
    <row r="64" spans="1:3" ht="15" x14ac:dyDescent="0.3">
      <c r="A64" s="2640"/>
      <c r="B64" s="2256" t="s">
        <v>1277</v>
      </c>
      <c r="C64" s="2637"/>
    </row>
    <row r="65" spans="1:3" ht="15" x14ac:dyDescent="0.3">
      <c r="A65" s="2640"/>
      <c r="B65" s="2249" t="s">
        <v>1278</v>
      </c>
      <c r="C65" s="2637"/>
    </row>
    <row r="66" spans="1:3" ht="15" x14ac:dyDescent="0.3">
      <c r="A66" s="2640"/>
      <c r="B66" s="2256" t="s">
        <v>1279</v>
      </c>
      <c r="C66" s="2637"/>
    </row>
    <row r="67" spans="1:3" ht="25.5" x14ac:dyDescent="0.3">
      <c r="A67" s="2640"/>
      <c r="B67" s="2249" t="s">
        <v>1292</v>
      </c>
      <c r="C67" s="2637"/>
    </row>
    <row r="68" spans="1:3" ht="15" x14ac:dyDescent="0.3">
      <c r="A68" s="2640"/>
      <c r="B68" s="2249" t="s">
        <v>1280</v>
      </c>
      <c r="C68" s="2637"/>
    </row>
    <row r="69" spans="1:3" ht="15" x14ac:dyDescent="0.3">
      <c r="A69" s="2640"/>
      <c r="B69" s="2276" t="s">
        <v>1281</v>
      </c>
      <c r="C69" s="2637"/>
    </row>
    <row r="70" spans="1:3" ht="15" x14ac:dyDescent="0.3">
      <c r="A70" s="2640"/>
      <c r="B70" s="2276" t="s">
        <v>1282</v>
      </c>
      <c r="C70" s="2637"/>
    </row>
    <row r="71" spans="1:3" ht="15" x14ac:dyDescent="0.3">
      <c r="A71" s="2640"/>
      <c r="B71" s="2276" t="s">
        <v>1283</v>
      </c>
      <c r="C71" s="2637"/>
    </row>
    <row r="72" spans="1:3" ht="15" x14ac:dyDescent="0.3">
      <c r="A72" s="2640"/>
      <c r="B72" s="2276" t="s">
        <v>1284</v>
      </c>
      <c r="C72" s="2637"/>
    </row>
    <row r="73" spans="1:3" ht="15" x14ac:dyDescent="0.3">
      <c r="A73" s="2640"/>
      <c r="B73" s="2276" t="s">
        <v>1285</v>
      </c>
      <c r="C73" s="2637"/>
    </row>
    <row r="74" spans="1:3" ht="15" x14ac:dyDescent="0.3">
      <c r="A74" s="2640"/>
      <c r="B74" s="2277" t="s">
        <v>1286</v>
      </c>
      <c r="C74" s="2637"/>
    </row>
    <row r="75" spans="1:3" ht="15" x14ac:dyDescent="0.3">
      <c r="A75" s="2640"/>
      <c r="B75" s="2276" t="s">
        <v>1287</v>
      </c>
      <c r="C75" s="2637"/>
    </row>
    <row r="76" spans="1:3" ht="15" x14ac:dyDescent="0.3">
      <c r="A76" s="2640"/>
      <c r="B76" s="2276" t="s">
        <v>1288</v>
      </c>
      <c r="C76" s="2637"/>
    </row>
    <row r="77" spans="1:3" ht="15" x14ac:dyDescent="0.3">
      <c r="A77" s="2640"/>
      <c r="B77" s="2276" t="s">
        <v>1289</v>
      </c>
      <c r="C77" s="2637"/>
    </row>
    <row r="78" spans="1:3" ht="15" x14ac:dyDescent="0.3">
      <c r="A78" s="2640"/>
      <c r="B78" s="2276" t="s">
        <v>1290</v>
      </c>
      <c r="C78" s="2637"/>
    </row>
    <row r="79" spans="1:3" ht="26.25" thickBot="1" x14ac:dyDescent="0.35">
      <c r="A79" s="2641"/>
      <c r="B79" s="2278" t="s">
        <v>1291</v>
      </c>
      <c r="C79" s="2638"/>
    </row>
  </sheetData>
  <sheetProtection algorithmName="SHA-512" hashValue="Jg/xdqgoJ7JexYgwabTbnUF/i9DTbg8h1k5vpignp12rGqp96X877rjni0kjrkWAmGdnaWUUMgHSnhXHP4+w7g==" saltValue="PK2QiPQD38ImsuCB0FVYyg==" spinCount="100000" sheet="1" objects="1" scenarios="1"/>
  <mergeCells count="18">
    <mergeCell ref="A7:C7"/>
    <mergeCell ref="A1:C1"/>
    <mergeCell ref="A3:C3"/>
    <mergeCell ref="B5:C5"/>
    <mergeCell ref="B6:C6"/>
    <mergeCell ref="C60:C79"/>
    <mergeCell ref="A61:A79"/>
    <mergeCell ref="A10:A14"/>
    <mergeCell ref="A15:A19"/>
    <mergeCell ref="A20:A23"/>
    <mergeCell ref="A24:A25"/>
    <mergeCell ref="C24:C25"/>
    <mergeCell ref="A26:A35"/>
    <mergeCell ref="A36:A39"/>
    <mergeCell ref="C36:C39"/>
    <mergeCell ref="C40:C51"/>
    <mergeCell ref="A52:A53"/>
    <mergeCell ref="C52:C53"/>
  </mergeCells>
  <pageMargins left="0.70866141732283472" right="0.70866141732283472" top="0.78740157480314965" bottom="0.78740157480314965" header="0.31496062992125984" footer="0.31496062992125984"/>
  <pageSetup paperSize="9" scale="58" fitToHeight="0" orientation="portrait"/>
  <headerFooter>
    <oddHeader>&amp;C&amp;9&amp;A</oddHeader>
    <oddFooter>&amp;L&amp;9Version: 24.04.2026&amp;C&amp;9Verhandlungsunterlagen vollstationär SGB XI ab 01.07.2026&amp;R&amp;9PSK vom 24.04.2026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pageSetUpPr fitToPage="1"/>
  </sheetPr>
  <dimension ref="A1:S63"/>
  <sheetViews>
    <sheetView showGridLines="0" zoomScaleNormal="100" workbookViewId="0">
      <selection activeCell="G14" sqref="G14"/>
    </sheetView>
  </sheetViews>
  <sheetFormatPr baseColWidth="10" defaultColWidth="10" defaultRowHeight="14.25" x14ac:dyDescent="0.2"/>
  <cols>
    <col min="1" max="2" width="10" style="317"/>
    <col min="3" max="3" width="11" style="317" customWidth="1"/>
    <col min="4" max="4" width="7.625" style="317" customWidth="1"/>
    <col min="5" max="5" width="2.875" style="317" customWidth="1"/>
    <col min="6" max="6" width="2" style="317" customWidth="1"/>
    <col min="7" max="7" width="10.625" style="317" customWidth="1"/>
    <col min="8" max="8" width="10" style="317"/>
    <col min="9" max="9" width="16.25" style="317" customWidth="1"/>
    <col min="10" max="13" width="10" style="198" customWidth="1"/>
    <col min="14" max="14" width="10" style="317" customWidth="1"/>
    <col min="15" max="16384" width="10" style="317"/>
  </cols>
  <sheetData>
    <row r="1" spans="1:19" ht="15" customHeight="1" x14ac:dyDescent="0.2">
      <c r="A1" s="2655" t="s">
        <v>225</v>
      </c>
      <c r="B1" s="2656"/>
      <c r="C1" s="2656"/>
      <c r="D1" s="2656"/>
      <c r="E1" s="2656"/>
      <c r="F1" s="2656"/>
      <c r="G1" s="2656"/>
      <c r="H1" s="2656"/>
      <c r="I1" s="2657"/>
      <c r="J1" s="21"/>
    </row>
    <row r="2" spans="1:19" x14ac:dyDescent="0.2">
      <c r="A2" s="2658"/>
      <c r="B2" s="2659"/>
      <c r="C2" s="2659"/>
      <c r="D2" s="2659"/>
      <c r="E2" s="2659"/>
      <c r="F2" s="2659"/>
      <c r="G2" s="2659"/>
      <c r="H2" s="2659"/>
      <c r="I2" s="2660"/>
      <c r="J2" s="2"/>
    </row>
    <row r="3" spans="1:19" x14ac:dyDescent="0.2">
      <c r="A3" s="2658"/>
      <c r="B3" s="2659"/>
      <c r="C3" s="2659"/>
      <c r="D3" s="2659"/>
      <c r="E3" s="2659"/>
      <c r="F3" s="2659"/>
      <c r="G3" s="2659"/>
      <c r="H3" s="2659"/>
      <c r="I3" s="2660"/>
      <c r="J3" s="624"/>
    </row>
    <row r="4" spans="1:19" x14ac:dyDescent="0.2">
      <c r="A4" s="2661"/>
      <c r="B4" s="2662"/>
      <c r="C4" s="2662"/>
      <c r="D4" s="2662"/>
      <c r="E4" s="2662"/>
      <c r="F4" s="2662"/>
      <c r="G4" s="2662"/>
      <c r="H4" s="2662"/>
      <c r="I4" s="2663"/>
    </row>
    <row r="5" spans="1:19" x14ac:dyDescent="0.2">
      <c r="A5" s="316" t="s">
        <v>226</v>
      </c>
      <c r="I5" s="318"/>
      <c r="J5" s="196"/>
    </row>
    <row r="6" spans="1:19" x14ac:dyDescent="0.2">
      <c r="A6" s="328" t="s">
        <v>1298</v>
      </c>
      <c r="I6" s="318"/>
      <c r="J6" s="196"/>
      <c r="K6" s="625"/>
      <c r="L6" s="625"/>
      <c r="M6" s="625"/>
      <c r="N6" s="398"/>
      <c r="O6" s="398"/>
      <c r="P6" s="398"/>
      <c r="Q6" s="398"/>
      <c r="R6" s="398"/>
      <c r="S6" s="398"/>
    </row>
    <row r="7" spans="1:19" x14ac:dyDescent="0.2">
      <c r="A7" s="328" t="s">
        <v>1296</v>
      </c>
      <c r="E7" s="2101" t="str">
        <f>IF('Allgemeine Angaben'!K59&gt;5,"x","")</f>
        <v/>
      </c>
      <c r="G7" s="403"/>
      <c r="I7" s="318"/>
      <c r="J7" s="196"/>
    </row>
    <row r="8" spans="1:19" x14ac:dyDescent="0.2">
      <c r="A8" s="328" t="s">
        <v>1297</v>
      </c>
      <c r="I8" s="318"/>
      <c r="J8" s="196"/>
    </row>
    <row r="9" spans="1:19" x14ac:dyDescent="0.2">
      <c r="A9" s="316" t="s">
        <v>227</v>
      </c>
      <c r="G9" s="2100" t="s">
        <v>345</v>
      </c>
      <c r="I9" s="318"/>
      <c r="J9" s="196"/>
    </row>
    <row r="10" spans="1:19" x14ac:dyDescent="0.2">
      <c r="A10" s="316" t="s">
        <v>228</v>
      </c>
      <c r="I10" s="318"/>
      <c r="J10" s="196"/>
    </row>
    <row r="11" spans="1:19" x14ac:dyDescent="0.2">
      <c r="A11" s="316"/>
      <c r="I11" s="318"/>
      <c r="J11" s="196"/>
    </row>
    <row r="12" spans="1:19" x14ac:dyDescent="0.2">
      <c r="A12" s="316" t="s">
        <v>229</v>
      </c>
      <c r="E12" s="2101" t="str">
        <f>IF('Allgemeine Angaben'!K62&gt;5,"x","")</f>
        <v/>
      </c>
      <c r="G12" s="742" t="s">
        <v>622</v>
      </c>
      <c r="I12" s="318"/>
    </row>
    <row r="13" spans="1:19" x14ac:dyDescent="0.2">
      <c r="A13" s="316" t="s">
        <v>230</v>
      </c>
      <c r="I13" s="318"/>
    </row>
    <row r="14" spans="1:19" x14ac:dyDescent="0.2">
      <c r="A14" s="316" t="s">
        <v>231</v>
      </c>
      <c r="I14" s="318"/>
    </row>
    <row r="15" spans="1:19" x14ac:dyDescent="0.2">
      <c r="A15" s="316"/>
      <c r="I15" s="318"/>
    </row>
    <row r="16" spans="1:19" x14ac:dyDescent="0.2">
      <c r="A16" s="316" t="s">
        <v>232</v>
      </c>
      <c r="E16" s="2101" t="str">
        <f>IF('Allgemeine Angaben'!K63&gt;5,"x","")</f>
        <v/>
      </c>
      <c r="G16" s="742" t="s">
        <v>623</v>
      </c>
      <c r="I16" s="318"/>
    </row>
    <row r="17" spans="1:10" x14ac:dyDescent="0.2">
      <c r="A17" s="316" t="s">
        <v>233</v>
      </c>
      <c r="I17" s="318"/>
    </row>
    <row r="18" spans="1:10" x14ac:dyDescent="0.2">
      <c r="A18" s="316" t="s">
        <v>234</v>
      </c>
      <c r="I18" s="318"/>
    </row>
    <row r="19" spans="1:10" x14ac:dyDescent="0.2">
      <c r="A19" s="316" t="s">
        <v>235</v>
      </c>
      <c r="I19" s="318"/>
    </row>
    <row r="20" spans="1:10" x14ac:dyDescent="0.2">
      <c r="A20" s="316"/>
      <c r="I20" s="318"/>
    </row>
    <row r="21" spans="1:10" x14ac:dyDescent="0.2">
      <c r="A21" s="316" t="s">
        <v>236</v>
      </c>
      <c r="E21" s="2101" t="str">
        <f>IF('Allgemeine Angaben'!K67&gt;5,"x","")</f>
        <v/>
      </c>
      <c r="G21" s="403" t="s">
        <v>279</v>
      </c>
      <c r="I21" s="318"/>
      <c r="J21" s="626"/>
    </row>
    <row r="22" spans="1:10" x14ac:dyDescent="0.2">
      <c r="A22" s="316" t="s">
        <v>277</v>
      </c>
      <c r="I22" s="318"/>
      <c r="J22" s="201"/>
    </row>
    <row r="23" spans="1:10" x14ac:dyDescent="0.2">
      <c r="A23" s="328" t="s">
        <v>278</v>
      </c>
      <c r="I23" s="318"/>
      <c r="J23" s="201"/>
    </row>
    <row r="24" spans="1:10" x14ac:dyDescent="0.2">
      <c r="A24" s="316"/>
      <c r="I24" s="318"/>
    </row>
    <row r="25" spans="1:10" x14ac:dyDescent="0.2">
      <c r="A25" s="319" t="s">
        <v>237</v>
      </c>
      <c r="I25" s="318"/>
    </row>
    <row r="26" spans="1:10" x14ac:dyDescent="0.2">
      <c r="A26" s="316"/>
      <c r="I26" s="318"/>
    </row>
    <row r="27" spans="1:10" x14ac:dyDescent="0.2">
      <c r="A27" s="316" t="s">
        <v>238</v>
      </c>
      <c r="E27" s="2101" t="str">
        <f>IF('Allgemeine Angaben'!K61&gt;5,"x","")</f>
        <v/>
      </c>
      <c r="G27" s="742" t="s">
        <v>624</v>
      </c>
      <c r="I27" s="318"/>
    </row>
    <row r="28" spans="1:10" x14ac:dyDescent="0.2">
      <c r="A28" s="316" t="s">
        <v>239</v>
      </c>
      <c r="I28" s="318"/>
    </row>
    <row r="29" spans="1:10" x14ac:dyDescent="0.2">
      <c r="A29" s="316" t="s">
        <v>240</v>
      </c>
      <c r="I29" s="318"/>
    </row>
    <row r="30" spans="1:10" x14ac:dyDescent="0.2">
      <c r="A30" s="316" t="s">
        <v>241</v>
      </c>
      <c r="I30" s="318"/>
    </row>
    <row r="31" spans="1:10" x14ac:dyDescent="0.2">
      <c r="A31" s="316"/>
      <c r="I31" s="318"/>
    </row>
    <row r="32" spans="1:10" ht="18" x14ac:dyDescent="0.25">
      <c r="A32" s="319" t="s">
        <v>242</v>
      </c>
      <c r="D32" s="2291"/>
      <c r="G32" s="2292"/>
      <c r="I32" s="318"/>
      <c r="J32" s="624"/>
    </row>
    <row r="33" spans="1:9" x14ac:dyDescent="0.2">
      <c r="A33" s="316"/>
      <c r="G33" s="2293"/>
      <c r="H33" s="2293"/>
      <c r="I33" s="738"/>
    </row>
    <row r="34" spans="1:9" x14ac:dyDescent="0.2">
      <c r="A34" s="316" t="s">
        <v>243</v>
      </c>
      <c r="E34" s="2101" t="str">
        <f>IF('Allgemeine Angaben'!K60&gt;5,"x","")</f>
        <v/>
      </c>
      <c r="G34" s="742" t="s">
        <v>377</v>
      </c>
      <c r="H34" s="2293"/>
      <c r="I34" s="738"/>
    </row>
    <row r="35" spans="1:9" x14ac:dyDescent="0.2">
      <c r="A35" s="316" t="s">
        <v>244</v>
      </c>
      <c r="G35" s="2293"/>
      <c r="H35" s="2293"/>
      <c r="I35" s="738"/>
    </row>
    <row r="36" spans="1:9" x14ac:dyDescent="0.2">
      <c r="A36" s="316" t="s">
        <v>245</v>
      </c>
      <c r="G36" s="2293"/>
      <c r="H36" s="2293"/>
      <c r="I36" s="738"/>
    </row>
    <row r="37" spans="1:9" x14ac:dyDescent="0.2">
      <c r="A37" s="316"/>
      <c r="E37" s="2294"/>
      <c r="F37" s="2294"/>
      <c r="G37" s="2295" t="s">
        <v>625</v>
      </c>
      <c r="H37" s="2293"/>
      <c r="I37" s="738"/>
    </row>
    <row r="38" spans="1:9" x14ac:dyDescent="0.2">
      <c r="A38" s="316"/>
      <c r="I38" s="318"/>
    </row>
    <row r="39" spans="1:9" x14ac:dyDescent="0.2">
      <c r="A39" s="316" t="s">
        <v>369</v>
      </c>
      <c r="E39" s="2101" t="str">
        <f>IF('Allgemeine Angaben'!K60&gt;5,"x","")</f>
        <v/>
      </c>
      <c r="G39" s="403" t="s">
        <v>573</v>
      </c>
      <c r="I39" s="318"/>
    </row>
    <row r="40" spans="1:9" x14ac:dyDescent="0.2">
      <c r="A40" s="316" t="s">
        <v>370</v>
      </c>
      <c r="G40" s="1114"/>
      <c r="I40" s="318"/>
    </row>
    <row r="41" spans="1:9" x14ac:dyDescent="0.2">
      <c r="A41" s="316" t="s">
        <v>371</v>
      </c>
      <c r="G41" s="1114"/>
      <c r="I41" s="318"/>
    </row>
    <row r="42" spans="1:9" x14ac:dyDescent="0.2">
      <c r="A42" s="316" t="s">
        <v>372</v>
      </c>
      <c r="I42" s="318"/>
    </row>
    <row r="43" spans="1:9" x14ac:dyDescent="0.2">
      <c r="A43" s="316"/>
      <c r="I43" s="318"/>
    </row>
    <row r="44" spans="1:9" x14ac:dyDescent="0.2">
      <c r="A44" s="745" t="s">
        <v>373</v>
      </c>
      <c r="B44" s="743"/>
      <c r="C44" s="744"/>
      <c r="I44" s="318"/>
    </row>
    <row r="45" spans="1:9" x14ac:dyDescent="0.2">
      <c r="A45" s="737" t="s">
        <v>374</v>
      </c>
      <c r="B45" s="2293"/>
      <c r="C45" s="738"/>
      <c r="I45" s="318"/>
    </row>
    <row r="46" spans="1:9" x14ac:dyDescent="0.2">
      <c r="A46" s="737" t="s">
        <v>250</v>
      </c>
      <c r="B46" s="2293"/>
      <c r="C46" s="738"/>
      <c r="I46" s="318"/>
    </row>
    <row r="47" spans="1:9" x14ac:dyDescent="0.2">
      <c r="A47" s="737" t="s">
        <v>246</v>
      </c>
      <c r="B47" s="2293"/>
      <c r="C47" s="738"/>
      <c r="I47" s="318"/>
    </row>
    <row r="48" spans="1:9" x14ac:dyDescent="0.2">
      <c r="A48" s="737" t="s">
        <v>247</v>
      </c>
      <c r="B48" s="2293"/>
      <c r="C48" s="738"/>
      <c r="I48" s="318"/>
    </row>
    <row r="49" spans="1:9" x14ac:dyDescent="0.2">
      <c r="A49" s="737" t="s">
        <v>251</v>
      </c>
      <c r="B49" s="2293"/>
      <c r="C49" s="738"/>
      <c r="I49" s="318"/>
    </row>
    <row r="50" spans="1:9" x14ac:dyDescent="0.2">
      <c r="A50" s="741" t="s">
        <v>252</v>
      </c>
      <c r="B50" s="739"/>
      <c r="C50" s="740"/>
      <c r="I50" s="318"/>
    </row>
    <row r="51" spans="1:9" x14ac:dyDescent="0.2">
      <c r="A51" s="316"/>
      <c r="I51" s="318"/>
    </row>
    <row r="52" spans="1:9" hidden="1" x14ac:dyDescent="0.2">
      <c r="A52" s="316"/>
      <c r="G52" s="323"/>
      <c r="H52" s="323"/>
      <c r="I52" s="324"/>
    </row>
    <row r="53" spans="1:9" x14ac:dyDescent="0.2">
      <c r="A53" s="2664" t="s">
        <v>248</v>
      </c>
      <c r="B53" s="2665"/>
      <c r="C53" s="2665"/>
      <c r="E53" s="2102" t="str">
        <f>IF('Allgemeine Angaben'!K64&gt;5,"x","")</f>
        <v/>
      </c>
      <c r="G53" s="742" t="s">
        <v>626</v>
      </c>
      <c r="I53" s="318"/>
    </row>
    <row r="54" spans="1:9" x14ac:dyDescent="0.2">
      <c r="A54" s="316" t="s">
        <v>249</v>
      </c>
      <c r="I54" s="318"/>
    </row>
    <row r="55" spans="1:9" x14ac:dyDescent="0.2">
      <c r="A55" s="328" t="s">
        <v>346</v>
      </c>
      <c r="I55" s="318"/>
    </row>
    <row r="56" spans="1:9" x14ac:dyDescent="0.2">
      <c r="A56" s="328" t="s">
        <v>347</v>
      </c>
      <c r="I56" s="318"/>
    </row>
    <row r="57" spans="1:9" x14ac:dyDescent="0.2">
      <c r="A57" s="316"/>
      <c r="D57" s="2296"/>
      <c r="E57" s="2296"/>
      <c r="F57" s="2296"/>
      <c r="G57" s="2296"/>
      <c r="I57" s="318"/>
    </row>
    <row r="58" spans="1:9" ht="15" hidden="1" x14ac:dyDescent="0.25">
      <c r="A58" s="325"/>
      <c r="D58" s="2296"/>
      <c r="E58" s="2296"/>
      <c r="F58" s="2296"/>
      <c r="G58" s="2296"/>
      <c r="I58" s="318"/>
    </row>
    <row r="59" spans="1:9" ht="23.25" hidden="1" customHeight="1" x14ac:dyDescent="0.75">
      <c r="A59" s="316"/>
      <c r="D59" s="2296"/>
      <c r="E59" s="2296"/>
      <c r="F59" s="2296"/>
      <c r="G59" s="2296"/>
      <c r="I59" s="326"/>
    </row>
    <row r="60" spans="1:9" ht="15" hidden="1" customHeight="1" x14ac:dyDescent="0.2">
      <c r="A60" s="319"/>
      <c r="B60" s="323"/>
      <c r="C60" s="323"/>
      <c r="D60" s="327"/>
      <c r="E60" s="2297"/>
      <c r="F60" s="2296"/>
      <c r="G60" s="746"/>
      <c r="I60" s="318"/>
    </row>
    <row r="61" spans="1:9" ht="15" hidden="1" customHeight="1" x14ac:dyDescent="0.2">
      <c r="A61" s="316"/>
      <c r="D61" s="2296"/>
      <c r="E61" s="2296"/>
      <c r="F61" s="2296"/>
      <c r="G61" s="2296"/>
      <c r="I61" s="318"/>
    </row>
    <row r="62" spans="1:9" ht="15" hidden="1" customHeight="1" x14ac:dyDescent="0.2">
      <c r="A62" s="316"/>
      <c r="I62" s="318"/>
    </row>
    <row r="63" spans="1:9" x14ac:dyDescent="0.2">
      <c r="A63" s="320"/>
      <c r="B63" s="321"/>
      <c r="C63" s="321"/>
      <c r="D63" s="321"/>
      <c r="E63" s="321"/>
      <c r="F63" s="321"/>
      <c r="G63" s="321"/>
      <c r="H63" s="321"/>
      <c r="I63" s="322"/>
    </row>
  </sheetData>
  <sheetProtection algorithmName="SHA-512" hashValue="X53uTdpK/gZ7e9CKNgwofsMk5HroUEX8UO2j3VgRugD6eQXfFYhKuwnbEd97OEeD5qpK7ymrrP3L1kTM2M1mTw==" saltValue="+NTBmKfAMTKt+dbJwMAoCg==" spinCount="100000" sheet="1" objects="1" scenarios="1"/>
  <mergeCells count="2">
    <mergeCell ref="A1:I4"/>
    <mergeCell ref="A53:C53"/>
  </mergeCells>
  <hyperlinks>
    <hyperlink ref="G21" r:id="rId1" xr:uid="{00000000-0004-0000-0C00-000000000000}"/>
    <hyperlink ref="G9" r:id="rId2" xr:uid="{00000000-0004-0000-0C00-000001000000}"/>
    <hyperlink ref="G34" r:id="rId3" xr:uid="{00000000-0004-0000-0C00-000002000000}"/>
    <hyperlink ref="G39" r:id="rId4" display="mailto:pflegesatzverhandlungen_sachsen@barmer.de" xr:uid="{00000000-0004-0000-0C00-000003000000}"/>
    <hyperlink ref="G12" r:id="rId5" xr:uid="{00000000-0004-0000-0C00-000004000000}"/>
    <hyperlink ref="G16" r:id="rId6" xr:uid="{00000000-0004-0000-0C00-000005000000}"/>
    <hyperlink ref="G27" r:id="rId7" xr:uid="{00000000-0004-0000-0C00-000006000000}"/>
    <hyperlink ref="G53" r:id="rId8" xr:uid="{00000000-0004-0000-0C00-000007000000}"/>
  </hyperlinks>
  <pageMargins left="0.70866141732283472" right="0.70866141732283472" top="0.78740157480314965" bottom="0.78740157480314965" header="0.31496062992125984" footer="0.31496062992125984"/>
  <pageSetup paperSize="9" scale="92" orientation="portrait"/>
  <headerFooter>
    <oddHeader>&amp;C&amp;9&amp;A</oddHeader>
    <oddFooter>&amp;L&amp;8Version: 24.04.2026&amp;C&amp;8Verhandlungsunterlagen vollstationär SGB XI ab 01.07.2026&amp;R&amp;8PSK vom 24.04.2026</oddFooter>
  </headerFooter>
  <ignoredErrors>
    <ignoredError sqref="E7 E12 E16 E21 E27 E34 E53 E39"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T61"/>
  <sheetViews>
    <sheetView workbookViewId="0">
      <pane xSplit="6" topLeftCell="G1" activePane="topRight" state="frozen"/>
      <selection pane="topRight" activeCell="LS6" sqref="LS6"/>
    </sheetView>
  </sheetViews>
  <sheetFormatPr baseColWidth="10" defaultColWidth="11.25" defaultRowHeight="14.25" x14ac:dyDescent="0.2"/>
  <cols>
    <col min="1" max="1" width="26.625" style="1495" customWidth="1"/>
    <col min="2" max="4" width="11.25" style="1495"/>
    <col min="5" max="5" width="13.125" style="1495" customWidth="1"/>
    <col min="6" max="30" width="11.25" style="1495"/>
    <col min="31" max="31" width="13.5" style="1495" customWidth="1"/>
    <col min="32" max="120" width="11.25" style="1495"/>
    <col min="121" max="121" width="12.25" style="1495" customWidth="1"/>
    <col min="122" max="131" width="11.25" style="1495"/>
    <col min="132" max="132" width="15.75" style="1495" customWidth="1"/>
    <col min="133" max="219" width="11.25" style="1495"/>
    <col min="220" max="220" width="15.125" style="1495" customWidth="1"/>
    <col min="221" max="239" width="11.25" style="1495"/>
    <col min="240" max="240" width="16.75" style="1495" bestFit="1" customWidth="1"/>
    <col min="241" max="348" width="11.25" style="1495"/>
    <col min="351" max="16384" width="11.25" style="1495"/>
  </cols>
  <sheetData>
    <row r="1" spans="1:358" s="1935" customFormat="1" ht="71.25" x14ac:dyDescent="0.2">
      <c r="A1" s="1934" t="s">
        <v>639</v>
      </c>
      <c r="B1" s="1933" t="s">
        <v>1021</v>
      </c>
      <c r="C1" s="1933" t="s">
        <v>1037</v>
      </c>
      <c r="D1" s="1933" t="s">
        <v>677</v>
      </c>
      <c r="E1" s="1933" t="s">
        <v>678</v>
      </c>
      <c r="F1" s="1933" t="s">
        <v>679</v>
      </c>
      <c r="G1" s="1933" t="s">
        <v>680</v>
      </c>
      <c r="H1" s="1933" t="s">
        <v>681</v>
      </c>
      <c r="I1" s="1933" t="s">
        <v>682</v>
      </c>
      <c r="J1" s="1933" t="s">
        <v>683</v>
      </c>
      <c r="K1" s="1933" t="s">
        <v>684</v>
      </c>
      <c r="L1" s="1933" t="s">
        <v>685</v>
      </c>
      <c r="M1" s="1933" t="s">
        <v>686</v>
      </c>
      <c r="N1" s="1933" t="s">
        <v>163</v>
      </c>
      <c r="O1" s="1933" t="s">
        <v>10</v>
      </c>
      <c r="P1" s="1933" t="s">
        <v>687</v>
      </c>
      <c r="Q1" s="1933" t="s">
        <v>688</v>
      </c>
      <c r="R1" s="1933" t="s">
        <v>689</v>
      </c>
      <c r="S1" s="1933" t="s">
        <v>690</v>
      </c>
      <c r="T1" s="1933" t="s">
        <v>691</v>
      </c>
      <c r="U1" s="1933" t="s">
        <v>692</v>
      </c>
      <c r="V1" s="1933" t="s">
        <v>693</v>
      </c>
      <c r="W1" s="1933" t="s">
        <v>694</v>
      </c>
      <c r="X1" s="1933" t="s">
        <v>695</v>
      </c>
      <c r="Y1" s="1933" t="s">
        <v>644</v>
      </c>
      <c r="Z1" s="1933" t="s">
        <v>645</v>
      </c>
      <c r="AA1" s="1933" t="s">
        <v>572</v>
      </c>
      <c r="AB1" s="1933" t="s">
        <v>696</v>
      </c>
      <c r="AC1" s="1933" t="s">
        <v>697</v>
      </c>
      <c r="AD1" s="1933" t="s">
        <v>698</v>
      </c>
      <c r="AE1" s="1933" t="s">
        <v>699</v>
      </c>
      <c r="AF1" s="1933" t="s">
        <v>700</v>
      </c>
      <c r="AG1" s="1933" t="s">
        <v>701</v>
      </c>
      <c r="AH1" s="1933" t="s">
        <v>702</v>
      </c>
      <c r="AI1" s="1933" t="s">
        <v>703</v>
      </c>
      <c r="AJ1" s="1933" t="s">
        <v>704</v>
      </c>
      <c r="AK1" s="1933" t="s">
        <v>705</v>
      </c>
      <c r="AL1" s="1933" t="s">
        <v>706</v>
      </c>
      <c r="AM1" s="1933" t="s">
        <v>707</v>
      </c>
      <c r="AN1" s="1933" t="s">
        <v>708</v>
      </c>
      <c r="AO1" s="1933" t="s">
        <v>646</v>
      </c>
      <c r="AP1" s="1933" t="s">
        <v>709</v>
      </c>
      <c r="AQ1" s="1936" t="s">
        <v>1022</v>
      </c>
      <c r="AR1" s="1936" t="s">
        <v>710</v>
      </c>
      <c r="AS1" s="1936" t="s">
        <v>711</v>
      </c>
      <c r="AT1" s="1936" t="s">
        <v>712</v>
      </c>
      <c r="AU1" s="1936" t="s">
        <v>713</v>
      </c>
      <c r="AV1" s="1936" t="s">
        <v>714</v>
      </c>
      <c r="AW1" s="1936" t="s">
        <v>715</v>
      </c>
      <c r="AX1" s="1936" t="s">
        <v>716</v>
      </c>
      <c r="AY1" s="1936" t="s">
        <v>717</v>
      </c>
      <c r="AZ1" s="1936" t="s">
        <v>718</v>
      </c>
      <c r="BA1" s="1936" t="s">
        <v>719</v>
      </c>
      <c r="BB1" s="1936" t="s">
        <v>720</v>
      </c>
      <c r="BC1" s="1936" t="s">
        <v>721</v>
      </c>
      <c r="BD1" s="1936" t="s">
        <v>722</v>
      </c>
      <c r="BE1" s="1936" t="s">
        <v>723</v>
      </c>
      <c r="BF1" s="1936" t="s">
        <v>724</v>
      </c>
      <c r="BG1" s="1936" t="s">
        <v>725</v>
      </c>
      <c r="BH1" s="1936" t="s">
        <v>726</v>
      </c>
      <c r="BI1" s="1936" t="s">
        <v>727</v>
      </c>
      <c r="BJ1" s="1936" t="s">
        <v>728</v>
      </c>
      <c r="BK1" s="1936" t="s">
        <v>729</v>
      </c>
      <c r="BL1" s="1936" t="s">
        <v>730</v>
      </c>
      <c r="BM1" s="1936" t="s">
        <v>731</v>
      </c>
      <c r="BN1" s="1936" t="s">
        <v>732</v>
      </c>
      <c r="BO1" s="1936" t="s">
        <v>733</v>
      </c>
      <c r="BP1" s="1936" t="s">
        <v>734</v>
      </c>
      <c r="BQ1" s="1937" t="s">
        <v>735</v>
      </c>
      <c r="BR1" s="1937" t="s">
        <v>736</v>
      </c>
      <c r="BS1" s="1937" t="s">
        <v>737</v>
      </c>
      <c r="BT1" s="1937" t="s">
        <v>738</v>
      </c>
      <c r="BU1" s="1937" t="s">
        <v>739</v>
      </c>
      <c r="BV1" s="1937" t="s">
        <v>740</v>
      </c>
      <c r="BW1" s="1937" t="s">
        <v>741</v>
      </c>
      <c r="BX1" s="1937" t="s">
        <v>742</v>
      </c>
      <c r="BY1" s="1937" t="s">
        <v>743</v>
      </c>
      <c r="BZ1" s="1937" t="s">
        <v>744</v>
      </c>
      <c r="CA1" s="1937" t="s">
        <v>745</v>
      </c>
      <c r="CB1" s="1937" t="s">
        <v>746</v>
      </c>
      <c r="CC1" s="1937" t="s">
        <v>1036</v>
      </c>
      <c r="CD1" s="1937" t="s">
        <v>747</v>
      </c>
      <c r="CE1" s="1937" t="s">
        <v>748</v>
      </c>
      <c r="CF1" s="1937" t="s">
        <v>749</v>
      </c>
      <c r="CG1" s="1937" t="s">
        <v>750</v>
      </c>
      <c r="CH1" s="1937" t="s">
        <v>751</v>
      </c>
      <c r="CI1" s="1937" t="s">
        <v>752</v>
      </c>
      <c r="CJ1" s="1937" t="s">
        <v>753</v>
      </c>
      <c r="CK1" s="1937" t="s">
        <v>754</v>
      </c>
      <c r="CL1" s="1937" t="s">
        <v>755</v>
      </c>
      <c r="CM1" s="1937" t="s">
        <v>756</v>
      </c>
      <c r="CN1" s="1937" t="s">
        <v>757</v>
      </c>
      <c r="CO1" s="1937" t="s">
        <v>758</v>
      </c>
      <c r="CP1" s="1937" t="s">
        <v>759</v>
      </c>
      <c r="CQ1" s="1937" t="s">
        <v>760</v>
      </c>
      <c r="CR1" s="1937" t="s">
        <v>761</v>
      </c>
      <c r="CS1" s="1937" t="s">
        <v>762</v>
      </c>
      <c r="CT1" s="1937" t="s">
        <v>763</v>
      </c>
      <c r="CU1" s="1937" t="s">
        <v>764</v>
      </c>
      <c r="CV1" s="1937" t="s">
        <v>765</v>
      </c>
      <c r="CW1" s="1937" t="s">
        <v>766</v>
      </c>
      <c r="CX1" s="1937" t="s">
        <v>767</v>
      </c>
      <c r="CY1" s="1937" t="s">
        <v>768</v>
      </c>
      <c r="CZ1" s="1937" t="s">
        <v>769</v>
      </c>
      <c r="DA1" s="1937" t="s">
        <v>770</v>
      </c>
      <c r="DB1" s="1937" t="s">
        <v>771</v>
      </c>
      <c r="DC1" s="1937" t="s">
        <v>772</v>
      </c>
      <c r="DD1" s="1937" t="s">
        <v>773</v>
      </c>
      <c r="DE1" s="1937" t="s">
        <v>774</v>
      </c>
      <c r="DF1" s="1937" t="s">
        <v>775</v>
      </c>
      <c r="DG1" s="1937" t="s">
        <v>776</v>
      </c>
      <c r="DH1" s="1937" t="s">
        <v>777</v>
      </c>
      <c r="DI1" s="1937" t="s">
        <v>778</v>
      </c>
      <c r="DJ1" s="1937" t="s">
        <v>779</v>
      </c>
      <c r="DK1" s="1937" t="s">
        <v>780</v>
      </c>
      <c r="DL1" s="1937" t="s">
        <v>781</v>
      </c>
      <c r="DM1" s="1937" t="s">
        <v>782</v>
      </c>
      <c r="DN1" s="1937" t="s">
        <v>783</v>
      </c>
      <c r="DO1" s="1937" t="s">
        <v>784</v>
      </c>
      <c r="DP1" s="1937" t="s">
        <v>785</v>
      </c>
      <c r="DQ1" s="1937" t="s">
        <v>786</v>
      </c>
      <c r="DR1" s="1937" t="s">
        <v>787</v>
      </c>
      <c r="DS1" s="1937" t="s">
        <v>788</v>
      </c>
      <c r="DT1" s="1937" t="s">
        <v>789</v>
      </c>
      <c r="DU1" s="1937" t="s">
        <v>790</v>
      </c>
      <c r="DV1" s="1937" t="s">
        <v>791</v>
      </c>
      <c r="DW1" s="1937" t="s">
        <v>792</v>
      </c>
      <c r="DX1" s="1937" t="s">
        <v>793</v>
      </c>
      <c r="DY1" s="1937" t="s">
        <v>794</v>
      </c>
      <c r="DZ1" s="1937" t="s">
        <v>795</v>
      </c>
      <c r="EA1" s="1937" t="s">
        <v>796</v>
      </c>
      <c r="EB1" s="1948" t="s">
        <v>797</v>
      </c>
      <c r="EC1" s="1948" t="s">
        <v>798</v>
      </c>
      <c r="ED1" s="1948" t="s">
        <v>799</v>
      </c>
      <c r="EE1" s="1948" t="s">
        <v>800</v>
      </c>
      <c r="EF1" s="2004" t="s">
        <v>801</v>
      </c>
      <c r="EG1" s="2004" t="s">
        <v>802</v>
      </c>
      <c r="EH1" s="2004" t="s">
        <v>803</v>
      </c>
      <c r="EI1" s="2004" t="s">
        <v>804</v>
      </c>
      <c r="EJ1" s="2004" t="s">
        <v>805</v>
      </c>
      <c r="EK1" s="2004" t="s">
        <v>806</v>
      </c>
      <c r="EL1" s="2004" t="s">
        <v>807</v>
      </c>
      <c r="EM1" s="2004" t="s">
        <v>808</v>
      </c>
      <c r="EN1" s="2004" t="s">
        <v>809</v>
      </c>
      <c r="EO1" s="2004" t="s">
        <v>810</v>
      </c>
      <c r="EP1" s="2004" t="s">
        <v>811</v>
      </c>
      <c r="EQ1" s="2004" t="s">
        <v>812</v>
      </c>
      <c r="ER1" s="2004" t="s">
        <v>813</v>
      </c>
      <c r="ES1" s="2004" t="s">
        <v>814</v>
      </c>
      <c r="ET1" s="2004" t="s">
        <v>815</v>
      </c>
      <c r="EU1" s="2004" t="s">
        <v>816</v>
      </c>
      <c r="EV1" s="2005" t="s">
        <v>817</v>
      </c>
      <c r="EW1" s="2004" t="s">
        <v>818</v>
      </c>
      <c r="EX1" s="2004" t="s">
        <v>819</v>
      </c>
      <c r="EY1" s="2004" t="s">
        <v>820</v>
      </c>
      <c r="EZ1" s="2004" t="s">
        <v>821</v>
      </c>
      <c r="FA1" s="2004" t="s">
        <v>822</v>
      </c>
      <c r="FB1" s="2004" t="s">
        <v>823</v>
      </c>
      <c r="FC1" s="2004" t="s">
        <v>824</v>
      </c>
      <c r="FD1" s="2004" t="s">
        <v>825</v>
      </c>
      <c r="FE1" s="2004" t="s">
        <v>826</v>
      </c>
      <c r="FF1" s="2004" t="s">
        <v>827</v>
      </c>
      <c r="FG1" s="2004" t="s">
        <v>828</v>
      </c>
      <c r="FH1" s="2004" t="s">
        <v>829</v>
      </c>
      <c r="FI1" s="2004" t="s">
        <v>830</v>
      </c>
      <c r="FJ1" s="2004" t="s">
        <v>831</v>
      </c>
      <c r="FK1" s="2004" t="s">
        <v>832</v>
      </c>
      <c r="FL1" s="2004" t="s">
        <v>833</v>
      </c>
      <c r="FM1" s="2004" t="s">
        <v>834</v>
      </c>
      <c r="FN1" s="2004" t="s">
        <v>835</v>
      </c>
      <c r="FO1" s="2004" t="s">
        <v>836</v>
      </c>
      <c r="FP1" s="2004" t="s">
        <v>837</v>
      </c>
      <c r="FQ1" s="2004" t="s">
        <v>838</v>
      </c>
      <c r="FR1" s="2004" t="s">
        <v>839</v>
      </c>
      <c r="FS1" s="2004" t="s">
        <v>840</v>
      </c>
      <c r="FT1" s="2004" t="s">
        <v>841</v>
      </c>
      <c r="FU1" s="2004" t="s">
        <v>842</v>
      </c>
      <c r="FV1" s="2004" t="s">
        <v>843</v>
      </c>
      <c r="FW1" s="2004" t="s">
        <v>844</v>
      </c>
      <c r="FX1" s="2004" t="s">
        <v>845</v>
      </c>
      <c r="FY1" s="2004" t="s">
        <v>846</v>
      </c>
      <c r="FZ1" s="2004" t="s">
        <v>847</v>
      </c>
      <c r="GA1" s="2004" t="s">
        <v>848</v>
      </c>
      <c r="GB1" s="2004" t="s">
        <v>849</v>
      </c>
      <c r="GC1" s="2004" t="s">
        <v>850</v>
      </c>
      <c r="GD1" s="2004" t="s">
        <v>851</v>
      </c>
      <c r="GE1" s="2004" t="s">
        <v>852</v>
      </c>
      <c r="GF1" s="2004" t="s">
        <v>853</v>
      </c>
      <c r="GG1" s="2004" t="s">
        <v>854</v>
      </c>
      <c r="GH1" s="2004" t="s">
        <v>855</v>
      </c>
      <c r="GI1" s="2004" t="s">
        <v>856</v>
      </c>
      <c r="GJ1" s="2004" t="s">
        <v>857</v>
      </c>
      <c r="GK1" s="2004" t="s">
        <v>858</v>
      </c>
      <c r="GL1" s="2004" t="s">
        <v>859</v>
      </c>
      <c r="GM1" s="2004" t="s">
        <v>860</v>
      </c>
      <c r="GN1" s="2004" t="s">
        <v>861</v>
      </c>
      <c r="GO1" s="2004" t="s">
        <v>862</v>
      </c>
      <c r="GP1" s="2004" t="s">
        <v>863</v>
      </c>
      <c r="GQ1" s="2006" t="s">
        <v>864</v>
      </c>
      <c r="GR1" s="2004" t="s">
        <v>865</v>
      </c>
      <c r="GS1" s="2004" t="s">
        <v>866</v>
      </c>
      <c r="GT1" s="2004" t="s">
        <v>867</v>
      </c>
      <c r="GU1" s="2004" t="s">
        <v>868</v>
      </c>
      <c r="GV1" s="2004" t="s">
        <v>869</v>
      </c>
      <c r="GW1" s="2004" t="s">
        <v>870</v>
      </c>
      <c r="GX1" s="2004" t="s">
        <v>871</v>
      </c>
      <c r="GY1" s="2004" t="s">
        <v>872</v>
      </c>
      <c r="GZ1" s="2004" t="s">
        <v>873</v>
      </c>
      <c r="HA1" s="2004" t="s">
        <v>874</v>
      </c>
      <c r="HB1" s="2004" t="s">
        <v>875</v>
      </c>
      <c r="HC1" s="2004" t="s">
        <v>876</v>
      </c>
      <c r="HD1" s="2004" t="s">
        <v>877</v>
      </c>
      <c r="HE1" s="2004" t="s">
        <v>878</v>
      </c>
      <c r="HF1" s="2004" t="s">
        <v>879</v>
      </c>
      <c r="HG1" s="2004" t="s">
        <v>880</v>
      </c>
      <c r="HH1" s="2004" t="s">
        <v>881</v>
      </c>
      <c r="HI1" s="2004" t="s">
        <v>882</v>
      </c>
      <c r="HJ1" s="2004" t="s">
        <v>883</v>
      </c>
      <c r="HK1" s="1949" t="s">
        <v>884</v>
      </c>
      <c r="HL1" s="1949" t="s">
        <v>885</v>
      </c>
      <c r="HM1" s="1949" t="s">
        <v>886</v>
      </c>
      <c r="HN1" s="2046" t="s">
        <v>1032</v>
      </c>
      <c r="HO1" s="1949" t="s">
        <v>887</v>
      </c>
      <c r="HP1" s="1949" t="s">
        <v>888</v>
      </c>
      <c r="HQ1" s="1949" t="s">
        <v>889</v>
      </c>
      <c r="HR1" s="1949" t="s">
        <v>890</v>
      </c>
      <c r="HS1" s="1949" t="s">
        <v>891</v>
      </c>
      <c r="HT1" s="1949" t="s">
        <v>892</v>
      </c>
      <c r="HU1" s="1949" t="s">
        <v>893</v>
      </c>
      <c r="HV1" s="1949" t="s">
        <v>894</v>
      </c>
      <c r="HW1" s="1949" t="s">
        <v>895</v>
      </c>
      <c r="HX1" s="1949" t="s">
        <v>896</v>
      </c>
      <c r="HY1" s="1949" t="s">
        <v>897</v>
      </c>
      <c r="HZ1" s="1949" t="s">
        <v>898</v>
      </c>
      <c r="IA1" s="1949" t="s">
        <v>899</v>
      </c>
      <c r="IB1" s="1949" t="s">
        <v>900</v>
      </c>
      <c r="IC1" s="1949" t="s">
        <v>901</v>
      </c>
      <c r="ID1" s="1949" t="s">
        <v>902</v>
      </c>
      <c r="IE1" s="1949" t="s">
        <v>903</v>
      </c>
      <c r="IF1" s="1949" t="s">
        <v>904</v>
      </c>
      <c r="IG1" s="1949" t="s">
        <v>905</v>
      </c>
      <c r="IH1" s="1949" t="s">
        <v>906</v>
      </c>
      <c r="II1" s="1949" t="s">
        <v>907</v>
      </c>
      <c r="IJ1" s="1949" t="s">
        <v>908</v>
      </c>
      <c r="IK1" s="1949" t="s">
        <v>909</v>
      </c>
      <c r="IL1" s="1949" t="s">
        <v>910</v>
      </c>
      <c r="IM1" s="1949" t="s">
        <v>911</v>
      </c>
      <c r="IN1" s="1949" t="s">
        <v>912</v>
      </c>
      <c r="IO1" s="1949" t="s">
        <v>913</v>
      </c>
      <c r="IP1" s="1949" t="s">
        <v>914</v>
      </c>
      <c r="IQ1" s="1949" t="s">
        <v>915</v>
      </c>
      <c r="IR1" s="1949" t="s">
        <v>916</v>
      </c>
      <c r="IS1" s="1949" t="s">
        <v>917</v>
      </c>
      <c r="IT1" s="1949" t="s">
        <v>918</v>
      </c>
      <c r="IU1" s="1949" t="s">
        <v>919</v>
      </c>
      <c r="IV1" s="1949" t="s">
        <v>920</v>
      </c>
      <c r="IW1" s="1949" t="s">
        <v>921</v>
      </c>
      <c r="IX1" s="1949" t="s">
        <v>922</v>
      </c>
      <c r="IY1" s="1949" t="s">
        <v>923</v>
      </c>
      <c r="IZ1" s="1949" t="s">
        <v>924</v>
      </c>
      <c r="JA1" s="1949" t="s">
        <v>925</v>
      </c>
      <c r="JB1" s="1949" t="s">
        <v>926</v>
      </c>
      <c r="JC1" s="1949" t="s">
        <v>927</v>
      </c>
      <c r="JD1" s="1949" t="s">
        <v>928</v>
      </c>
      <c r="JE1" s="1949" t="s">
        <v>929</v>
      </c>
      <c r="JF1" s="1949" t="s">
        <v>930</v>
      </c>
      <c r="JG1" s="1949" t="s">
        <v>931</v>
      </c>
      <c r="JH1" s="1949" t="s">
        <v>932</v>
      </c>
      <c r="JI1" s="1949" t="s">
        <v>933</v>
      </c>
      <c r="JJ1" s="1949" t="s">
        <v>934</v>
      </c>
      <c r="JK1" s="1949" t="s">
        <v>935</v>
      </c>
      <c r="JL1" s="1949" t="s">
        <v>936</v>
      </c>
      <c r="JM1" s="1949" t="s">
        <v>937</v>
      </c>
      <c r="JN1" s="1949" t="s">
        <v>938</v>
      </c>
      <c r="JO1" s="1949" t="s">
        <v>939</v>
      </c>
      <c r="JP1" s="1949" t="s">
        <v>940</v>
      </c>
      <c r="JQ1" s="1949" t="s">
        <v>941</v>
      </c>
      <c r="JR1" s="1949" t="s">
        <v>942</v>
      </c>
      <c r="JS1" s="1949" t="s">
        <v>943</v>
      </c>
      <c r="JT1" s="1949" t="s">
        <v>944</v>
      </c>
      <c r="JU1" s="1949" t="s">
        <v>945</v>
      </c>
      <c r="JV1" s="1949" t="s">
        <v>946</v>
      </c>
      <c r="JW1" s="1949" t="s">
        <v>947</v>
      </c>
      <c r="JX1" s="1949" t="s">
        <v>948</v>
      </c>
      <c r="JY1" s="1949" t="s">
        <v>949</v>
      </c>
      <c r="JZ1" s="1949" t="s">
        <v>950</v>
      </c>
      <c r="KA1" s="1949" t="s">
        <v>951</v>
      </c>
      <c r="KB1" s="1949" t="s">
        <v>952</v>
      </c>
      <c r="KC1" s="1949" t="s">
        <v>953</v>
      </c>
      <c r="KD1" s="1949" t="s">
        <v>954</v>
      </c>
      <c r="KE1" s="2007" t="s">
        <v>955</v>
      </c>
      <c r="KF1" s="2007" t="s">
        <v>956</v>
      </c>
      <c r="KG1" s="2007" t="s">
        <v>957</v>
      </c>
      <c r="KH1" s="2007" t="s">
        <v>958</v>
      </c>
      <c r="KI1" s="2007" t="s">
        <v>959</v>
      </c>
      <c r="KJ1" s="2007" t="s">
        <v>960</v>
      </c>
      <c r="KK1" s="2007" t="s">
        <v>961</v>
      </c>
      <c r="KL1" s="2007" t="s">
        <v>962</v>
      </c>
      <c r="KM1" s="2007" t="s">
        <v>963</v>
      </c>
      <c r="KN1" s="2007" t="s">
        <v>964</v>
      </c>
      <c r="KO1" s="2007" t="s">
        <v>965</v>
      </c>
      <c r="KP1" s="2007" t="s">
        <v>1023</v>
      </c>
      <c r="KQ1" s="2007" t="s">
        <v>966</v>
      </c>
      <c r="KR1" s="2007" t="s">
        <v>967</v>
      </c>
      <c r="KS1" s="2007" t="s">
        <v>968</v>
      </c>
      <c r="KT1" s="2007" t="s">
        <v>969</v>
      </c>
      <c r="KU1" s="2007" t="s">
        <v>970</v>
      </c>
      <c r="KV1" s="2007" t="s">
        <v>971</v>
      </c>
      <c r="KW1" s="2007" t="s">
        <v>972</v>
      </c>
      <c r="KX1" s="2007" t="s">
        <v>973</v>
      </c>
      <c r="KY1" s="2007" t="s">
        <v>974</v>
      </c>
      <c r="KZ1" s="2007" t="s">
        <v>975</v>
      </c>
      <c r="LA1" s="2007" t="s">
        <v>976</v>
      </c>
      <c r="LB1" s="2007" t="s">
        <v>1025</v>
      </c>
      <c r="LC1" s="2007" t="s">
        <v>977</v>
      </c>
      <c r="LD1" s="2007" t="s">
        <v>978</v>
      </c>
      <c r="LE1" s="2007" t="s">
        <v>979</v>
      </c>
      <c r="LF1" s="2007" t="s">
        <v>980</v>
      </c>
      <c r="LG1" s="2007" t="s">
        <v>981</v>
      </c>
      <c r="LH1" s="2007" t="s">
        <v>982</v>
      </c>
      <c r="LI1" s="2007" t="s">
        <v>983</v>
      </c>
      <c r="LJ1" s="2007" t="s">
        <v>984</v>
      </c>
      <c r="LK1" s="2007" t="s">
        <v>985</v>
      </c>
      <c r="LL1" s="2007" t="s">
        <v>986</v>
      </c>
      <c r="LM1" s="2007" t="s">
        <v>987</v>
      </c>
      <c r="LN1" s="2007" t="s">
        <v>1024</v>
      </c>
      <c r="LO1" s="2007" t="s">
        <v>988</v>
      </c>
      <c r="LP1" s="2007" t="s">
        <v>989</v>
      </c>
      <c r="LQ1" s="2007" t="s">
        <v>990</v>
      </c>
      <c r="LR1" s="2007" t="s">
        <v>991</v>
      </c>
      <c r="LS1" s="2007" t="s">
        <v>992</v>
      </c>
      <c r="LT1" s="2007" t="s">
        <v>993</v>
      </c>
      <c r="LU1" s="2007" t="s">
        <v>994</v>
      </c>
      <c r="LV1" s="2007" t="s">
        <v>995</v>
      </c>
      <c r="LW1" s="2007" t="s">
        <v>996</v>
      </c>
      <c r="LX1" s="2007" t="s">
        <v>997</v>
      </c>
      <c r="LY1" s="2007" t="s">
        <v>998</v>
      </c>
      <c r="LZ1" s="2007" t="s">
        <v>999</v>
      </c>
      <c r="MA1" s="2007" t="s">
        <v>1000</v>
      </c>
      <c r="MB1" s="2007" t="s">
        <v>1001</v>
      </c>
      <c r="MC1" s="2007" t="s">
        <v>1002</v>
      </c>
      <c r="MD1" s="2007" t="s">
        <v>1003</v>
      </c>
      <c r="ME1" s="2007" t="s">
        <v>1004</v>
      </c>
      <c r="MF1" s="2007" t="s">
        <v>1005</v>
      </c>
      <c r="MG1" s="2007" t="s">
        <v>1006</v>
      </c>
      <c r="MH1" s="2007" t="s">
        <v>1007</v>
      </c>
      <c r="MI1" s="2007" t="s">
        <v>1008</v>
      </c>
      <c r="MJ1" s="2007" t="s">
        <v>1009</v>
      </c>
      <c r="MK1" s="1949" t="s">
        <v>1198</v>
      </c>
      <c r="ML1" s="1949" t="s">
        <v>1199</v>
      </c>
      <c r="MM1" s="1949" t="s">
        <v>1201</v>
      </c>
      <c r="MN1" s="1949" t="s">
        <v>1200</v>
      </c>
      <c r="MO1" s="1949" t="s">
        <v>1202</v>
      </c>
      <c r="MP1" s="1949" t="s">
        <v>1203</v>
      </c>
      <c r="MQ1" s="1949" t="s">
        <v>1204</v>
      </c>
      <c r="MR1" s="1949" t="s">
        <v>1205</v>
      </c>
      <c r="MS1" s="1949" t="s">
        <v>1206</v>
      </c>
      <c r="MT1" s="1949" t="s">
        <v>1207</v>
      </c>
    </row>
    <row r="2" spans="1:358" s="1929" customFormat="1" ht="85.5" x14ac:dyDescent="0.2">
      <c r="A2" s="1938" t="s">
        <v>640</v>
      </c>
      <c r="B2" s="2044">
        <f>'Allgemeine Angaben'!L6</f>
        <v>0</v>
      </c>
      <c r="C2" s="2044">
        <f>'Allgemeine Angaben'!L7</f>
        <v>0</v>
      </c>
      <c r="D2" s="1939">
        <f>'Allgemeine Angaben'!L4</f>
        <v>0</v>
      </c>
      <c r="E2" s="1940">
        <f>'Allgemeine Angaben'!D6</f>
        <v>0</v>
      </c>
      <c r="F2" s="1940">
        <f>'Allgemeine Angaben'!D12</f>
        <v>0</v>
      </c>
      <c r="G2" s="1940">
        <f>'Allgemeine Angaben'!D14</f>
        <v>0</v>
      </c>
      <c r="H2" s="1988">
        <f>'Allgemeine Angaben'!D16</f>
        <v>0</v>
      </c>
      <c r="I2" s="1940">
        <f>'Allgemeine Angaben'!J16</f>
        <v>0</v>
      </c>
      <c r="J2" s="1940">
        <f>'Allgemeine Angaben'!D18</f>
        <v>0</v>
      </c>
      <c r="K2" s="1940">
        <f>'Allgemeine Angaben'!J18</f>
        <v>0</v>
      </c>
      <c r="L2" s="1940">
        <f>'Allgemeine Angaben'!D20</f>
        <v>0</v>
      </c>
      <c r="M2" s="1940">
        <f>'Allgemeine Angaben'!J20</f>
        <v>0</v>
      </c>
      <c r="N2" s="1940">
        <f>'Allgemeine Angaben'!D22</f>
        <v>0</v>
      </c>
      <c r="O2" s="1940">
        <f>'Allgemeine Angaben'!J22</f>
        <v>0</v>
      </c>
      <c r="P2" s="1940">
        <f>'Allgemeine Angaben'!D26</f>
        <v>0</v>
      </c>
      <c r="Q2" s="1940">
        <f>'Allgemeine Angaben'!D28</f>
        <v>0</v>
      </c>
      <c r="R2" s="1988">
        <f>'Allgemeine Angaben'!D30</f>
        <v>0</v>
      </c>
      <c r="S2" s="1940">
        <f>'Allgemeine Angaben'!J30</f>
        <v>0</v>
      </c>
      <c r="T2" s="1940">
        <f>'Allgemeine Angaben'!D32</f>
        <v>0</v>
      </c>
      <c r="U2" s="1940">
        <f>'Allgemeine Angaben'!J32</f>
        <v>0</v>
      </c>
      <c r="V2" s="1940">
        <f>'Allgemeine Angaben'!D34</f>
        <v>0</v>
      </c>
      <c r="W2" s="1940">
        <f>'Allgemeine Angaben'!J34</f>
        <v>0</v>
      </c>
      <c r="X2" s="1940">
        <f>'Allgemeine Angaben'!D36</f>
        <v>0</v>
      </c>
      <c r="Y2" s="1940">
        <f>'Allgemeine Angaben'!H41</f>
        <v>0</v>
      </c>
      <c r="Z2" s="1939">
        <f>'Allgemeine Angaben'!H45</f>
        <v>0</v>
      </c>
      <c r="AA2" s="1940">
        <f>'Allgemeine Angaben'!L47</f>
        <v>0</v>
      </c>
      <c r="AB2" s="1940">
        <f>'Allgemeine Angaben'!L48</f>
        <v>0</v>
      </c>
      <c r="AC2" s="1939">
        <f>'Allgemeine Angaben'!H52</f>
        <v>0</v>
      </c>
      <c r="AD2" s="1939">
        <f>'Allgemeine Angaben'!K52</f>
        <v>0</v>
      </c>
      <c r="AE2" s="1939">
        <f>'Allgemeine Angaben'!H54</f>
        <v>0</v>
      </c>
      <c r="AF2" s="1939">
        <f>'Allgemeine Angaben'!K54</f>
        <v>0</v>
      </c>
      <c r="AG2" s="1940">
        <f>'Allgemeine Angaben'!K59</f>
        <v>0</v>
      </c>
      <c r="AH2" s="1940">
        <f>'Allgemeine Angaben'!K60</f>
        <v>0</v>
      </c>
      <c r="AI2" s="1940">
        <f>'Allgemeine Angaben'!K61</f>
        <v>0</v>
      </c>
      <c r="AJ2" s="1940">
        <f>'Allgemeine Angaben'!K62</f>
        <v>0</v>
      </c>
      <c r="AK2" s="1940">
        <f>'Allgemeine Angaben'!K63</f>
        <v>0</v>
      </c>
      <c r="AL2" s="1940">
        <f>'Allgemeine Angaben'!K64</f>
        <v>0</v>
      </c>
      <c r="AM2" s="1940">
        <f>'Allgemeine Angaben'!K65</f>
        <v>0</v>
      </c>
      <c r="AN2" s="1940">
        <f>'Allgemeine Angaben'!K67</f>
        <v>0</v>
      </c>
      <c r="AO2" s="1941" t="str">
        <f>_xlfn.XLOOKUP("ja",'Allgemeine Angaben'!L71,'Allgemeine Angaben'!L71,_xlfn.XLOOKUP("nein",'Allgemeine Angaben'!L71,'Allgemeine Angaben'!L71,"keine Angabe"))</f>
        <v>keine Angabe</v>
      </c>
      <c r="AP2" s="1941" t="str">
        <f>_xlfn.XLOOKUP("ja",'Allgemeine Angaben'!L73,'Allgemeine Angaben'!L73,_xlfn.XLOOKUP("nein",'Allgemeine Angaben'!L73,'Allgemeine Angaben'!L73,"keine Angabe"))</f>
        <v>keine Angabe</v>
      </c>
      <c r="AQ2" s="1993">
        <f>'Belegung_wö. Arbeitszeit'!G6/100</f>
        <v>0</v>
      </c>
      <c r="AR2" s="1989">
        <f>'Belegung_wö. Arbeitszeit'!C33</f>
        <v>0</v>
      </c>
      <c r="AS2" s="1989">
        <f>'Belegung_wö. Arbeitszeit'!C34</f>
        <v>0</v>
      </c>
      <c r="AT2" s="1989">
        <f>'Belegung_wö. Arbeitszeit'!C35</f>
        <v>0</v>
      </c>
      <c r="AU2" s="1989">
        <f>'Belegung_wö. Arbeitszeit'!C36</f>
        <v>0</v>
      </c>
      <c r="AV2" s="1989">
        <f>'Belegung_wö. Arbeitszeit'!C37</f>
        <v>0</v>
      </c>
      <c r="AW2" s="1989">
        <f>'Belegung_wö. Arbeitszeit'!C39</f>
        <v>0</v>
      </c>
      <c r="AX2" s="1989">
        <f>'Belegung_wö. Arbeitszeit'!D33</f>
        <v>0</v>
      </c>
      <c r="AY2" s="1989">
        <f>'Belegung_wö. Arbeitszeit'!D34</f>
        <v>0</v>
      </c>
      <c r="AZ2" s="1989">
        <f>'Belegung_wö. Arbeitszeit'!D35</f>
        <v>0</v>
      </c>
      <c r="BA2" s="1989">
        <f>'Belegung_wö. Arbeitszeit'!D36</f>
        <v>0</v>
      </c>
      <c r="BB2" s="1989">
        <f>'Belegung_wö. Arbeitszeit'!D37</f>
        <v>0</v>
      </c>
      <c r="BC2" s="1989">
        <f>'Belegung_wö. Arbeitszeit'!D39</f>
        <v>0</v>
      </c>
      <c r="BD2" s="1989">
        <f>'Belegung_wö. Arbeitszeit'!E33</f>
        <v>0</v>
      </c>
      <c r="BE2" s="1989">
        <f>'Belegung_wö. Arbeitszeit'!E34</f>
        <v>0</v>
      </c>
      <c r="BF2" s="1989">
        <f>'Belegung_wö. Arbeitszeit'!E35</f>
        <v>0</v>
      </c>
      <c r="BG2" s="1989">
        <f>'Belegung_wö. Arbeitszeit'!E36</f>
        <v>0</v>
      </c>
      <c r="BH2" s="1989">
        <f>'Belegung_wö. Arbeitszeit'!E37</f>
        <v>0</v>
      </c>
      <c r="BI2" s="1989">
        <f>'Belegung_wö. Arbeitszeit'!E39</f>
        <v>0</v>
      </c>
      <c r="BJ2" s="1989">
        <f>'Belegung_wö. Arbeitszeit'!F33</f>
        <v>0</v>
      </c>
      <c r="BK2" s="1989">
        <f>'Belegung_wö. Arbeitszeit'!F34</f>
        <v>0</v>
      </c>
      <c r="BL2" s="1989">
        <f>'Belegung_wö. Arbeitszeit'!F35</f>
        <v>0</v>
      </c>
      <c r="BM2" s="1989">
        <f>'Belegung_wö. Arbeitszeit'!F36</f>
        <v>0</v>
      </c>
      <c r="BN2" s="1989">
        <f>'Belegung_wö. Arbeitszeit'!F37</f>
        <v>0</v>
      </c>
      <c r="BO2" s="1989">
        <f>'Belegung_wö. Arbeitszeit'!F39</f>
        <v>0</v>
      </c>
      <c r="BP2" s="1944">
        <f>'Belegung_wö. Arbeitszeit'!F47</f>
        <v>0</v>
      </c>
      <c r="BQ2" s="1939" t="str">
        <f>Personalkostenaufstellung!C16</f>
        <v/>
      </c>
      <c r="BR2" s="1939" t="str">
        <f>Personalkostenaufstellung!C18</f>
        <v/>
      </c>
      <c r="BS2" s="1943">
        <f>Personalkostenaufstellung!B34</f>
        <v>0</v>
      </c>
      <c r="BT2" s="1944">
        <f>Personalkostenaufstellung!E34</f>
        <v>0</v>
      </c>
      <c r="BU2" s="1943">
        <f>Personalkostenaufstellung!B40</f>
        <v>0</v>
      </c>
      <c r="BV2" s="1944">
        <f>Personalkostenaufstellung!E40</f>
        <v>0</v>
      </c>
      <c r="BW2" s="1943">
        <f>Personalkostenaufstellung!B46</f>
        <v>0</v>
      </c>
      <c r="BX2" s="1944">
        <f>Personalkostenaufstellung!E46</f>
        <v>0</v>
      </c>
      <c r="BY2" s="1943">
        <f>Personalkostenaufstellung!B151</f>
        <v>0</v>
      </c>
      <c r="BZ2" s="1944">
        <f>Personalkostenaufstellung!E151</f>
        <v>0</v>
      </c>
      <c r="CA2" s="1990">
        <f>IF('Allgemeine Angaben'!F7="4.",SUM(Personalkostenaufstellung!B139:B145),0)</f>
        <v>0</v>
      </c>
      <c r="CB2" s="1943">
        <f>Personalkostenaufstellung!B255</f>
        <v>0</v>
      </c>
      <c r="CC2" s="1944">
        <f>Personalkostenaufstellung!E255</f>
        <v>0</v>
      </c>
      <c r="CD2" s="1990">
        <f>IF('Allgemeine Angaben'!F7="4.",SUM(Personalkostenaufstellung!B225:B254),0)</f>
        <v>0</v>
      </c>
      <c r="CE2" s="1943">
        <f>Personalkostenaufstellung!B359</f>
        <v>0</v>
      </c>
      <c r="CF2" s="1944">
        <f>Personalkostenaufstellung!E359</f>
        <v>0</v>
      </c>
      <c r="CG2" s="1990">
        <f>IF('Allgemeine Angaben'!F7="4.",SUM(Personalkostenaufstellung!B329:B358),0)</f>
        <v>0</v>
      </c>
      <c r="CH2" s="1943">
        <f>Personalkostenaufstellung!B362</f>
        <v>0</v>
      </c>
      <c r="CI2" s="1944">
        <f>Personalkostenaufstellung!E362</f>
        <v>0</v>
      </c>
      <c r="CJ2" s="1991" t="str">
        <f>Personalkostenaufstellung!C364</f>
        <v/>
      </c>
      <c r="CK2" s="1991" t="str">
        <f>Personalkostenaufstellung!C365</f>
        <v/>
      </c>
      <c r="CL2" s="1991" t="str">
        <f>Personalkostenaufstellung!C366</f>
        <v/>
      </c>
      <c r="CM2" s="1943">
        <f>Personalkostenaufstellung!B396</f>
        <v>0</v>
      </c>
      <c r="CN2" s="1944">
        <f>Personalkostenaufstellung!E396</f>
        <v>0</v>
      </c>
      <c r="CO2" s="1943">
        <f>Personalkostenaufstellung!B424</f>
        <v>0</v>
      </c>
      <c r="CP2" s="1944">
        <f>Personalkostenaufstellung!E424</f>
        <v>0</v>
      </c>
      <c r="CQ2" s="1943">
        <f>Personalkostenaufstellung!B426</f>
        <v>0</v>
      </c>
      <c r="CR2" s="1944">
        <f>Personalkostenaufstellung!E426</f>
        <v>0</v>
      </c>
      <c r="CS2" s="1943">
        <f>Personalkostenaufstellung!B435</f>
        <v>0</v>
      </c>
      <c r="CT2" s="1944">
        <f>Personalkostenaufstellung!E435</f>
        <v>0</v>
      </c>
      <c r="CU2" s="1943">
        <f>Personalkostenaufstellung!B536</f>
        <v>0</v>
      </c>
      <c r="CV2" s="1944">
        <f>Personalkostenaufstellung!E536</f>
        <v>0</v>
      </c>
      <c r="CW2" s="1990">
        <f>IF('Allgemeine Angaben'!F7="4.",SUM(Personalkostenaufstellung!B467:B473),0)</f>
        <v>0</v>
      </c>
      <c r="CX2" s="1990">
        <f>IF('Allgemeine Angaben'!F7="4.",SUM(Personalkostenaufstellung!B475:B504),0)</f>
        <v>0</v>
      </c>
      <c r="CY2" s="1990">
        <f>IF('Allgemeine Angaben'!F7="4.",SUM(Personalkostenaufstellung!B506:B535),0)</f>
        <v>0</v>
      </c>
      <c r="CZ2" s="1943">
        <f>Personalkostenaufstellung!B569</f>
        <v>0</v>
      </c>
      <c r="DA2" s="1944">
        <f>Personalkostenaufstellung!E569</f>
        <v>0</v>
      </c>
      <c r="DB2" s="1943">
        <f>Personalkostenaufstellung!B582</f>
        <v>0</v>
      </c>
      <c r="DC2" s="1940">
        <f>Personalkostenaufstellung!E582</f>
        <v>0</v>
      </c>
      <c r="DD2" s="1942">
        <f>Personalkostenaufstellung!B586</f>
        <v>0</v>
      </c>
      <c r="DE2" s="1944">
        <f>Personalkostenaufstellung!D586</f>
        <v>0</v>
      </c>
      <c r="DF2" s="1942">
        <f>Personalkostenaufstellung!B587</f>
        <v>0</v>
      </c>
      <c r="DG2" s="1944">
        <f>Personalkostenaufstellung!D587</f>
        <v>0</v>
      </c>
      <c r="DH2" s="1942">
        <f>Personalkostenaufstellung!B588</f>
        <v>0</v>
      </c>
      <c r="DI2" s="1944">
        <f>Personalkostenaufstellung!E588</f>
        <v>0</v>
      </c>
      <c r="DJ2" s="1940">
        <f>Personalkostenaufstellung!M12</f>
        <v>0</v>
      </c>
      <c r="DK2" s="1940">
        <f>Personalkostenaufstellung!M13</f>
        <v>0</v>
      </c>
      <c r="DL2" s="1940">
        <f>Personalkostenaufstellung!M14</f>
        <v>0</v>
      </c>
      <c r="DM2" s="1939">
        <f>Personalkostenaufstellung!M15</f>
        <v>0</v>
      </c>
      <c r="DN2" s="1992">
        <f>Personalkostenaufstellung!P17/100</f>
        <v>0</v>
      </c>
      <c r="DO2" s="1992">
        <f>Personalkostenaufstellung!P18/100</f>
        <v>0</v>
      </c>
      <c r="DP2" s="1992">
        <f>Personalkostenaufstellung!P20/100</f>
        <v>0</v>
      </c>
      <c r="DQ2" s="1940">
        <f>Personalkostenaufstellung!G597</f>
        <v>0</v>
      </c>
      <c r="DR2" s="1940">
        <f>Personalkostenaufstellung!H597</f>
        <v>0</v>
      </c>
      <c r="DS2" s="1940">
        <f>Personalkostenaufstellung!J597</f>
        <v>0</v>
      </c>
      <c r="DT2" s="1945">
        <f>Personalkostenaufstellung!G599</f>
        <v>0</v>
      </c>
      <c r="DU2" s="1945">
        <f>Personalkostenaufstellung!H599</f>
        <v>0</v>
      </c>
      <c r="DV2" s="1945">
        <f>Personalkostenaufstellung!J599</f>
        <v>0</v>
      </c>
      <c r="DW2" s="1945">
        <f>Personalkostenaufstellung!G600</f>
        <v>0</v>
      </c>
      <c r="DX2" s="1946">
        <f>Personalkostenaufstellung!G603</f>
        <v>0</v>
      </c>
      <c r="DY2" s="1947">
        <f>Personalkostenaufstellung!G605</f>
        <v>0</v>
      </c>
      <c r="DZ2" s="1947">
        <f>Personalkostenaufstellung!H605</f>
        <v>0</v>
      </c>
      <c r="EA2" s="1947">
        <f>Personalkostenaufstellung!J605</f>
        <v>0</v>
      </c>
      <c r="EB2" s="1943">
        <f>Personalaufwendungen!G11</f>
        <v>0</v>
      </c>
      <c r="EC2" s="1943">
        <f>Personalaufwendungen!G12</f>
        <v>0</v>
      </c>
      <c r="ED2" s="1943">
        <f>Personalaufwendungen!G13</f>
        <v>0</v>
      </c>
      <c r="EE2" s="1943">
        <f>Personalaufwendungen!G15</f>
        <v>0</v>
      </c>
      <c r="EF2" s="1943">
        <f>Personalaufwendungen!G18</f>
        <v>0</v>
      </c>
      <c r="EG2" s="1943">
        <f>Personalaufwendungen!G19</f>
        <v>0</v>
      </c>
      <c r="EH2" s="1943">
        <f>Personalaufwendungen!G20</f>
        <v>0</v>
      </c>
      <c r="EI2" s="1943">
        <f>Personalaufwendungen!G21</f>
        <v>0</v>
      </c>
      <c r="EJ2" s="1943">
        <f>Personalaufwendungen!G22</f>
        <v>0</v>
      </c>
      <c r="EK2" s="1943">
        <f>Personalaufwendungen!G23</f>
        <v>0</v>
      </c>
      <c r="EL2" s="1943">
        <f>Personalaufwendungen!G25</f>
        <v>0</v>
      </c>
      <c r="EM2" s="1993" t="str">
        <f>Personalaufwendungen!G30</f>
        <v/>
      </c>
      <c r="EN2" s="1993" t="str">
        <f>Personalaufwendungen!G33</f>
        <v/>
      </c>
      <c r="EO2" s="1993" t="str">
        <f>Personalaufwendungen!G36</f>
        <v/>
      </c>
      <c r="EP2" s="1943">
        <f>Personalaufwendungen!G43</f>
        <v>0</v>
      </c>
      <c r="EQ2" s="1943">
        <f>Personalaufwendungen!G44</f>
        <v>0</v>
      </c>
      <c r="ER2" s="1943">
        <f>Personalaufwendungen!G46</f>
        <v>0</v>
      </c>
      <c r="ES2" s="1943" t="e">
        <f>Personalaufwendungen!#REF!</f>
        <v>#REF!</v>
      </c>
      <c r="ET2" s="1943" t="e">
        <f>Personalaufwendungen!#REF!</f>
        <v>#REF!</v>
      </c>
      <c r="EU2" s="1943">
        <f>Personalaufwendungen!G48</f>
        <v>0</v>
      </c>
      <c r="EV2" s="1996">
        <f>Personalaufwendungen!G51</f>
        <v>0</v>
      </c>
      <c r="EW2" s="1943">
        <f>Personalaufwendungen!G52</f>
        <v>0</v>
      </c>
      <c r="EX2" s="1943">
        <f>Personalaufwendungen!G53</f>
        <v>0</v>
      </c>
      <c r="EY2" s="1943">
        <f>Personalaufwendungen!G54</f>
        <v>0</v>
      </c>
      <c r="EZ2" s="1943">
        <f>Personalaufwendungen!G58</f>
        <v>0</v>
      </c>
      <c r="FA2" s="1943">
        <f>Personalaufwendungen!G60</f>
        <v>0</v>
      </c>
      <c r="FB2" s="1942">
        <f>Personalaufwendungen!G79</f>
        <v>0</v>
      </c>
      <c r="FC2" s="1942">
        <f>Personalaufwendungen!G81</f>
        <v>0</v>
      </c>
      <c r="FD2" s="1943">
        <f>Personalaufwendungen!H11</f>
        <v>0</v>
      </c>
      <c r="FE2" s="1943">
        <f>Personalaufwendungen!H12</f>
        <v>0</v>
      </c>
      <c r="FF2" s="1943">
        <f>Personalaufwendungen!H13</f>
        <v>0</v>
      </c>
      <c r="FG2" s="1943">
        <f>Personalaufwendungen!H15</f>
        <v>0</v>
      </c>
      <c r="FH2" s="1943">
        <f>Personalaufwendungen!H18</f>
        <v>0</v>
      </c>
      <c r="FI2" s="1943">
        <f>Personalaufwendungen!H19</f>
        <v>0</v>
      </c>
      <c r="FJ2" s="1943">
        <f>Personalaufwendungen!H20</f>
        <v>0</v>
      </c>
      <c r="FK2" s="1943">
        <f>Personalaufwendungen!H21</f>
        <v>0</v>
      </c>
      <c r="FL2" s="1943">
        <f>Personalaufwendungen!H22</f>
        <v>0</v>
      </c>
      <c r="FM2" s="1943">
        <f>Personalaufwendungen!H23</f>
        <v>0</v>
      </c>
      <c r="FN2" s="1943">
        <f>Personalaufwendungen!H25</f>
        <v>0</v>
      </c>
      <c r="FO2" s="1991" t="str">
        <f>Personalaufwendungen!H30</f>
        <v/>
      </c>
      <c r="FP2" s="1991" t="str">
        <f>Personalaufwendungen!H33</f>
        <v/>
      </c>
      <c r="FQ2" s="1991" t="str">
        <f>Personalaufwendungen!H36</f>
        <v/>
      </c>
      <c r="FR2" s="1943">
        <f>Personalaufwendungen!H43</f>
        <v>0</v>
      </c>
      <c r="FS2" s="1943">
        <f>Personalaufwendungen!H44</f>
        <v>0</v>
      </c>
      <c r="FT2" s="1943">
        <f>Personalaufwendungen!H46</f>
        <v>0</v>
      </c>
      <c r="FU2" s="1943" t="e">
        <f>Personalaufwendungen!#REF!</f>
        <v>#REF!</v>
      </c>
      <c r="FV2" s="1943" t="e">
        <f>Personalaufwendungen!#REF!</f>
        <v>#REF!</v>
      </c>
      <c r="FW2" s="1943">
        <f>Personalaufwendungen!H48</f>
        <v>0</v>
      </c>
      <c r="FX2" s="1943">
        <f>Personalaufwendungen!H51</f>
        <v>0</v>
      </c>
      <c r="FY2" s="1943">
        <f>Personalaufwendungen!H52</f>
        <v>0</v>
      </c>
      <c r="FZ2" s="1943">
        <f>Personalaufwendungen!H53</f>
        <v>0</v>
      </c>
      <c r="GA2" s="1943">
        <f>Personalaufwendungen!H54</f>
        <v>0</v>
      </c>
      <c r="GB2" s="1943">
        <f>Personalaufwendungen!H56</f>
        <v>0</v>
      </c>
      <c r="GC2" s="1991">
        <f>Personalaufwendungen!I53</f>
        <v>0</v>
      </c>
      <c r="GD2" s="1943">
        <f>Personalaufwendungen!H58</f>
        <v>0</v>
      </c>
      <c r="GE2" s="1943">
        <f>Personalaufwendungen!H60</f>
        <v>0</v>
      </c>
      <c r="GF2" s="1942">
        <f>Personalaufwendungen!H79</f>
        <v>0</v>
      </c>
      <c r="GG2" s="1942">
        <f>Personalaufwendungen!H81</f>
        <v>0</v>
      </c>
      <c r="GH2" s="1944">
        <f>Personalaufwendungen!H67</f>
        <v>0</v>
      </c>
      <c r="GI2" s="1944">
        <f>Personalaufwendungen!H68</f>
        <v>0</v>
      </c>
      <c r="GJ2" s="1944">
        <f>Personalaufwendungen!H69</f>
        <v>0</v>
      </c>
      <c r="GK2" s="1944">
        <f>Personalaufwendungen!H70</f>
        <v>0</v>
      </c>
      <c r="GL2" s="1992" t="str">
        <f>pnk</f>
        <v/>
      </c>
      <c r="GM2" s="1944">
        <f>Personalaufwendungen!J72</f>
        <v>0</v>
      </c>
      <c r="GN2" s="1992" t="str">
        <f>Personalaufwendungen!I74</f>
        <v/>
      </c>
      <c r="GO2" s="1944">
        <f>Personalaufwendungen!J74</f>
        <v>0</v>
      </c>
      <c r="GP2" s="1992">
        <f>risiko</f>
        <v>0</v>
      </c>
      <c r="GQ2" s="1944">
        <f>Personalaufwendungen!J76</f>
        <v>0</v>
      </c>
      <c r="GR2" s="1997">
        <f>Personalaufwendungen!J11</f>
        <v>0</v>
      </c>
      <c r="GS2" s="1944">
        <f>Personalaufwendungen!J12</f>
        <v>0</v>
      </c>
      <c r="GT2" s="1944">
        <f>Personalaufwendungen!J13</f>
        <v>0</v>
      </c>
      <c r="GU2" s="1944">
        <f>Personalaufwendungen!J15</f>
        <v>0</v>
      </c>
      <c r="GV2" s="1944">
        <f>Personalaufwendungen!J18</f>
        <v>0</v>
      </c>
      <c r="GW2" s="1944">
        <f>Personalaufwendungen!J20</f>
        <v>0</v>
      </c>
      <c r="GX2" s="1944">
        <f>Personalaufwendungen!J22</f>
        <v>0</v>
      </c>
      <c r="GY2" s="1944">
        <f>Personalaufwendungen!J25</f>
        <v>0</v>
      </c>
      <c r="GZ2" s="1944">
        <f>Personalaufwendungen!J43</f>
        <v>0</v>
      </c>
      <c r="HA2" s="1944">
        <f>Personalaufwendungen!J44</f>
        <v>0</v>
      </c>
      <c r="HB2" s="1944" t="str">
        <f>Personalaufwendungen!J46</f>
        <v/>
      </c>
      <c r="HC2" s="1944" t="e">
        <f>Personalaufwendungen!#REF!</f>
        <v>#REF!</v>
      </c>
      <c r="HD2" s="1944" t="e">
        <f>Personalaufwendungen!#REF!</f>
        <v>#REF!</v>
      </c>
      <c r="HE2" s="1944" t="str">
        <f>Personalaufwendungen!J48</f>
        <v/>
      </c>
      <c r="HF2" s="1944" t="str">
        <f>Personalaufwendungen!J56</f>
        <v/>
      </c>
      <c r="HG2" s="1944" t="str">
        <f>Personalaufwendungen!J58</f>
        <v/>
      </c>
      <c r="HH2" s="1944" t="str">
        <f>Personalaufwendungen!J60</f>
        <v/>
      </c>
      <c r="HI2" s="1944">
        <f>Personalaufwendungen!I79</f>
        <v>0</v>
      </c>
      <c r="HJ2" s="1944">
        <f>Personalaufwendungen!I81</f>
        <v>0</v>
      </c>
      <c r="HK2" s="1994" t="str">
        <f>IF(Sachaufwendungen!F20=0,"entsprechend dem Zeitraum der Ist-Personalkosten","entsprechend von einem abweichenden Zeitraum")</f>
        <v>entsprechend dem Zeitraum der Ist-Personalkosten</v>
      </c>
      <c r="HL2" s="1995" t="str">
        <f>IF(HK2="entsprechend von einem abweichenden Zeitraum",Sachaufwendungen!H17,Personalkostenaufstellung!C16)</f>
        <v/>
      </c>
      <c r="HM2" s="1995" t="str">
        <f>IF(HK2="entsprechend von einem abweichenden Zeitraum",Sachaufwendungen!H18,Personalkostenaufstellung!C18)</f>
        <v/>
      </c>
      <c r="HN2" s="1940">
        <f>Sachaufwendungen!H19</f>
        <v>0</v>
      </c>
      <c r="HO2" s="1944">
        <f>Sachaufwendungen!H21</f>
        <v>0</v>
      </c>
      <c r="HP2" s="1944">
        <f>Sachaufwendungen!H22</f>
        <v>0</v>
      </c>
      <c r="HQ2" s="1944">
        <f>Sachaufwendungen!H23</f>
        <v>0</v>
      </c>
      <c r="HR2" s="1944" t="e">
        <f>Sachaufwendungen!#REF!</f>
        <v>#REF!</v>
      </c>
      <c r="HS2" s="1944" t="e">
        <f>Sachaufwendungen!#REF!</f>
        <v>#REF!</v>
      </c>
      <c r="HT2" s="1944">
        <f>Sachaufwendungen!H24</f>
        <v>0</v>
      </c>
      <c r="HU2" s="1944">
        <f>Sachaufwendungen!H25</f>
        <v>0</v>
      </c>
      <c r="HV2" s="1944">
        <f>Sachaufwendungen!H26</f>
        <v>0</v>
      </c>
      <c r="HW2" s="1944">
        <f>Sachaufwendungen!H27</f>
        <v>0</v>
      </c>
      <c r="HX2" s="1944">
        <f>Sachaufwendungen!H28</f>
        <v>0</v>
      </c>
      <c r="HY2" s="1944">
        <f>Sachaufwendungen!H29</f>
        <v>0</v>
      </c>
      <c r="HZ2" s="1944">
        <f>Sachaufwendungen!H43</f>
        <v>0</v>
      </c>
      <c r="IA2" s="1944">
        <f>Sachaufwendungen!H44</f>
        <v>0</v>
      </c>
      <c r="IB2" s="1944">
        <f>Sachaufwendungen!H45</f>
        <v>0</v>
      </c>
      <c r="IC2" s="1944">
        <f>Sachaufwendungen!H46</f>
        <v>0</v>
      </c>
      <c r="ID2" s="1944" t="e">
        <f>Sachaufwendungen!#REF!</f>
        <v>#REF!</v>
      </c>
      <c r="IE2" s="1944">
        <f>Sachaufwendungen!H47</f>
        <v>0</v>
      </c>
      <c r="IF2" s="1944">
        <f>Sachaufwendungen!C48</f>
        <v>0</v>
      </c>
      <c r="IG2" s="1944">
        <f>Sachaufwendungen!H48</f>
        <v>0</v>
      </c>
      <c r="IH2" s="1940">
        <f>Sachaufwendungen!C49</f>
        <v>0</v>
      </c>
      <c r="II2" s="1944">
        <f>Sachaufwendungen!H49</f>
        <v>0</v>
      </c>
      <c r="IJ2" s="1944">
        <f>Sachaufwendungen!H50</f>
        <v>0</v>
      </c>
      <c r="IK2" s="1944">
        <f>Sachaufwendungen!L21</f>
        <v>0</v>
      </c>
      <c r="IL2" s="1944">
        <f>Sachaufwendungen!L22</f>
        <v>0</v>
      </c>
      <c r="IM2" s="1944">
        <f>Sachaufwendungen!L23</f>
        <v>0</v>
      </c>
      <c r="IN2" s="1944" t="e">
        <f>Sachaufwendungen!#REF!</f>
        <v>#REF!</v>
      </c>
      <c r="IO2" s="1944" t="e">
        <f>Sachaufwendungen!#REF!</f>
        <v>#REF!</v>
      </c>
      <c r="IP2" s="1944">
        <f>Sachaufwendungen!L24</f>
        <v>0</v>
      </c>
      <c r="IQ2" s="1944">
        <f>Sachaufwendungen!L25</f>
        <v>0</v>
      </c>
      <c r="IR2" s="1944">
        <f>Sachaufwendungen!L26</f>
        <v>0</v>
      </c>
      <c r="IS2" s="1944">
        <f>Sachaufwendungen!L27</f>
        <v>0</v>
      </c>
      <c r="IT2" s="1944">
        <f>Sachaufwendungen!L28</f>
        <v>0</v>
      </c>
      <c r="IU2" s="1944">
        <f>Sachaufwendungen!L29</f>
        <v>0</v>
      </c>
      <c r="IV2" s="1944">
        <f>Sachaufwendungen!L43</f>
        <v>0</v>
      </c>
      <c r="IW2" s="1944">
        <f>Sachaufwendungen!L44</f>
        <v>0</v>
      </c>
      <c r="IX2" s="1944">
        <f>Sachaufwendungen!L45</f>
        <v>0</v>
      </c>
      <c r="IY2" s="1944">
        <f>Sachaufwendungen!L46</f>
        <v>0</v>
      </c>
      <c r="IZ2" s="1944" t="e">
        <f>Sachaufwendungen!#REF!</f>
        <v>#REF!</v>
      </c>
      <c r="JA2" s="1944">
        <f>Sachaufwendungen!L47</f>
        <v>0</v>
      </c>
      <c r="JB2" s="1944">
        <f>Sachaufwendungen!C48</f>
        <v>0</v>
      </c>
      <c r="JC2" s="1944">
        <f>Sachaufwendungen!L48</f>
        <v>0</v>
      </c>
      <c r="JD2" s="1940">
        <f>Sachaufwendungen!C49</f>
        <v>0</v>
      </c>
      <c r="JE2" s="1944">
        <f>Sachaufwendungen!L49</f>
        <v>0</v>
      </c>
      <c r="JF2" s="1944">
        <f>Sachaufwendungen!L50</f>
        <v>0</v>
      </c>
      <c r="JG2" s="1940" t="str">
        <f>Sachaufwendungen!M21</f>
        <v/>
      </c>
      <c r="JH2" s="1940" t="str">
        <f>Sachaufwendungen!M22</f>
        <v/>
      </c>
      <c r="JI2" s="1940" t="str">
        <f>Sachaufwendungen!M23</f>
        <v/>
      </c>
      <c r="JJ2" s="1940" t="e">
        <f>Sachaufwendungen!#REF!</f>
        <v>#REF!</v>
      </c>
      <c r="JK2" s="1940" t="e">
        <f>Sachaufwendungen!#REF!</f>
        <v>#REF!</v>
      </c>
      <c r="JL2" s="1940" t="str">
        <f>Sachaufwendungen!M24</f>
        <v/>
      </c>
      <c r="JM2" s="1940" t="str">
        <f>Sachaufwendungen!M25</f>
        <v/>
      </c>
      <c r="JN2" s="1940" t="str">
        <f>Sachaufwendungen!M26</f>
        <v/>
      </c>
      <c r="JO2" s="1940" t="str">
        <f>Sachaufwendungen!M27</f>
        <v/>
      </c>
      <c r="JP2" s="1940" t="str">
        <f>Sachaufwendungen!M28</f>
        <v/>
      </c>
      <c r="JQ2" s="1940" t="str">
        <f>Sachaufwendungen!M29</f>
        <v/>
      </c>
      <c r="JR2" s="1940" t="str">
        <f>Sachaufwendungen!M43</f>
        <v/>
      </c>
      <c r="JS2" s="1940" t="str">
        <f>Sachaufwendungen!M44</f>
        <v/>
      </c>
      <c r="JT2" s="1940" t="str">
        <f>Sachaufwendungen!M45</f>
        <v/>
      </c>
      <c r="JU2" s="1940" t="str">
        <f>Sachaufwendungen!M46</f>
        <v/>
      </c>
      <c r="JV2" s="1940" t="e">
        <f>Sachaufwendungen!#REF!</f>
        <v>#REF!</v>
      </c>
      <c r="JW2" s="1940" t="str">
        <f>Sachaufwendungen!M47</f>
        <v/>
      </c>
      <c r="JX2" s="1940">
        <f>Sachaufwendungen!C48</f>
        <v>0</v>
      </c>
      <c r="JY2" s="1940" t="str">
        <f>Sachaufwendungen!M48</f>
        <v/>
      </c>
      <c r="JZ2" s="1940">
        <f>Sachaufwendungen!C49</f>
        <v>0</v>
      </c>
      <c r="KA2" s="1940" t="str">
        <f>Sachaufwendungen!M49</f>
        <v/>
      </c>
      <c r="KB2" s="1940" t="str">
        <f>Sachaufwendungen!M50</f>
        <v/>
      </c>
      <c r="KC2" s="1991">
        <f>Sachaufwendungen!J53</f>
        <v>0</v>
      </c>
      <c r="KD2" s="1944" t="str">
        <f>Sachaufwendungen!L53</f>
        <v/>
      </c>
      <c r="KE2" s="1943">
        <f>Forderung!I17</f>
        <v>0</v>
      </c>
      <c r="KF2" s="1943">
        <f>Forderung!I18</f>
        <v>0</v>
      </c>
      <c r="KG2" s="1943">
        <f>Forderung!I19</f>
        <v>0</v>
      </c>
      <c r="KH2" s="1943">
        <f>Forderung!I22</f>
        <v>0</v>
      </c>
      <c r="KI2" s="1943">
        <f>Forderung!I23</f>
        <v>0</v>
      </c>
      <c r="KJ2" s="1943">
        <f>Forderung!I24</f>
        <v>0</v>
      </c>
      <c r="KK2" s="1943">
        <f>Forderung!I28</f>
        <v>0</v>
      </c>
      <c r="KL2" s="1943">
        <f>Forderung!I30</f>
        <v>0</v>
      </c>
      <c r="KM2" s="1943">
        <f>Forderung!I32</f>
        <v>0</v>
      </c>
      <c r="KN2" s="1943">
        <f>Forderung!I34</f>
        <v>0</v>
      </c>
      <c r="KO2" s="1943">
        <f>Forderung!I36</f>
        <v>0</v>
      </c>
      <c r="KP2" s="2044">
        <f>Forderung!I39</f>
        <v>0</v>
      </c>
      <c r="KQ2" s="1943">
        <f>Forderung!K17</f>
        <v>0</v>
      </c>
      <c r="KR2" s="1943">
        <f>Forderung!K18</f>
        <v>0</v>
      </c>
      <c r="KS2" s="1943">
        <f>Forderung!K19</f>
        <v>0</v>
      </c>
      <c r="KT2" s="1943">
        <f>Forderung!K22</f>
        <v>0</v>
      </c>
      <c r="KU2" s="1943">
        <f>Forderung!K23</f>
        <v>0</v>
      </c>
      <c r="KV2" s="1943">
        <f>Forderung!K24</f>
        <v>0</v>
      </c>
      <c r="KW2" s="1943">
        <f>Forderung!K28</f>
        <v>0</v>
      </c>
      <c r="KX2" s="1943">
        <f>Forderung!K30</f>
        <v>0</v>
      </c>
      <c r="KY2" s="1943">
        <f>Forderung!K32</f>
        <v>0</v>
      </c>
      <c r="KZ2" s="1943">
        <f>Forderung!K34</f>
        <v>0</v>
      </c>
      <c r="LA2" s="1943">
        <f>Forderung!K36</f>
        <v>0</v>
      </c>
      <c r="LB2" s="1943">
        <f>Forderung!K39</f>
        <v>0</v>
      </c>
      <c r="LC2" s="1943">
        <f>Forderung!L17</f>
        <v>0</v>
      </c>
      <c r="LD2" s="1943">
        <f>Forderung!L18</f>
        <v>0</v>
      </c>
      <c r="LE2" s="1943">
        <f>Forderung!L19</f>
        <v>0</v>
      </c>
      <c r="LF2" s="1943">
        <f>Forderung!L22</f>
        <v>0</v>
      </c>
      <c r="LG2" s="1943">
        <f>Forderung!L23</f>
        <v>0</v>
      </c>
      <c r="LH2" s="1943">
        <f>Forderung!L24</f>
        <v>0</v>
      </c>
      <c r="LI2" s="1943">
        <f>Forderung!L28</f>
        <v>0</v>
      </c>
      <c r="LJ2" s="1943">
        <f>Forderung!L30</f>
        <v>0</v>
      </c>
      <c r="LK2" s="1943">
        <f>Forderung!L32</f>
        <v>0</v>
      </c>
      <c r="LL2" s="1943">
        <f>Forderung!L34</f>
        <v>0</v>
      </c>
      <c r="LM2" s="1943">
        <f>Forderung!L36</f>
        <v>0</v>
      </c>
      <c r="LN2" s="1943">
        <f>Forderung!L39</f>
        <v>0</v>
      </c>
      <c r="LO2" s="1992" t="str">
        <f>Forderung!M22</f>
        <v/>
      </c>
      <c r="LP2" s="1992" t="str">
        <f>Forderung!M23</f>
        <v/>
      </c>
      <c r="LQ2" s="1992" t="str">
        <f>Forderung!M24</f>
        <v/>
      </c>
      <c r="LR2" s="1940" t="str">
        <f>Forderung!O28</f>
        <v/>
      </c>
      <c r="LS2" s="1940">
        <f>Forderung!O30</f>
        <v>0</v>
      </c>
      <c r="LT2" s="1940" t="str">
        <f>Forderung!O32</f>
        <v/>
      </c>
      <c r="LU2" s="1940" t="str">
        <f>Forderung!O34</f>
        <v/>
      </c>
      <c r="LV2" s="1940" t="str">
        <f>Forderung!O36</f>
        <v/>
      </c>
      <c r="LW2" s="1994" t="str">
        <f>IFERROR('Allgemeine Angaben'!L47/Forderung!I39,"")</f>
        <v/>
      </c>
      <c r="LX2" s="1940" t="str">
        <f>Forderung!I43</f>
        <v/>
      </c>
      <c r="LY2" s="1940" t="str">
        <f>Forderung!I48</f>
        <v/>
      </c>
      <c r="LZ2" s="1940" t="str">
        <f>Forderung!I50</f>
        <v/>
      </c>
      <c r="MA2" s="1940" t="str">
        <f>Forderung!I52</f>
        <v/>
      </c>
      <c r="MB2" s="1940" t="str">
        <f>Forderung!I54</f>
        <v/>
      </c>
      <c r="MC2" s="1940" t="str">
        <f>Forderung!I56</f>
        <v/>
      </c>
      <c r="MD2" s="1940" t="str">
        <f>Forderung!I58</f>
        <v/>
      </c>
      <c r="ME2" s="1940" t="str">
        <f>Forderung!I62</f>
        <v/>
      </c>
      <c r="MF2" s="1940" t="str">
        <f>Forderung!I64</f>
        <v/>
      </c>
      <c r="MG2" s="1940" t="str">
        <f>Forderung!O48</f>
        <v/>
      </c>
      <c r="MH2" s="1940" t="str">
        <f>Forderung!O58</f>
        <v/>
      </c>
      <c r="MI2" s="1940">
        <f>Forderung!O62</f>
        <v>0</v>
      </c>
      <c r="MJ2" s="1940">
        <f>Forderung!O64</f>
        <v>0</v>
      </c>
      <c r="MK2" s="1940">
        <f>Sachaufwendungen!J58</f>
        <v>0</v>
      </c>
      <c r="ML2" s="1940">
        <f>Sachaufwendungen!J62</f>
        <v>0</v>
      </c>
      <c r="MM2" s="1940">
        <f>Sachaufwendungen!J66</f>
        <v>0</v>
      </c>
      <c r="MN2" s="2232">
        <f>Sachaufwendungen!J68</f>
        <v>0</v>
      </c>
      <c r="MO2" s="1940">
        <f>Sachaufwendungen!L68</f>
        <v>0</v>
      </c>
      <c r="MP2" s="1940">
        <f>Sachaufwendungen!J70</f>
        <v>0</v>
      </c>
      <c r="MQ2" s="1940">
        <f>Sachaufwendungen!L70</f>
        <v>0</v>
      </c>
      <c r="MR2" s="1940">
        <f>Sachaufwendungen!J71</f>
        <v>0</v>
      </c>
      <c r="MS2" s="1940">
        <f>Sachaufwendungen!J72</f>
        <v>95400</v>
      </c>
      <c r="MT2" s="1940">
        <f>Sachaufwendungen!L74</f>
        <v>0</v>
      </c>
    </row>
    <row r="3" spans="1:358" x14ac:dyDescent="0.2">
      <c r="A3" s="2223"/>
      <c r="B3" s="2223"/>
      <c r="C3" s="2223"/>
      <c r="D3" s="2223"/>
      <c r="E3" s="2223"/>
      <c r="F3" s="2223"/>
      <c r="G3" s="2223"/>
      <c r="H3" s="2223"/>
      <c r="I3" s="2223"/>
      <c r="J3" s="2223"/>
      <c r="K3" s="2223"/>
      <c r="L3" s="2223"/>
      <c r="M3" s="2223"/>
      <c r="N3" s="2223"/>
      <c r="O3" s="2223"/>
      <c r="P3" s="2223"/>
      <c r="Q3" s="2223"/>
      <c r="R3" s="2223"/>
      <c r="S3" s="2223"/>
      <c r="T3" s="2223"/>
      <c r="U3" s="2223"/>
      <c r="V3" s="2223"/>
      <c r="W3" s="2223"/>
      <c r="X3" s="2223"/>
      <c r="Y3" s="2223"/>
      <c r="Z3" s="2223"/>
      <c r="AA3" s="2223"/>
      <c r="AB3" s="2223"/>
      <c r="AC3" s="2223"/>
      <c r="AD3" s="2223"/>
      <c r="AE3" s="2223"/>
      <c r="AF3" s="2223"/>
      <c r="AG3" s="2223"/>
      <c r="AH3" s="2223"/>
      <c r="AI3" s="2223"/>
      <c r="AJ3" s="2223"/>
      <c r="AK3" s="2223"/>
      <c r="AL3" s="2223"/>
      <c r="AM3" s="2223"/>
      <c r="AN3" s="2223"/>
      <c r="AO3" s="2223"/>
      <c r="AP3" s="2223"/>
      <c r="AQ3" s="2223"/>
      <c r="AR3" s="2223"/>
      <c r="AS3" s="2223"/>
      <c r="AT3" s="2223"/>
      <c r="AU3" s="2223"/>
      <c r="AV3" s="2223"/>
      <c r="AW3" s="2223"/>
      <c r="AX3" s="2223"/>
      <c r="AY3" s="2223"/>
      <c r="AZ3" s="2223"/>
      <c r="BA3" s="2223"/>
      <c r="BB3" s="2223"/>
      <c r="BC3" s="2223"/>
      <c r="BD3" s="2223"/>
      <c r="BE3" s="2223"/>
      <c r="BF3" s="2223"/>
      <c r="BG3" s="2223"/>
      <c r="BH3" s="2223"/>
      <c r="BI3" s="2223"/>
      <c r="BJ3" s="2223"/>
      <c r="BK3" s="2223"/>
      <c r="BL3" s="2223"/>
      <c r="BM3" s="2223"/>
      <c r="BN3" s="2223"/>
      <c r="BO3" s="2223"/>
      <c r="BP3" s="2223"/>
      <c r="BQ3" s="2223"/>
      <c r="BR3" s="2223"/>
      <c r="BS3" s="2223"/>
      <c r="BT3" s="2223"/>
      <c r="BU3" s="2223"/>
      <c r="BV3" s="2223"/>
      <c r="BW3" s="2223"/>
      <c r="BX3" s="2223"/>
      <c r="BY3" s="2223"/>
      <c r="BZ3" s="2223"/>
      <c r="CA3" s="2223"/>
      <c r="CB3" s="2223"/>
      <c r="CC3" s="2223"/>
      <c r="CD3" s="2223"/>
      <c r="CE3" s="2223"/>
      <c r="CF3" s="2223"/>
      <c r="CG3" s="2223"/>
      <c r="CH3" s="2223"/>
      <c r="CI3" s="2223"/>
      <c r="CJ3" s="2223"/>
      <c r="CK3" s="2223"/>
      <c r="CL3" s="2223"/>
      <c r="CM3" s="2223"/>
      <c r="CN3" s="2223"/>
      <c r="CO3" s="2223"/>
      <c r="CP3" s="2223"/>
      <c r="CQ3" s="2223"/>
      <c r="CR3" s="2223"/>
      <c r="CS3" s="2224"/>
      <c r="CT3" s="2224"/>
      <c r="CU3" s="2223"/>
      <c r="CV3" s="2223"/>
      <c r="CW3" s="2223"/>
      <c r="CX3" s="2223"/>
      <c r="CY3" s="2223"/>
      <c r="CZ3" s="2223"/>
      <c r="DA3" s="2223"/>
      <c r="DB3" s="2223"/>
      <c r="DC3" s="2223"/>
      <c r="DD3" s="2223"/>
      <c r="DE3" s="2223"/>
      <c r="DF3" s="2223"/>
      <c r="DG3" s="2223"/>
      <c r="DH3" s="2223"/>
      <c r="DI3" s="2223"/>
      <c r="DJ3" s="2223"/>
      <c r="DK3" s="2223"/>
      <c r="DL3" s="2223"/>
      <c r="DM3" s="2223"/>
      <c r="DN3" s="2223"/>
      <c r="DO3" s="2223"/>
      <c r="DP3" s="2223"/>
      <c r="DQ3" s="2223"/>
      <c r="DR3" s="2223"/>
      <c r="DS3" s="2223"/>
      <c r="DT3" s="2223"/>
      <c r="DU3" s="2223"/>
      <c r="DV3" s="2223"/>
      <c r="DW3" s="2223"/>
      <c r="DX3" s="2223"/>
      <c r="DY3" s="2223"/>
      <c r="DZ3" s="2223"/>
      <c r="EA3" s="2223"/>
      <c r="EB3" s="2223"/>
      <c r="EC3" s="2223"/>
      <c r="ED3" s="2223"/>
      <c r="EE3" s="2223"/>
      <c r="EF3" s="2223"/>
      <c r="EG3" s="2223"/>
      <c r="EH3" s="2223"/>
      <c r="EI3" s="2223"/>
      <c r="EJ3" s="2223"/>
      <c r="EK3" s="2223"/>
      <c r="EL3" s="2223"/>
      <c r="EM3" s="2223"/>
      <c r="EN3" s="2223"/>
      <c r="EO3" s="2223"/>
      <c r="EP3" s="2223"/>
      <c r="EQ3" s="2223"/>
      <c r="ER3" s="2223"/>
      <c r="ES3" s="2225"/>
      <c r="ET3" s="2225"/>
      <c r="EU3" s="2226"/>
      <c r="EV3" s="2223"/>
      <c r="EW3" s="2223"/>
      <c r="EX3" s="2223"/>
      <c r="EY3" s="2223"/>
      <c r="EZ3" s="2223"/>
      <c r="FA3" s="2223"/>
      <c r="FB3" s="2223"/>
      <c r="FC3" s="2223"/>
      <c r="FD3" s="2223"/>
      <c r="FE3" s="2223"/>
      <c r="FF3" s="2223"/>
      <c r="FG3" s="2223"/>
      <c r="FH3" s="2223"/>
      <c r="FI3" s="2223"/>
      <c r="FJ3" s="2223"/>
      <c r="FK3" s="2223"/>
      <c r="FL3" s="2223"/>
      <c r="FM3" s="2223"/>
      <c r="FN3" s="2223"/>
      <c r="FO3" s="2223"/>
      <c r="FP3" s="2223"/>
      <c r="FQ3" s="2223"/>
      <c r="FR3" s="2223"/>
      <c r="FS3" s="2223"/>
      <c r="FT3" s="2223"/>
      <c r="FU3" s="2225"/>
      <c r="FV3" s="2225"/>
      <c r="FW3" s="2226"/>
      <c r="FX3" s="2223"/>
      <c r="FY3" s="2223"/>
      <c r="FZ3" s="2223"/>
      <c r="GA3" s="2223"/>
      <c r="GB3" s="2223"/>
      <c r="GC3" s="2223"/>
      <c r="GD3" s="2223"/>
      <c r="GE3" s="2223"/>
      <c r="GF3" s="2223"/>
      <c r="GG3" s="2223"/>
      <c r="GH3" s="2223"/>
      <c r="GI3" s="2223"/>
      <c r="GJ3" s="2223"/>
      <c r="GK3" s="2223"/>
      <c r="GL3" s="2223"/>
      <c r="GM3" s="2223"/>
      <c r="GN3" s="2223"/>
      <c r="GO3" s="2223"/>
      <c r="GP3" s="2223"/>
      <c r="GQ3" s="2223"/>
      <c r="GR3" s="2223"/>
      <c r="GS3" s="2223"/>
      <c r="GT3" s="2223"/>
      <c r="GU3" s="2223"/>
      <c r="GV3" s="2223"/>
      <c r="GW3" s="2223"/>
      <c r="GX3" s="2223"/>
      <c r="GY3" s="2223"/>
      <c r="GZ3" s="2223"/>
      <c r="HA3" s="2223"/>
      <c r="HB3" s="2223"/>
      <c r="HC3" s="2225"/>
      <c r="HD3" s="2225"/>
      <c r="HE3" s="2226"/>
      <c r="HF3" s="2223"/>
      <c r="HG3" s="2223"/>
      <c r="HH3" s="2223"/>
      <c r="HI3" s="2223"/>
      <c r="HJ3" s="2223"/>
      <c r="HK3" s="2223"/>
      <c r="HL3" s="2223"/>
      <c r="HM3" s="2223"/>
      <c r="HN3" s="2223"/>
      <c r="HO3" s="2223"/>
      <c r="HP3" s="2223"/>
      <c r="HQ3" s="2223"/>
      <c r="HR3" s="2225"/>
      <c r="HS3" s="2225"/>
      <c r="HT3" s="2223"/>
      <c r="HU3" s="2223"/>
      <c r="HV3" s="2223"/>
      <c r="HW3" s="2223"/>
      <c r="HX3" s="2223"/>
      <c r="HY3" s="2223"/>
      <c r="HZ3" s="2223"/>
      <c r="IA3" s="2223"/>
      <c r="IB3" s="2223"/>
      <c r="IC3" s="2223"/>
      <c r="ID3" s="2225"/>
      <c r="IE3" s="2223"/>
      <c r="IF3" s="2223"/>
      <c r="IG3" s="2223"/>
      <c r="IH3" s="2223"/>
      <c r="II3" s="2223"/>
      <c r="IJ3" s="2223"/>
      <c r="IK3" s="2223"/>
      <c r="IL3" s="2223"/>
      <c r="IM3" s="2223"/>
      <c r="IN3" s="2225"/>
      <c r="IO3" s="2225"/>
      <c r="IP3" s="2223"/>
      <c r="IQ3" s="2223"/>
      <c r="IR3" s="2223"/>
      <c r="IS3" s="2223"/>
      <c r="IT3" s="2223"/>
      <c r="IU3" s="2223"/>
      <c r="IV3" s="2223"/>
      <c r="IW3" s="2223"/>
      <c r="IX3" s="2223"/>
      <c r="IY3" s="2223"/>
      <c r="IZ3" s="2225"/>
      <c r="JA3" s="2223"/>
      <c r="JB3" s="2223"/>
      <c r="JC3" s="2223"/>
      <c r="JD3" s="2223"/>
      <c r="JE3" s="2223"/>
      <c r="JF3" s="2223"/>
      <c r="JG3" s="2223"/>
      <c r="JH3" s="2223"/>
      <c r="JI3" s="2223"/>
      <c r="JJ3" s="2225"/>
      <c r="JK3" s="2225"/>
      <c r="JL3" s="2223"/>
      <c r="JM3" s="2223"/>
      <c r="JN3" s="2223"/>
      <c r="JO3" s="2223"/>
      <c r="JP3" s="2223"/>
      <c r="JQ3" s="2223"/>
      <c r="JR3" s="2223"/>
      <c r="JS3" s="2223"/>
      <c r="JT3" s="2223"/>
      <c r="JU3" s="2223"/>
      <c r="JV3" s="2225"/>
      <c r="JW3" s="2223"/>
      <c r="JX3" s="2223"/>
      <c r="JY3" s="2223"/>
      <c r="JZ3" s="2223"/>
      <c r="KA3" s="2223"/>
      <c r="KB3" s="2223"/>
      <c r="KC3" s="2223"/>
      <c r="KD3" s="2223"/>
      <c r="KE3" s="2223"/>
      <c r="KF3" s="2223"/>
      <c r="KG3" s="2223"/>
      <c r="KH3" s="2223"/>
      <c r="KI3" s="2223"/>
      <c r="KJ3" s="2223"/>
      <c r="KK3" s="2223"/>
      <c r="KL3" s="2223"/>
      <c r="KM3" s="2223"/>
      <c r="KN3" s="2223"/>
      <c r="KO3" s="2223"/>
      <c r="KP3" s="2223"/>
      <c r="KQ3" s="2223"/>
      <c r="KR3" s="2223"/>
      <c r="KS3" s="2223"/>
      <c r="KT3" s="2223"/>
      <c r="KU3" s="2223"/>
      <c r="KV3" s="2223"/>
      <c r="KW3" s="2223"/>
      <c r="KX3" s="2223"/>
      <c r="KY3" s="2223"/>
      <c r="KZ3" s="2223"/>
      <c r="LA3" s="2223"/>
      <c r="LB3" s="2223"/>
      <c r="LC3" s="2223"/>
      <c r="LD3" s="2223"/>
      <c r="LE3" s="2223"/>
      <c r="LF3" s="2223"/>
      <c r="LG3" s="2223"/>
      <c r="LH3" s="2223"/>
      <c r="LI3" s="2223"/>
      <c r="LJ3" s="2223"/>
      <c r="LK3" s="2223"/>
      <c r="LL3" s="2223"/>
      <c r="LM3" s="2223"/>
      <c r="LN3" s="2223"/>
      <c r="LO3" s="2223"/>
      <c r="LP3" s="2223"/>
      <c r="LQ3" s="2223"/>
      <c r="LR3" s="2223"/>
      <c r="LS3" s="2225"/>
      <c r="LT3" s="2223"/>
      <c r="LU3" s="2223"/>
      <c r="LV3" s="2223"/>
      <c r="LW3" s="2223"/>
      <c r="LX3" s="2223"/>
      <c r="LY3" s="2223"/>
      <c r="LZ3" s="2223"/>
      <c r="MA3" s="2223"/>
      <c r="MB3" s="2223"/>
      <c r="MC3" s="2223"/>
      <c r="MD3" s="2223"/>
      <c r="ME3" s="2223"/>
      <c r="MF3" s="2223"/>
      <c r="MG3" s="2223"/>
      <c r="MH3" s="2223"/>
      <c r="MI3" s="2223"/>
      <c r="MJ3" s="2223"/>
      <c r="MK3" t="s">
        <v>1208</v>
      </c>
      <c r="ML3" t="s">
        <v>1208</v>
      </c>
      <c r="MM3" t="s">
        <v>1208</v>
      </c>
      <c r="MN3" t="s">
        <v>1208</v>
      </c>
      <c r="MO3" t="s">
        <v>1208</v>
      </c>
      <c r="MP3" t="s">
        <v>1208</v>
      </c>
      <c r="MQ3" t="s">
        <v>1208</v>
      </c>
      <c r="MR3" t="s">
        <v>1208</v>
      </c>
      <c r="MS3" t="s">
        <v>1208</v>
      </c>
      <c r="MT3" t="s">
        <v>1208</v>
      </c>
    </row>
    <row r="4" spans="1:358" x14ac:dyDescent="0.2">
      <c r="A4" s="1921"/>
      <c r="CS4" s="1495" t="s">
        <v>1188</v>
      </c>
      <c r="CT4" s="1495" t="s">
        <v>1188</v>
      </c>
      <c r="ES4" s="1495" t="s">
        <v>1189</v>
      </c>
      <c r="ET4" s="1495" t="s">
        <v>1189</v>
      </c>
      <c r="EU4" s="1495" t="s">
        <v>1189</v>
      </c>
      <c r="FU4" s="1495" t="s">
        <v>1189</v>
      </c>
      <c r="FV4" s="1495" t="s">
        <v>1189</v>
      </c>
      <c r="FW4" s="1495" t="s">
        <v>1189</v>
      </c>
      <c r="HC4" s="1495" t="s">
        <v>1189</v>
      </c>
      <c r="HD4" s="1495" t="s">
        <v>1189</v>
      </c>
      <c r="HE4" s="1495" t="s">
        <v>1189</v>
      </c>
      <c r="HR4" s="1495" t="s">
        <v>1190</v>
      </c>
      <c r="HS4" s="1495" t="s">
        <v>1190</v>
      </c>
      <c r="ID4" s="1495" t="s">
        <v>1190</v>
      </c>
      <c r="IN4" s="1495" t="s">
        <v>1190</v>
      </c>
      <c r="IO4" s="1495" t="s">
        <v>1190</v>
      </c>
      <c r="IZ4" s="1495" t="s">
        <v>1190</v>
      </c>
      <c r="JJ4" s="1495" t="s">
        <v>1190</v>
      </c>
      <c r="JK4" s="1495" t="s">
        <v>1190</v>
      </c>
      <c r="JV4" s="1495" t="s">
        <v>1190</v>
      </c>
      <c r="LS4" s="1495" t="s">
        <v>1190</v>
      </c>
    </row>
    <row r="5" spans="1:358" x14ac:dyDescent="0.2">
      <c r="A5" s="1921"/>
      <c r="CS5" s="2227" t="s">
        <v>1191</v>
      </c>
      <c r="CT5" s="2227" t="s">
        <v>1191</v>
      </c>
      <c r="ES5" s="1495" t="s">
        <v>1192</v>
      </c>
      <c r="ET5" s="1495" t="s">
        <v>1192</v>
      </c>
      <c r="EU5" s="2227" t="s">
        <v>1193</v>
      </c>
      <c r="FU5" s="1495" t="s">
        <v>1192</v>
      </c>
      <c r="FV5" s="1495" t="s">
        <v>1192</v>
      </c>
      <c r="FW5" s="2227" t="s">
        <v>1194</v>
      </c>
      <c r="HC5" s="1495" t="s">
        <v>1192</v>
      </c>
      <c r="HD5" s="1495" t="s">
        <v>1192</v>
      </c>
      <c r="HE5" s="2227" t="s">
        <v>1194</v>
      </c>
      <c r="HR5" s="2227" t="s">
        <v>1195</v>
      </c>
      <c r="ID5" s="2227" t="s">
        <v>1195</v>
      </c>
      <c r="IN5" s="2227" t="s">
        <v>1195</v>
      </c>
      <c r="IZ5" s="2227" t="s">
        <v>1195</v>
      </c>
      <c r="JJ5" s="2227" t="s">
        <v>1195</v>
      </c>
      <c r="JV5" s="2227" t="s">
        <v>1195</v>
      </c>
      <c r="LS5" s="2227" t="s">
        <v>1195</v>
      </c>
    </row>
    <row r="6" spans="1:358" x14ac:dyDescent="0.2">
      <c r="A6" s="1921"/>
      <c r="ES6" s="1495" t="s">
        <v>1196</v>
      </c>
      <c r="EU6" s="2227" t="s">
        <v>1197</v>
      </c>
      <c r="FU6" s="1495" t="s">
        <v>1196</v>
      </c>
      <c r="HC6" s="1495" t="s">
        <v>1196</v>
      </c>
      <c r="LS6" s="2227"/>
    </row>
    <row r="7" spans="1:358" x14ac:dyDescent="0.2">
      <c r="A7" s="1932" t="s">
        <v>647</v>
      </c>
    </row>
    <row r="8" spans="1:358" x14ac:dyDescent="0.2">
      <c r="A8" s="1921"/>
      <c r="D8" s="1922"/>
      <c r="E8" s="1922"/>
      <c r="F8" s="1922"/>
      <c r="G8" s="1922"/>
      <c r="H8" s="1922"/>
      <c r="I8" s="1922"/>
    </row>
    <row r="11" spans="1:358" x14ac:dyDescent="0.2">
      <c r="A11" s="1922"/>
    </row>
    <row r="17" spans="1:11" ht="64.150000000000006" customHeight="1" x14ac:dyDescent="0.2">
      <c r="J17" s="2668"/>
      <c r="K17" s="2668"/>
    </row>
    <row r="18" spans="1:11" ht="35.450000000000003" customHeight="1" x14ac:dyDescent="0.2">
      <c r="F18" s="2666"/>
      <c r="G18" s="2666"/>
      <c r="H18" s="2666"/>
      <c r="J18" s="2669"/>
      <c r="K18" s="2669"/>
    </row>
    <row r="19" spans="1:11" ht="35.450000000000003" customHeight="1" x14ac:dyDescent="0.2">
      <c r="F19" s="2667"/>
      <c r="G19" s="2667"/>
      <c r="H19" s="2667"/>
      <c r="J19" s="2669"/>
      <c r="K19" s="2669"/>
    </row>
    <row r="20" spans="1:11" ht="35.450000000000003" customHeight="1" x14ac:dyDescent="0.2">
      <c r="F20" s="2667"/>
      <c r="G20" s="2667"/>
      <c r="H20" s="2667"/>
      <c r="J20" s="2669"/>
      <c r="K20" s="2669"/>
    </row>
    <row r="29" spans="1:11" x14ac:dyDescent="0.2">
      <c r="E29" s="1922"/>
    </row>
    <row r="31" spans="1:11" x14ac:dyDescent="0.2">
      <c r="A31" s="1923"/>
      <c r="E31" s="1924"/>
      <c r="K31" s="1921"/>
    </row>
    <row r="32" spans="1:11" x14ac:dyDescent="0.2">
      <c r="A32" s="1923"/>
      <c r="K32" s="1921"/>
    </row>
    <row r="33" spans="1:15" x14ac:dyDescent="0.2">
      <c r="A33" s="1925"/>
      <c r="G33" s="1921"/>
      <c r="K33" s="1921"/>
    </row>
    <row r="34" spans="1:15" x14ac:dyDescent="0.2">
      <c r="A34" s="1925"/>
      <c r="G34" s="1921"/>
    </row>
    <row r="35" spans="1:15" x14ac:dyDescent="0.2">
      <c r="A35" s="1925"/>
      <c r="G35" s="1921"/>
    </row>
    <row r="36" spans="1:15" x14ac:dyDescent="0.2">
      <c r="G36" s="1921"/>
      <c r="H36" s="1921"/>
    </row>
    <row r="37" spans="1:15" x14ac:dyDescent="0.2">
      <c r="A37" s="1925"/>
      <c r="G37" s="1921"/>
    </row>
    <row r="38" spans="1:15" x14ac:dyDescent="0.2">
      <c r="A38" s="1925"/>
      <c r="G38" s="1921"/>
    </row>
    <row r="39" spans="1:15" x14ac:dyDescent="0.2">
      <c r="A39" s="1925"/>
      <c r="G39" s="1922"/>
    </row>
    <row r="40" spans="1:15" x14ac:dyDescent="0.2">
      <c r="A40" s="1925"/>
      <c r="G40" s="1922"/>
    </row>
    <row r="41" spans="1:15" x14ac:dyDescent="0.2">
      <c r="A41" s="1925"/>
    </row>
    <row r="42" spans="1:15" x14ac:dyDescent="0.2">
      <c r="A42" s="1926"/>
    </row>
    <row r="43" spans="1:15" x14ac:dyDescent="0.2">
      <c r="A43" s="1923"/>
      <c r="E43" s="1921"/>
    </row>
    <row r="44" spans="1:15" x14ac:dyDescent="0.2">
      <c r="A44" s="1923"/>
    </row>
    <row r="45" spans="1:15" x14ac:dyDescent="0.2">
      <c r="A45" s="1925"/>
    </row>
    <row r="46" spans="1:15" ht="15" thickBot="1" x14ac:dyDescent="0.25">
      <c r="A46" s="1925"/>
      <c r="E46" s="1921"/>
    </row>
    <row r="47" spans="1:15" ht="15" thickBot="1" x14ac:dyDescent="0.25">
      <c r="A47" s="1925"/>
      <c r="H47" s="1927"/>
      <c r="O47" s="1922"/>
    </row>
    <row r="48" spans="1:15" x14ac:dyDescent="0.2">
      <c r="H48" s="1928"/>
    </row>
    <row r="49" spans="1:8" x14ac:dyDescent="0.2">
      <c r="H49" s="1928"/>
    </row>
    <row r="51" spans="1:8" x14ac:dyDescent="0.2">
      <c r="A51" s="1921"/>
    </row>
    <row r="59" spans="1:8" x14ac:dyDescent="0.2">
      <c r="A59" s="1921"/>
    </row>
    <row r="61" spans="1:8" x14ac:dyDescent="0.2">
      <c r="A61" s="1921"/>
    </row>
  </sheetData>
  <sheetProtection algorithmName="SHA-512" hashValue="hqvPR4mHzr3HCFI7hnKUApQhJduwfK39LW/5NCis0iZsO6EM68j/lS9FsxONkQzZkph7t3Xhvk655/Owxr/kfA==" saltValue="xyeFSTbcJla+m9qbKmUuuA==" spinCount="100000" sheet="1" objects="1" scenarios="1" selectLockedCells="1"/>
  <mergeCells count="7">
    <mergeCell ref="F18:H18"/>
    <mergeCell ref="F19:H19"/>
    <mergeCell ref="F20:H20"/>
    <mergeCell ref="J17:K17"/>
    <mergeCell ref="J18:K18"/>
    <mergeCell ref="J19:K19"/>
    <mergeCell ref="J20:K20"/>
  </mergeCells>
  <phoneticPr fontId="87" type="noConversion"/>
  <pageMargins left="0.70866141732283472" right="0.70866141732283472" top="0.78740157480314965" bottom="0.78740157480314965" header="0.31496062992125984" footer="0.31496062992125984"/>
  <pageSetup paperSize="9" orientation="portrait"/>
  <headerFooter>
    <oddFooter>&amp;L&amp;9Version: 24.04.2026&amp;C&amp;9Verhandlungsunterlagen vollstationär SGB XI ab 01.07.2026&amp;R&amp;9PSK vom 24.04.2026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
  <sheetViews>
    <sheetView showWhiteSpace="0" zoomScaleNormal="100" workbookViewId="0">
      <selection activeCell="E13" sqref="E13"/>
    </sheetView>
  </sheetViews>
  <sheetFormatPr baseColWidth="10" defaultRowHeight="14.25" x14ac:dyDescent="0.2"/>
  <sheetData>
    <row r="2" spans="1:1" x14ac:dyDescent="0.2">
      <c r="A2" s="1201" t="s">
        <v>1083</v>
      </c>
    </row>
  </sheetData>
  <pageMargins left="0.70866141732283472" right="0.70866141732283472" top="0.78740157480314965" bottom="0.78740157480314965" header="0.31496062992125984" footer="0.31496062992125984"/>
  <pageSetup paperSize="9" orientation="portrait"/>
  <headerFooter>
    <oddFooter>&amp;LVersion: 24.04.2026&amp;RPSK vom 24.04.2026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3" tint="0.79998168889431442"/>
    <pageSetUpPr fitToPage="1"/>
  </sheetPr>
  <dimension ref="A1:V76"/>
  <sheetViews>
    <sheetView showGridLines="0" tabSelected="1" zoomScaleNormal="100" workbookViewId="0">
      <selection activeCell="L4" sqref="L4:M4"/>
    </sheetView>
  </sheetViews>
  <sheetFormatPr baseColWidth="10" defaultRowHeight="14.25" x14ac:dyDescent="0.2"/>
  <cols>
    <col min="1" max="1" width="4.625" style="4" customWidth="1"/>
    <col min="2" max="2" width="2.375" style="4" customWidth="1"/>
    <col min="3" max="3" width="14.25" style="4" customWidth="1"/>
    <col min="4" max="4" width="10.625" style="4" customWidth="1"/>
    <col min="5" max="7" width="3.125" style="4" customWidth="1"/>
    <col min="8" max="8" width="11" style="4"/>
    <col min="9" max="9" width="3.375" style="4" customWidth="1"/>
    <col min="10" max="10" width="2.375" style="4" customWidth="1"/>
    <col min="11" max="11" width="16.125" style="4" customWidth="1"/>
    <col min="12" max="12" width="13.5" style="4" customWidth="1"/>
    <col min="13" max="13" width="8.125" style="4" customWidth="1"/>
    <col min="14" max="14" width="3.625" style="4" customWidth="1"/>
    <col min="15" max="15" width="11" customWidth="1"/>
    <col min="16" max="20" width="11" style="4" customWidth="1"/>
    <col min="21" max="27" width="11" customWidth="1"/>
  </cols>
  <sheetData>
    <row r="1" spans="1:22" ht="15" x14ac:dyDescent="0.25">
      <c r="A1" s="2358" t="s">
        <v>0</v>
      </c>
      <c r="B1" s="2359"/>
      <c r="C1" s="2359"/>
      <c r="D1" s="2359"/>
      <c r="E1" s="2359"/>
      <c r="F1" s="2359"/>
      <c r="G1" s="2359"/>
      <c r="H1" s="2359"/>
      <c r="I1" s="2359"/>
      <c r="J1" s="2359"/>
      <c r="K1" s="2359"/>
      <c r="L1" s="2359"/>
      <c r="M1" s="2359"/>
      <c r="N1" s="2360"/>
      <c r="O1" s="396"/>
      <c r="P1" s="561"/>
      <c r="Q1" s="204"/>
      <c r="R1" s="562"/>
      <c r="S1"/>
      <c r="T1" s="204"/>
      <c r="V1" s="563"/>
    </row>
    <row r="2" spans="1:22" ht="15" customHeight="1" x14ac:dyDescent="0.25">
      <c r="A2" s="2361" t="s">
        <v>1</v>
      </c>
      <c r="B2" s="2362"/>
      <c r="C2" s="2362"/>
      <c r="D2" s="2362"/>
      <c r="E2" s="2362"/>
      <c r="F2" s="2362"/>
      <c r="G2" s="2362"/>
      <c r="H2" s="2362"/>
      <c r="I2" s="2362"/>
      <c r="J2" s="2362"/>
      <c r="K2" s="2362"/>
      <c r="L2" s="2362"/>
      <c r="M2" s="2362"/>
      <c r="N2" s="2363"/>
      <c r="O2" s="397"/>
      <c r="P2" s="564"/>
      <c r="Q2"/>
      <c r="R2"/>
      <c r="S2"/>
      <c r="T2" s="565"/>
      <c r="V2" s="566"/>
    </row>
    <row r="3" spans="1:22" ht="15" x14ac:dyDescent="0.25">
      <c r="A3" s="2361" t="str">
        <f>IF(D12&gt;0,CONCATENATE(D12,","," ",D16," ",J16),"")</f>
        <v/>
      </c>
      <c r="B3" s="2362"/>
      <c r="C3" s="2362"/>
      <c r="D3" s="2362"/>
      <c r="E3" s="2362"/>
      <c r="F3" s="2362"/>
      <c r="G3" s="2362"/>
      <c r="H3" s="2362"/>
      <c r="I3" s="2362"/>
      <c r="J3" s="2362"/>
      <c r="K3" s="2362"/>
      <c r="L3" s="2362"/>
      <c r="M3" s="2362"/>
      <c r="N3" s="2363"/>
      <c r="O3" s="57"/>
      <c r="P3"/>
      <c r="Q3"/>
      <c r="R3"/>
      <c r="S3"/>
      <c r="T3"/>
      <c r="V3" s="567"/>
    </row>
    <row r="4" spans="1:22" ht="15" x14ac:dyDescent="0.25">
      <c r="A4" s="438"/>
      <c r="B4" s="444" t="str">
        <f>IF(L6&gt;0,CONCATENATE("IK"," ",L6),"")</f>
        <v/>
      </c>
      <c r="C4" s="439"/>
      <c r="D4" s="439"/>
      <c r="E4" s="439"/>
      <c r="F4" s="439"/>
      <c r="G4" s="439"/>
      <c r="H4" s="439"/>
      <c r="I4" s="439"/>
      <c r="J4" s="439"/>
      <c r="K4" s="443" t="s">
        <v>294</v>
      </c>
      <c r="L4" s="2369"/>
      <c r="M4" s="2370"/>
      <c r="N4" s="440"/>
      <c r="O4" s="204"/>
      <c r="P4" s="562"/>
      <c r="Q4"/>
      <c r="R4"/>
      <c r="S4" s="568"/>
      <c r="T4" s="569"/>
      <c r="U4" s="570"/>
      <c r="V4" s="571"/>
    </row>
    <row r="5" spans="1:22" ht="12.75" customHeight="1" thickBot="1" x14ac:dyDescent="0.25">
      <c r="A5" s="2371">
        <v>46160</v>
      </c>
      <c r="B5" s="2372"/>
      <c r="C5" s="2373"/>
      <c r="K5" s="331" t="str">
        <f>IF(L4=0,"Antragsdatum bitte angeben.",IF(DATEDIF(L4,H52,"m")&gt;4,"Antragstellung max. 4 Monate vor Laufzeitbeginn.",""))</f>
        <v>Antragsdatum bitte angeben.</v>
      </c>
      <c r="N5" s="5"/>
      <c r="P5" s="473"/>
      <c r="Q5"/>
      <c r="R5"/>
      <c r="S5"/>
      <c r="T5"/>
      <c r="V5" s="571"/>
    </row>
    <row r="6" spans="1:22" ht="15" thickBot="1" x14ac:dyDescent="0.25">
      <c r="A6" s="3"/>
      <c r="B6" s="6" t="s">
        <v>2</v>
      </c>
      <c r="D6" s="2364"/>
      <c r="E6" s="2365"/>
      <c r="F6" s="2365"/>
      <c r="G6" s="2366"/>
      <c r="I6" s="6"/>
      <c r="J6" s="6"/>
      <c r="K6" s="67" t="s">
        <v>336</v>
      </c>
      <c r="L6" s="2367"/>
      <c r="M6" s="2368"/>
      <c r="N6" s="5"/>
      <c r="O6" s="386"/>
      <c r="P6" s="572"/>
      <c r="Q6"/>
      <c r="R6"/>
      <c r="S6"/>
      <c r="T6"/>
      <c r="V6" s="571"/>
    </row>
    <row r="7" spans="1:22" ht="12.75" customHeight="1" x14ac:dyDescent="0.2">
      <c r="A7" s="3"/>
      <c r="B7" s="7"/>
      <c r="C7" s="424"/>
      <c r="D7" s="555" t="str">
        <f>IF(D6&gt;0,IF(D6="teilstationäre Pflege","tst",IF(D6="Kurzzeitpflege","kzp","vst")),"")</f>
        <v/>
      </c>
      <c r="E7" s="430"/>
      <c r="F7" s="556" t="str">
        <f>IF(D6="4. Generation","4.","")</f>
        <v/>
      </c>
      <c r="K7" s="67" t="s">
        <v>651</v>
      </c>
      <c r="L7" s="2367"/>
      <c r="M7" s="2368"/>
      <c r="N7" s="560"/>
      <c r="O7" s="387"/>
      <c r="P7" s="573"/>
      <c r="Q7"/>
      <c r="R7"/>
      <c r="S7"/>
      <c r="T7"/>
      <c r="V7" s="571"/>
    </row>
    <row r="8" spans="1:22" ht="12.75" customHeight="1" x14ac:dyDescent="0.2">
      <c r="A8" s="3"/>
      <c r="B8" s="7"/>
      <c r="C8" s="424"/>
      <c r="D8" s="425"/>
      <c r="N8" s="5"/>
      <c r="P8" s="1130"/>
      <c r="Q8"/>
      <c r="R8" s="1130"/>
      <c r="S8"/>
      <c r="T8" s="1130"/>
      <c r="V8" s="571"/>
    </row>
    <row r="9" spans="1:22" ht="2.1" customHeight="1" x14ac:dyDescent="0.2">
      <c r="N9" s="5"/>
      <c r="O9" s="388"/>
      <c r="P9"/>
      <c r="Q9"/>
      <c r="R9"/>
      <c r="S9"/>
      <c r="T9" s="1130"/>
    </row>
    <row r="10" spans="1:22" ht="12.75" customHeight="1" x14ac:dyDescent="0.2">
      <c r="A10" s="3"/>
      <c r="B10" s="115" t="s">
        <v>4</v>
      </c>
      <c r="C10" s="93"/>
      <c r="D10" s="93"/>
      <c r="E10" s="93"/>
      <c r="F10" s="93"/>
      <c r="G10" s="93"/>
      <c r="H10" s="93"/>
      <c r="I10" s="93"/>
      <c r="J10" s="93"/>
      <c r="K10" s="93"/>
      <c r="L10" s="93"/>
      <c r="M10" s="93"/>
      <c r="N10" s="5"/>
      <c r="O10" s="9"/>
      <c r="P10" s="574"/>
      <c r="Q10"/>
      <c r="R10"/>
      <c r="S10"/>
      <c r="T10"/>
    </row>
    <row r="11" spans="1:22" x14ac:dyDescent="0.2">
      <c r="A11" s="3"/>
      <c r="D11" s="331" t="str">
        <f>IF(AND(D6=0,D12&lt;&gt;0),"Wählen Sie noch die Art der Einrichtung aus","")</f>
        <v/>
      </c>
      <c r="N11" s="5"/>
      <c r="O11" s="392"/>
      <c r="P11" s="574"/>
      <c r="Q11"/>
      <c r="R11"/>
      <c r="S11"/>
      <c r="T11"/>
    </row>
    <row r="12" spans="1:22" x14ac:dyDescent="0.2">
      <c r="A12" s="3"/>
      <c r="B12" s="10" t="s">
        <v>162</v>
      </c>
      <c r="D12" s="2355"/>
      <c r="E12" s="2355"/>
      <c r="F12" s="2355"/>
      <c r="G12" s="2355"/>
      <c r="H12" s="2355"/>
      <c r="I12" s="2355"/>
      <c r="J12" s="2355"/>
      <c r="K12" s="2355"/>
      <c r="L12" s="2355"/>
      <c r="M12" s="2355"/>
      <c r="N12" s="11"/>
      <c r="P12" s="574"/>
      <c r="Q12"/>
      <c r="R12"/>
      <c r="S12"/>
      <c r="T12"/>
    </row>
    <row r="13" spans="1:22" x14ac:dyDescent="0.2">
      <c r="A13" s="3"/>
      <c r="D13" s="12" t="s">
        <v>5</v>
      </c>
      <c r="E13" s="12"/>
      <c r="J13" s="12"/>
      <c r="K13" s="12"/>
      <c r="L13" s="12"/>
      <c r="M13" s="12"/>
      <c r="N13" s="13"/>
      <c r="P13"/>
      <c r="Q13"/>
      <c r="R13"/>
      <c r="S13"/>
      <c r="T13"/>
    </row>
    <row r="14" spans="1:22" x14ac:dyDescent="0.2">
      <c r="A14" s="3"/>
      <c r="D14" s="2355"/>
      <c r="E14" s="2355"/>
      <c r="F14" s="2355"/>
      <c r="G14" s="2355"/>
      <c r="H14" s="2355"/>
      <c r="I14" s="2355"/>
      <c r="J14" s="2355"/>
      <c r="K14" s="2355"/>
      <c r="L14" s="2355"/>
      <c r="M14" s="2355"/>
      <c r="N14" s="5"/>
      <c r="O14" s="395"/>
      <c r="P14" s="574"/>
      <c r="Q14"/>
      <c r="R14"/>
      <c r="S14"/>
      <c r="T14"/>
    </row>
    <row r="15" spans="1:22" x14ac:dyDescent="0.2">
      <c r="A15" s="3"/>
      <c r="D15" s="12" t="s">
        <v>6</v>
      </c>
      <c r="E15" s="12"/>
      <c r="N15" s="5"/>
      <c r="O15" s="405"/>
      <c r="P15"/>
      <c r="Q15"/>
      <c r="R15"/>
      <c r="S15"/>
      <c r="T15"/>
    </row>
    <row r="16" spans="1:22" x14ac:dyDescent="0.2">
      <c r="A16" s="3"/>
      <c r="D16" s="2356"/>
      <c r="E16" s="2356"/>
      <c r="F16" s="2356"/>
      <c r="G16" s="2356"/>
      <c r="H16" s="2356"/>
      <c r="J16" s="2355"/>
      <c r="K16" s="2355"/>
      <c r="L16" s="2355"/>
      <c r="M16" s="2355"/>
      <c r="N16" s="5"/>
      <c r="P16"/>
      <c r="Q16"/>
      <c r="R16"/>
      <c r="S16"/>
      <c r="T16"/>
    </row>
    <row r="17" spans="1:20" x14ac:dyDescent="0.2">
      <c r="A17" s="3"/>
      <c r="D17" s="12" t="s">
        <v>642</v>
      </c>
      <c r="E17" s="12"/>
      <c r="J17" s="12" t="s">
        <v>643</v>
      </c>
      <c r="N17" s="5"/>
      <c r="P17"/>
      <c r="Q17"/>
      <c r="R17"/>
      <c r="S17"/>
      <c r="T17"/>
    </row>
    <row r="18" spans="1:20" x14ac:dyDescent="0.2">
      <c r="A18" s="3"/>
      <c r="D18" s="2356"/>
      <c r="E18" s="2356"/>
      <c r="F18" s="2356"/>
      <c r="G18" s="2356"/>
      <c r="H18" s="2356"/>
      <c r="J18" s="2356"/>
      <c r="K18" s="2356"/>
      <c r="L18" s="2356"/>
      <c r="M18" s="2356"/>
      <c r="N18" s="5"/>
      <c r="P18"/>
      <c r="Q18"/>
      <c r="R18"/>
      <c r="S18"/>
      <c r="T18"/>
    </row>
    <row r="19" spans="1:20" x14ac:dyDescent="0.2">
      <c r="A19" s="3"/>
      <c r="D19" s="12" t="s">
        <v>7</v>
      </c>
      <c r="E19" s="12"/>
      <c r="J19" s="12" t="s">
        <v>8</v>
      </c>
      <c r="K19" s="12"/>
      <c r="L19" s="12"/>
      <c r="N19" s="5"/>
      <c r="P19"/>
      <c r="Q19"/>
      <c r="R19" s="339"/>
      <c r="S19"/>
      <c r="T19"/>
    </row>
    <row r="20" spans="1:20" x14ac:dyDescent="0.2">
      <c r="A20" s="3"/>
      <c r="D20" s="2378"/>
      <c r="E20" s="2378"/>
      <c r="F20" s="2378"/>
      <c r="G20" s="2378"/>
      <c r="H20" s="2378"/>
      <c r="J20" s="2378"/>
      <c r="K20" s="2378"/>
      <c r="L20" s="2378"/>
      <c r="M20" s="2378"/>
      <c r="N20" s="5"/>
      <c r="P20"/>
      <c r="Q20"/>
      <c r="R20"/>
      <c r="S20"/>
      <c r="T20"/>
    </row>
    <row r="21" spans="1:20" ht="14.25" customHeight="1" x14ac:dyDescent="0.2">
      <c r="A21" s="3"/>
      <c r="D21" s="12" t="s">
        <v>9</v>
      </c>
      <c r="E21" s="12"/>
      <c r="J21" s="14" t="s">
        <v>164</v>
      </c>
      <c r="N21" s="5"/>
      <c r="P21"/>
      <c r="Q21"/>
      <c r="R21"/>
      <c r="S21"/>
      <c r="T21"/>
    </row>
    <row r="22" spans="1:20" x14ac:dyDescent="0.2">
      <c r="A22" s="3"/>
      <c r="D22" s="2356"/>
      <c r="E22" s="2356"/>
      <c r="F22" s="2356"/>
      <c r="G22" s="2356"/>
      <c r="H22" s="2356"/>
      <c r="J22" s="2356"/>
      <c r="K22" s="2356"/>
      <c r="L22" s="2356"/>
      <c r="M22" s="2356"/>
      <c r="N22" s="5"/>
      <c r="P22"/>
      <c r="Q22"/>
      <c r="R22"/>
      <c r="S22"/>
      <c r="T22"/>
    </row>
    <row r="23" spans="1:20" ht="12.75" customHeight="1" x14ac:dyDescent="0.2">
      <c r="A23" s="3"/>
      <c r="D23" s="12" t="s">
        <v>163</v>
      </c>
      <c r="E23" s="12"/>
      <c r="J23" s="12" t="s">
        <v>10</v>
      </c>
      <c r="K23" s="12"/>
      <c r="L23" s="12"/>
      <c r="N23" s="5"/>
      <c r="P23"/>
      <c r="Q23"/>
      <c r="R23"/>
      <c r="S23"/>
      <c r="T23"/>
    </row>
    <row r="24" spans="1:20" ht="12.75" customHeight="1" x14ac:dyDescent="0.2">
      <c r="A24" s="3"/>
      <c r="D24" s="12"/>
      <c r="E24" s="12"/>
      <c r="J24" s="14"/>
      <c r="N24" s="5"/>
      <c r="P24"/>
      <c r="Q24"/>
      <c r="R24"/>
      <c r="S24"/>
      <c r="T24"/>
    </row>
    <row r="25" spans="1:20" x14ac:dyDescent="0.2">
      <c r="A25" s="3"/>
      <c r="D25" s="12"/>
      <c r="E25" s="12"/>
      <c r="N25" s="5"/>
      <c r="P25"/>
      <c r="Q25"/>
      <c r="R25"/>
      <c r="S25"/>
      <c r="T25"/>
    </row>
    <row r="26" spans="1:20" x14ac:dyDescent="0.2">
      <c r="A26" s="3"/>
      <c r="B26" s="10" t="s">
        <v>11</v>
      </c>
      <c r="D26" s="2355"/>
      <c r="E26" s="2355"/>
      <c r="F26" s="2355"/>
      <c r="G26" s="2355"/>
      <c r="H26" s="2355"/>
      <c r="I26" s="2355"/>
      <c r="J26" s="2355"/>
      <c r="K26" s="2355"/>
      <c r="L26" s="2355"/>
      <c r="M26" s="2355"/>
      <c r="N26" s="5"/>
      <c r="P26"/>
      <c r="Q26"/>
      <c r="R26"/>
      <c r="S26"/>
      <c r="T26"/>
    </row>
    <row r="27" spans="1:20" x14ac:dyDescent="0.2">
      <c r="A27" s="3"/>
      <c r="D27" s="12" t="s">
        <v>12</v>
      </c>
      <c r="E27" s="12"/>
      <c r="N27" s="5"/>
      <c r="P27"/>
      <c r="Q27"/>
      <c r="R27"/>
      <c r="S27"/>
      <c r="T27"/>
    </row>
    <row r="28" spans="1:20" ht="14.25" customHeight="1" x14ac:dyDescent="0.2">
      <c r="A28" s="3"/>
      <c r="D28" s="2355"/>
      <c r="E28" s="2355"/>
      <c r="F28" s="2355"/>
      <c r="G28" s="2355"/>
      <c r="H28" s="2355"/>
      <c r="I28" s="2355"/>
      <c r="J28" s="2355"/>
      <c r="K28" s="2355"/>
      <c r="L28" s="2355"/>
      <c r="M28" s="2355"/>
      <c r="N28" s="5"/>
      <c r="P28"/>
      <c r="Q28"/>
      <c r="R28"/>
      <c r="S28"/>
      <c r="T28"/>
    </row>
    <row r="29" spans="1:20" x14ac:dyDescent="0.2">
      <c r="A29" s="3"/>
      <c r="D29" s="12" t="s">
        <v>6</v>
      </c>
      <c r="E29" s="12"/>
      <c r="N29" s="5"/>
      <c r="P29"/>
      <c r="Q29"/>
      <c r="R29"/>
      <c r="S29"/>
      <c r="T29"/>
    </row>
    <row r="30" spans="1:20" x14ac:dyDescent="0.2">
      <c r="A30" s="3"/>
      <c r="D30" s="2357"/>
      <c r="E30" s="2357"/>
      <c r="F30" s="2357"/>
      <c r="G30" s="2357"/>
      <c r="H30" s="2357"/>
      <c r="J30" s="2356"/>
      <c r="K30" s="2356"/>
      <c r="L30" s="2356"/>
      <c r="M30" s="2356"/>
      <c r="N30" s="5"/>
      <c r="P30"/>
      <c r="Q30"/>
      <c r="R30"/>
      <c r="S30"/>
      <c r="T30"/>
    </row>
    <row r="31" spans="1:20" x14ac:dyDescent="0.2">
      <c r="A31" s="3"/>
      <c r="D31" s="12" t="s">
        <v>641</v>
      </c>
      <c r="E31" s="12"/>
      <c r="J31" s="12" t="s">
        <v>643</v>
      </c>
      <c r="N31" s="5"/>
      <c r="P31"/>
      <c r="Q31"/>
      <c r="R31"/>
      <c r="S31"/>
      <c r="T31"/>
    </row>
    <row r="32" spans="1:20" x14ac:dyDescent="0.2">
      <c r="A32" s="3"/>
      <c r="D32" s="2356"/>
      <c r="E32" s="2356"/>
      <c r="F32" s="2356"/>
      <c r="G32" s="2356"/>
      <c r="H32" s="2356"/>
      <c r="J32" s="2356"/>
      <c r="K32" s="2356"/>
      <c r="L32" s="2356"/>
      <c r="M32" s="2356"/>
      <c r="N32" s="5"/>
      <c r="P32"/>
      <c r="Q32"/>
      <c r="R32"/>
      <c r="S32"/>
      <c r="T32"/>
    </row>
    <row r="33" spans="1:20" x14ac:dyDescent="0.2">
      <c r="A33" s="3"/>
      <c r="D33" s="12" t="s">
        <v>7</v>
      </c>
      <c r="E33" s="12"/>
      <c r="J33" s="12" t="s">
        <v>8</v>
      </c>
      <c r="K33" s="12"/>
      <c r="L33" s="12"/>
      <c r="M33" s="12"/>
      <c r="N33" s="13"/>
    </row>
    <row r="34" spans="1:20" x14ac:dyDescent="0.2">
      <c r="A34" s="3"/>
      <c r="D34" s="2378"/>
      <c r="E34" s="2378"/>
      <c r="F34" s="2378"/>
      <c r="G34" s="2378"/>
      <c r="H34" s="2378"/>
      <c r="J34" s="2378"/>
      <c r="K34" s="2378"/>
      <c r="L34" s="2378"/>
      <c r="M34" s="2378"/>
      <c r="N34" s="5"/>
    </row>
    <row r="35" spans="1:20" x14ac:dyDescent="0.2">
      <c r="A35" s="3"/>
      <c r="D35" s="12" t="s">
        <v>9</v>
      </c>
      <c r="E35" s="12"/>
      <c r="J35" s="14" t="s">
        <v>164</v>
      </c>
      <c r="N35" s="5"/>
      <c r="O35" s="395"/>
    </row>
    <row r="36" spans="1:20" x14ac:dyDescent="0.2">
      <c r="A36" s="3"/>
      <c r="D36" s="2355"/>
      <c r="E36" s="2355"/>
      <c r="F36" s="2355"/>
      <c r="G36" s="2355"/>
      <c r="H36" s="2355"/>
      <c r="I36" s="2355"/>
      <c r="J36" s="2355"/>
      <c r="K36" s="2355"/>
      <c r="L36" s="2355"/>
      <c r="M36" s="2355"/>
      <c r="N36" s="5"/>
    </row>
    <row r="37" spans="1:20" ht="12.75" customHeight="1" x14ac:dyDescent="0.2">
      <c r="A37" s="3"/>
      <c r="D37" s="12" t="s">
        <v>274</v>
      </c>
      <c r="E37" s="12"/>
      <c r="J37" s="14"/>
      <c r="N37" s="5"/>
    </row>
    <row r="38" spans="1:20" x14ac:dyDescent="0.2">
      <c r="A38" s="3"/>
      <c r="D38" s="12"/>
      <c r="E38" s="12"/>
      <c r="N38" s="5"/>
    </row>
    <row r="39" spans="1:20" ht="14.25" customHeight="1" x14ac:dyDescent="0.2">
      <c r="A39" s="3"/>
      <c r="B39" s="115" t="s">
        <v>13</v>
      </c>
      <c r="C39" s="93"/>
      <c r="D39" s="224"/>
      <c r="E39" s="224"/>
      <c r="F39" s="93"/>
      <c r="G39" s="93"/>
      <c r="H39" s="93"/>
      <c r="I39" s="93"/>
      <c r="J39" s="93"/>
      <c r="K39" s="93"/>
      <c r="L39" s="93"/>
      <c r="M39" s="93"/>
      <c r="N39" s="5"/>
    </row>
    <row r="40" spans="1:20" x14ac:dyDescent="0.2">
      <c r="A40" s="3"/>
      <c r="D40" s="12"/>
      <c r="E40" s="12"/>
      <c r="N40" s="5"/>
    </row>
    <row r="41" spans="1:20" ht="14.25" customHeight="1" x14ac:dyDescent="0.2">
      <c r="A41" s="3"/>
      <c r="C41" s="16"/>
      <c r="E41" s="10"/>
      <c r="G41" s="17" t="s">
        <v>14</v>
      </c>
      <c r="H41" s="2377"/>
      <c r="I41" s="2377"/>
      <c r="J41" s="2377"/>
      <c r="K41" s="2377"/>
      <c r="L41" s="2377"/>
      <c r="M41" s="2377"/>
      <c r="N41" s="5"/>
    </row>
    <row r="42" spans="1:20" s="4" customFormat="1" ht="12.75" customHeight="1" x14ac:dyDescent="0.2">
      <c r="A42" s="3"/>
      <c r="D42" s="12"/>
      <c r="E42" s="12"/>
      <c r="N42" s="5"/>
      <c r="O42" s="9"/>
    </row>
    <row r="43" spans="1:20" ht="12.75" customHeight="1" x14ac:dyDescent="0.2">
      <c r="A43" s="3"/>
      <c r="B43" s="10" t="s">
        <v>15</v>
      </c>
      <c r="D43" s="12"/>
      <c r="E43" s="12"/>
      <c r="I43" s="18"/>
      <c r="N43" s="5"/>
    </row>
    <row r="44" spans="1:20" ht="9.9499999999999993" customHeight="1" x14ac:dyDescent="0.2">
      <c r="A44" s="3"/>
      <c r="D44" s="12"/>
      <c r="E44" s="12"/>
      <c r="N44" s="5"/>
    </row>
    <row r="45" spans="1:20" ht="12.75" customHeight="1" x14ac:dyDescent="0.2">
      <c r="A45" s="3"/>
      <c r="B45" s="6" t="s">
        <v>554</v>
      </c>
      <c r="H45" s="1957"/>
      <c r="N45" s="5"/>
      <c r="O45" s="2"/>
      <c r="P45" s="388"/>
      <c r="Q45" s="575"/>
    </row>
    <row r="46" spans="1:20" ht="9.9499999999999993" customHeight="1" thickBot="1" x14ac:dyDescent="0.25">
      <c r="A46" s="3"/>
      <c r="N46" s="5"/>
      <c r="O46" s="386"/>
      <c r="P46" s="388"/>
      <c r="Q46" s="576"/>
      <c r="R46" s="577"/>
    </row>
    <row r="47" spans="1:20" ht="14.1" customHeight="1" thickBot="1" x14ac:dyDescent="0.25">
      <c r="A47" s="3"/>
      <c r="B47" s="15" t="s">
        <v>16</v>
      </c>
      <c r="L47" s="2108"/>
      <c r="N47" s="5"/>
      <c r="O47" s="386"/>
    </row>
    <row r="48" spans="1:20" s="1" customFormat="1" ht="14.1" customHeight="1" thickBot="1" x14ac:dyDescent="0.25">
      <c r="A48" s="3"/>
      <c r="B48" s="6" t="s">
        <v>578</v>
      </c>
      <c r="C48" s="4"/>
      <c r="D48" s="4"/>
      <c r="E48" s="4"/>
      <c r="F48" s="4"/>
      <c r="G48" s="4"/>
      <c r="H48" s="4"/>
      <c r="I48" s="4"/>
      <c r="J48" s="4"/>
      <c r="K48" s="4"/>
      <c r="L48" s="218"/>
      <c r="M48" s="4"/>
      <c r="N48" s="5"/>
      <c r="P48" s="10"/>
      <c r="Q48" s="10"/>
      <c r="R48" s="10"/>
      <c r="S48" s="10"/>
      <c r="T48" s="10"/>
    </row>
    <row r="49" spans="1:20" ht="9.9499999999999993" customHeight="1" x14ac:dyDescent="0.2">
      <c r="A49" s="19"/>
      <c r="B49" s="20"/>
      <c r="C49" s="21"/>
      <c r="D49" s="21"/>
      <c r="E49" s="22"/>
      <c r="F49" s="23"/>
      <c r="G49" s="23"/>
      <c r="H49" s="407"/>
      <c r="L49" s="17"/>
      <c r="M49" s="1084"/>
      <c r="N49" s="24"/>
      <c r="P49" s="578"/>
    </row>
    <row r="50" spans="1:20" ht="14.1" customHeight="1" x14ac:dyDescent="0.2">
      <c r="A50" s="3"/>
      <c r="B50" s="15" t="s">
        <v>17</v>
      </c>
      <c r="H50" s="1395"/>
      <c r="K50" s="1860"/>
      <c r="L50" s="1084"/>
      <c r="M50" s="1084"/>
      <c r="N50" s="5"/>
      <c r="P50" s="578"/>
    </row>
    <row r="51" spans="1:20" ht="9.9499999999999993" customHeight="1" thickBot="1" x14ac:dyDescent="0.25">
      <c r="A51" s="3"/>
      <c r="N51" s="5"/>
      <c r="P51" s="578"/>
    </row>
    <row r="52" spans="1:20" ht="14.1" customHeight="1" thickBot="1" x14ac:dyDescent="0.25">
      <c r="A52" s="25"/>
      <c r="B52" s="20" t="s">
        <v>18</v>
      </c>
      <c r="C52" s="1"/>
      <c r="D52" s="1"/>
      <c r="E52" s="26"/>
      <c r="F52" s="529" t="s">
        <v>19</v>
      </c>
      <c r="G52" s="529"/>
      <c r="H52" s="219"/>
      <c r="I52" s="221"/>
      <c r="J52" s="222" t="s">
        <v>20</v>
      </c>
      <c r="K52" s="220"/>
      <c r="L52" s="1"/>
      <c r="M52" s="1"/>
      <c r="N52" s="27"/>
    </row>
    <row r="53" spans="1:20" ht="14.1" customHeight="1" x14ac:dyDescent="0.2">
      <c r="A53" s="3"/>
      <c r="B53" s="15"/>
      <c r="H53" s="2021" t="str">
        <f>IF(H52&lt;L4,"Vereinbarungsbeginn liegt vor Antragstellung","")</f>
        <v/>
      </c>
      <c r="I53" s="652"/>
      <c r="K53" s="57" t="str">
        <f>IF(H52&lt;H45,"Antrag liegt vor Zulassungsdatum.","")</f>
        <v/>
      </c>
      <c r="N53" s="5"/>
    </row>
    <row r="54" spans="1:20" ht="14.1" customHeight="1" x14ac:dyDescent="0.2">
      <c r="A54" s="3"/>
      <c r="B54" s="20" t="s">
        <v>350</v>
      </c>
      <c r="F54" s="529" t="s">
        <v>19</v>
      </c>
      <c r="G54" s="1394"/>
      <c r="H54" s="281"/>
      <c r="I54" s="221"/>
      <c r="J54" s="222" t="s">
        <v>20</v>
      </c>
      <c r="K54" s="648"/>
      <c r="N54" s="5"/>
      <c r="O54" s="54"/>
    </row>
    <row r="55" spans="1:20" s="1" customFormat="1" ht="12" customHeight="1" x14ac:dyDescent="0.2">
      <c r="A55" s="3"/>
      <c r="B55" s="4"/>
      <c r="C55" s="4"/>
      <c r="D55" s="2193" t="str">
        <f>IF(H52&lt;=K54,"Vereinbarungsbeginn kann nicht vor Laufzeitende der aktuellen Vereinbarung liegen!","")</f>
        <v>Vereinbarungsbeginn kann nicht vor Laufzeitende der aktuellen Vereinbarung liegen!</v>
      </c>
      <c r="E55" s="4"/>
      <c r="F55" s="4"/>
      <c r="G55" s="4"/>
      <c r="I55" s="4"/>
      <c r="J55" s="4"/>
      <c r="K55" s="4"/>
      <c r="L55" s="4"/>
      <c r="M55" s="4"/>
      <c r="N55" s="5"/>
      <c r="P55" s="10"/>
      <c r="Q55" s="10"/>
      <c r="R55" s="10"/>
      <c r="S55" s="10"/>
      <c r="T55" s="10"/>
    </row>
    <row r="56" spans="1:20" s="1" customFormat="1" ht="14.25" customHeight="1" x14ac:dyDescent="0.2">
      <c r="A56" s="28"/>
      <c r="B56" s="86" t="s">
        <v>189</v>
      </c>
      <c r="C56" s="225"/>
      <c r="D56" s="225"/>
      <c r="E56" s="225"/>
      <c r="F56" s="225"/>
      <c r="G56" s="225"/>
      <c r="H56" s="225"/>
      <c r="I56" s="225"/>
      <c r="J56" s="225"/>
      <c r="K56" s="225"/>
      <c r="L56" s="225"/>
      <c r="M56" s="225"/>
      <c r="N56" s="24"/>
      <c r="P56" s="10"/>
      <c r="Q56" s="10"/>
      <c r="R56" s="10"/>
      <c r="S56" s="10"/>
      <c r="T56" s="10"/>
    </row>
    <row r="57" spans="1:20" s="1" customFormat="1" ht="9.9499999999999993" customHeight="1" x14ac:dyDescent="0.2">
      <c r="A57" s="28"/>
      <c r="B57" s="20"/>
      <c r="C57"/>
      <c r="D57"/>
      <c r="E57"/>
      <c r="F57"/>
      <c r="G57"/>
      <c r="H57"/>
      <c r="I57"/>
      <c r="J57"/>
      <c r="K57"/>
      <c r="L57"/>
      <c r="M57"/>
      <c r="N57" s="24"/>
      <c r="P57" s="10"/>
      <c r="Q57" s="10"/>
      <c r="R57" s="10"/>
      <c r="S57" s="10"/>
      <c r="T57" s="10"/>
    </row>
    <row r="58" spans="1:20" s="1" customFormat="1" ht="14.25" customHeight="1" x14ac:dyDescent="0.2">
      <c r="A58" s="28"/>
      <c r="B58"/>
      <c r="C58" s="276" t="s">
        <v>1302</v>
      </c>
      <c r="D58" s="29"/>
      <c r="E58" s="30"/>
      <c r="F58" s="30"/>
      <c r="G58" s="288"/>
      <c r="H58" s="31"/>
      <c r="I58" s="290"/>
      <c r="J58" s="32"/>
      <c r="K58" s="33"/>
      <c r="L58" s="29"/>
      <c r="M58" s="33"/>
      <c r="N58" s="5"/>
      <c r="P58" s="10"/>
      <c r="Q58" s="10"/>
      <c r="R58" s="10"/>
      <c r="S58" s="10"/>
      <c r="T58" s="10"/>
    </row>
    <row r="59" spans="1:20" s="1" customFormat="1" ht="14.25" customHeight="1" x14ac:dyDescent="0.2">
      <c r="A59" s="25"/>
      <c r="C59" s="34" t="s">
        <v>21</v>
      </c>
      <c r="D59" s="35"/>
      <c r="E59" s="35"/>
      <c r="F59" s="35"/>
      <c r="G59" s="35"/>
      <c r="H59" s="279" t="s">
        <v>190</v>
      </c>
      <c r="I59" s="35"/>
      <c r="J59" s="35"/>
      <c r="K59" s="277"/>
      <c r="M59" s="27"/>
      <c r="N59" s="27"/>
      <c r="P59" s="10"/>
      <c r="Q59" s="10"/>
      <c r="R59" s="10"/>
      <c r="S59" s="10"/>
      <c r="T59" s="10"/>
    </row>
    <row r="60" spans="1:20" s="1" customFormat="1" ht="14.25" customHeight="1" x14ac:dyDescent="0.2">
      <c r="A60" s="25"/>
      <c r="C60" s="34" t="s">
        <v>22</v>
      </c>
      <c r="D60" s="35"/>
      <c r="E60" s="35"/>
      <c r="F60" s="35"/>
      <c r="G60" s="35"/>
      <c r="H60" s="279" t="s">
        <v>190</v>
      </c>
      <c r="I60" s="35"/>
      <c r="J60" s="35"/>
      <c r="K60" s="278"/>
      <c r="L60" s="289"/>
      <c r="M60" s="287"/>
      <c r="N60" s="27"/>
      <c r="P60" s="10"/>
      <c r="Q60" s="10"/>
      <c r="R60" s="10"/>
      <c r="S60" s="10"/>
      <c r="T60" s="10"/>
    </row>
    <row r="61" spans="1:20" s="1" customFormat="1" ht="14.25" customHeight="1" x14ac:dyDescent="0.2">
      <c r="A61" s="25"/>
      <c r="C61" s="34" t="s">
        <v>23</v>
      </c>
      <c r="D61" s="35"/>
      <c r="E61" s="35"/>
      <c r="F61" s="35"/>
      <c r="G61" s="35"/>
      <c r="H61" s="279" t="s">
        <v>190</v>
      </c>
      <c r="I61" s="35"/>
      <c r="J61" s="35"/>
      <c r="K61" s="278"/>
      <c r="L61" s="289"/>
      <c r="M61" s="287"/>
      <c r="N61" s="27"/>
      <c r="P61" s="10"/>
      <c r="Q61" s="10"/>
      <c r="R61" s="10"/>
      <c r="S61" s="10"/>
      <c r="T61" s="10"/>
    </row>
    <row r="62" spans="1:20" s="1" customFormat="1" ht="14.25" customHeight="1" x14ac:dyDescent="0.2">
      <c r="A62" s="25"/>
      <c r="C62" s="34" t="s">
        <v>24</v>
      </c>
      <c r="D62" s="35"/>
      <c r="E62" s="35"/>
      <c r="F62" s="35"/>
      <c r="G62" s="35"/>
      <c r="H62" s="279" t="s">
        <v>190</v>
      </c>
      <c r="I62" s="35"/>
      <c r="J62" s="35"/>
      <c r="K62" s="277"/>
      <c r="L62" s="289"/>
      <c r="M62" s="287"/>
      <c r="N62" s="27"/>
      <c r="P62" s="10"/>
      <c r="Q62" s="10"/>
      <c r="R62" s="10"/>
      <c r="S62" s="10"/>
      <c r="T62" s="10"/>
    </row>
    <row r="63" spans="1:20" s="1" customFormat="1" ht="14.25" customHeight="1" x14ac:dyDescent="0.2">
      <c r="A63" s="25"/>
      <c r="C63" s="34" t="s">
        <v>25</v>
      </c>
      <c r="D63" s="35"/>
      <c r="E63" s="35"/>
      <c r="F63" s="35"/>
      <c r="G63" s="35"/>
      <c r="H63" s="279" t="s">
        <v>190</v>
      </c>
      <c r="I63" s="35"/>
      <c r="J63" s="35"/>
      <c r="K63" s="277"/>
      <c r="L63" s="289"/>
      <c r="M63" s="287"/>
      <c r="N63" s="27"/>
      <c r="O63" s="405"/>
      <c r="P63" s="10"/>
      <c r="Q63" s="10"/>
      <c r="R63" s="10"/>
      <c r="S63" s="10"/>
      <c r="T63" s="10"/>
    </row>
    <row r="64" spans="1:20" s="1" customFormat="1" ht="14.25" customHeight="1" x14ac:dyDescent="0.2">
      <c r="A64" s="25"/>
      <c r="C64" s="34" t="s">
        <v>26</v>
      </c>
      <c r="D64" s="35"/>
      <c r="E64" s="35"/>
      <c r="F64" s="35"/>
      <c r="G64" s="35"/>
      <c r="H64" s="279" t="s">
        <v>190</v>
      </c>
      <c r="I64" s="35"/>
      <c r="J64" s="35"/>
      <c r="K64" s="277"/>
      <c r="L64" s="289"/>
      <c r="M64" s="287"/>
      <c r="N64" s="27"/>
      <c r="P64" s="10"/>
      <c r="Q64" s="10"/>
      <c r="R64" s="10"/>
      <c r="S64" s="10"/>
      <c r="T64" s="10"/>
    </row>
    <row r="65" spans="1:20" s="1" customFormat="1" ht="14.25" customHeight="1" x14ac:dyDescent="0.2">
      <c r="A65" s="25"/>
      <c r="C65" s="36" t="s">
        <v>27</v>
      </c>
      <c r="D65" s="37"/>
      <c r="E65" s="37"/>
      <c r="F65" s="37"/>
      <c r="G65" s="41"/>
      <c r="H65" s="40" t="s">
        <v>190</v>
      </c>
      <c r="I65" s="291"/>
      <c r="J65" s="291"/>
      <c r="K65" s="277"/>
      <c r="L65" s="289"/>
      <c r="M65" s="287"/>
      <c r="N65" s="27"/>
      <c r="P65" s="10"/>
      <c r="Q65" s="10"/>
      <c r="R65" s="10"/>
      <c r="S65" s="10"/>
      <c r="T65" s="10"/>
    </row>
    <row r="66" spans="1:20" s="48" customFormat="1" ht="14.25" customHeight="1" x14ac:dyDescent="0.2">
      <c r="A66" s="25"/>
      <c r="B66" s="1"/>
      <c r="C66" s="38"/>
      <c r="D66" s="10"/>
      <c r="E66" s="10"/>
      <c r="F66" s="10"/>
      <c r="G66" s="1"/>
      <c r="H66" s="10"/>
      <c r="I66" s="10"/>
      <c r="J66" s="10"/>
      <c r="K66" s="1908" t="str">
        <f>IF(OR(SUM(K59:K65)&lt;100,SUM(K59:K65)&gt;100),"Anteil der Kostenträger entspricht nicht 100%.","")</f>
        <v>Anteil der Kostenträger entspricht nicht 100%.</v>
      </c>
      <c r="L66" s="1"/>
      <c r="M66" s="27"/>
      <c r="N66" s="27"/>
      <c r="O66" s="50"/>
      <c r="P66" s="83"/>
    </row>
    <row r="67" spans="1:20" s="48" customFormat="1" ht="14.25" customHeight="1" x14ac:dyDescent="0.2">
      <c r="A67" s="25"/>
      <c r="B67" s="1"/>
      <c r="C67" s="36"/>
      <c r="D67" s="37"/>
      <c r="E67" s="39"/>
      <c r="F67" s="39"/>
      <c r="G67" s="41"/>
      <c r="H67" s="1930" t="s">
        <v>188</v>
      </c>
      <c r="I67" s="41"/>
      <c r="J67" s="40"/>
      <c r="K67" s="280"/>
      <c r="L67" s="404"/>
      <c r="M67" s="42"/>
      <c r="N67" s="27"/>
      <c r="O67" s="50"/>
    </row>
    <row r="68" spans="1:20" s="48" customFormat="1" ht="14.25" customHeight="1" x14ac:dyDescent="0.2">
      <c r="A68" s="25"/>
      <c r="B68" s="1"/>
      <c r="C68" s="10"/>
      <c r="D68" s="10"/>
      <c r="E68" s="43"/>
      <c r="F68" s="43"/>
      <c r="G68" s="43"/>
      <c r="H68" s="43"/>
      <c r="I68" s="43"/>
      <c r="J68" s="43"/>
      <c r="K68" s="634" t="str">
        <f>IF(AND(H52&gt;0,K67&lt;5.001),"Mappe 'Allgemeine Angaben' und Mappe 'Forderung' an den KSV senden!","")</f>
        <v/>
      </c>
      <c r="L68" s="43"/>
      <c r="M68" s="10"/>
      <c r="N68" s="44"/>
      <c r="O68" s="50"/>
      <c r="P68" s="579"/>
    </row>
    <row r="69" spans="1:20" s="48" customFormat="1" ht="14.25" customHeight="1" x14ac:dyDescent="0.2">
      <c r="A69" s="46"/>
      <c r="B69" s="226" t="s">
        <v>284</v>
      </c>
      <c r="C69" s="226"/>
      <c r="D69" s="226"/>
      <c r="E69" s="226"/>
      <c r="F69" s="226"/>
      <c r="G69" s="226"/>
      <c r="H69" s="226"/>
      <c r="I69" s="226"/>
      <c r="J69" s="226"/>
      <c r="K69" s="226"/>
      <c r="L69" s="226"/>
      <c r="M69" s="226"/>
      <c r="N69" s="49"/>
      <c r="O69" s="50"/>
    </row>
    <row r="70" spans="1:20" s="48" customFormat="1" ht="9.9499999999999993" customHeight="1" x14ac:dyDescent="0.2">
      <c r="A70" s="46"/>
      <c r="B70" s="1"/>
      <c r="C70" s="10"/>
      <c r="D70" s="10"/>
      <c r="E70" s="10"/>
      <c r="F70" s="10"/>
      <c r="G70" s="10"/>
      <c r="H70" s="10"/>
      <c r="I70" s="10"/>
      <c r="J70" s="10"/>
      <c r="K70" s="10"/>
      <c r="L70" s="1"/>
      <c r="M70" s="129"/>
      <c r="N70" s="49"/>
      <c r="O70" s="50"/>
    </row>
    <row r="71" spans="1:20" ht="14.25" customHeight="1" x14ac:dyDescent="0.2">
      <c r="A71" s="46"/>
      <c r="B71" s="486" t="s">
        <v>302</v>
      </c>
      <c r="C71" s="433"/>
      <c r="D71" s="48"/>
      <c r="E71" s="47"/>
      <c r="F71" s="47"/>
      <c r="G71" s="47"/>
      <c r="H71" s="47"/>
      <c r="I71" s="47"/>
      <c r="J71" s="47"/>
      <c r="K71" s="47"/>
      <c r="L71" s="423"/>
      <c r="M71" s="433"/>
      <c r="N71" s="49"/>
      <c r="O71" s="54"/>
      <c r="P71" s="580"/>
    </row>
    <row r="72" spans="1:20" ht="3" customHeight="1" x14ac:dyDescent="0.2">
      <c r="A72" s="46"/>
      <c r="B72" s="47"/>
      <c r="C72" s="48"/>
      <c r="D72" s="48"/>
      <c r="E72" s="47"/>
      <c r="F72" s="47"/>
      <c r="G72" s="47"/>
      <c r="H72" s="47"/>
      <c r="I72" s="47"/>
      <c r="J72" s="47"/>
      <c r="K72" s="47"/>
      <c r="L72" s="129"/>
      <c r="M72" s="129"/>
      <c r="N72" s="49"/>
      <c r="O72" s="54"/>
    </row>
    <row r="73" spans="1:20" ht="14.25" customHeight="1" x14ac:dyDescent="0.2">
      <c r="A73" s="46"/>
      <c r="B73" s="437" t="s">
        <v>293</v>
      </c>
      <c r="C73" s="48"/>
      <c r="D73" s="48"/>
      <c r="E73" s="47"/>
      <c r="F73" s="47"/>
      <c r="G73" s="47"/>
      <c r="H73" s="47"/>
      <c r="I73" s="47"/>
      <c r="J73" s="47"/>
      <c r="K73" s="47"/>
      <c r="L73" s="423"/>
      <c r="M73" s="129"/>
      <c r="N73" s="49"/>
      <c r="O73" s="54"/>
    </row>
    <row r="74" spans="1:20" ht="4.5" customHeight="1" x14ac:dyDescent="0.2">
      <c r="A74" s="46"/>
      <c r="B74" s="47"/>
      <c r="C74" s="48"/>
      <c r="D74" s="48"/>
      <c r="E74" s="47"/>
      <c r="F74" s="47"/>
      <c r="G74" s="47"/>
      <c r="H74" s="47"/>
      <c r="I74" s="47"/>
      <c r="J74" s="47"/>
      <c r="K74" s="47"/>
      <c r="L74" s="129"/>
      <c r="M74" s="129"/>
      <c r="N74" s="49"/>
    </row>
    <row r="75" spans="1:20" ht="15" customHeight="1" thickBot="1" x14ac:dyDescent="0.25">
      <c r="A75" s="288"/>
      <c r="B75" s="288"/>
      <c r="C75" s="288"/>
      <c r="D75" s="288"/>
      <c r="E75" s="288"/>
      <c r="F75" s="288"/>
      <c r="G75" s="288"/>
      <c r="H75" s="288"/>
      <c r="I75" s="288"/>
      <c r="J75" s="288"/>
      <c r="K75" s="288"/>
      <c r="L75" s="288"/>
      <c r="M75" s="288"/>
      <c r="N75" s="288"/>
      <c r="O75" s="54"/>
    </row>
    <row r="76" spans="1:20" ht="14.25" customHeight="1" thickBot="1" x14ac:dyDescent="0.25">
      <c r="D76" s="2374" t="s">
        <v>616</v>
      </c>
      <c r="E76" s="2375"/>
      <c r="F76" s="2375"/>
      <c r="G76" s="2375"/>
      <c r="H76" s="2375"/>
      <c r="I76" s="2375"/>
      <c r="J76" s="2376"/>
    </row>
  </sheetData>
  <sheetProtection algorithmName="SHA-512" hashValue="Tamqf1sIBfU+vNwWkeC0xrgS28i4//Tj76iaJ+EcJIpNFHv0jsXAVXsGP8V1BE6IgF/VlS//Ro5CQrW2/2Y6eg==" saltValue="uRWF8pVBPLuFmKzL2Q0vyA==" spinCount="100000" sheet="1" objects="1" scenarios="1" selectLockedCells="1"/>
  <mergeCells count="29">
    <mergeCell ref="D76:J76"/>
    <mergeCell ref="D36:M36"/>
    <mergeCell ref="H41:M41"/>
    <mergeCell ref="L7:M7"/>
    <mergeCell ref="D18:H18"/>
    <mergeCell ref="J18:M18"/>
    <mergeCell ref="J20:M20"/>
    <mergeCell ref="D20:H20"/>
    <mergeCell ref="D22:H22"/>
    <mergeCell ref="J22:M22"/>
    <mergeCell ref="D28:M28"/>
    <mergeCell ref="D32:H32"/>
    <mergeCell ref="J32:M32"/>
    <mergeCell ref="D34:H34"/>
    <mergeCell ref="J34:M34"/>
    <mergeCell ref="D12:M12"/>
    <mergeCell ref="A1:N1"/>
    <mergeCell ref="A2:N2"/>
    <mergeCell ref="A3:N3"/>
    <mergeCell ref="D6:G6"/>
    <mergeCell ref="L6:M6"/>
    <mergeCell ref="L4:M4"/>
    <mergeCell ref="A5:C5"/>
    <mergeCell ref="D14:M14"/>
    <mergeCell ref="D26:M26"/>
    <mergeCell ref="D16:H16"/>
    <mergeCell ref="J16:M16"/>
    <mergeCell ref="D30:H30"/>
    <mergeCell ref="J30:M30"/>
  </mergeCells>
  <conditionalFormatting sqref="K5">
    <cfRule type="containsErrors" dxfId="252" priority="1">
      <formula>ISERROR(K5)</formula>
    </cfRule>
  </conditionalFormatting>
  <conditionalFormatting sqref="K7:M7">
    <cfRule type="expression" dxfId="248" priority="219">
      <formula>$L$48=0</formula>
    </cfRule>
  </conditionalFormatting>
  <dataValidations xWindow="917" yWindow="544" count="5">
    <dataValidation type="decimal" allowBlank="1" showInputMessage="1" showErrorMessage="1" error="Eingabe nur zwischen 0,00 und 100,00 möglich." promptTitle="Quorum" prompt="Bitte Hinweise zur Berechnung des Anteils beachten!" sqref="K67" xr:uid="{00000000-0002-0000-0100-000000000000}">
      <formula1>0</formula1>
      <formula2>100</formula2>
    </dataValidation>
    <dataValidation type="whole" errorStyle="information" allowBlank="1" showInputMessage="1" showErrorMessage="1" errorTitle="angebundene / integrierte KZP" promptTitle="angebundene / integrierte KZP" prompt="siehe allgemeine Hinweise" sqref="L48" xr:uid="{00000000-0002-0000-0100-000001000000}">
      <formula1>1</formula1>
      <formula2>30</formula2>
    </dataValidation>
    <dataValidation allowBlank="1" showInputMessage="1" showErrorMessage="1" promptTitle="&quot;teilstationär&quot;;&quot;Kurzzeitpflege&quot;" sqref="Q31" xr:uid="{00000000-0002-0000-0100-000002000000}"/>
    <dataValidation allowBlank="1" showInputMessage="1" showErrorMessage="1" promptTitle="Platzzahl" prompt="entsprechend Versorgungsvertrag vollstationär inklusive der Plätze für die angebundene / integrierte KZP " sqref="L47" xr:uid="{00000000-0002-0000-0100-000003000000}"/>
    <dataValidation type="decimal" allowBlank="1" showInputMessage="1" showErrorMessage="1" errorTitle=" " error="Eingabe nur zwischen 0,00 und 100,00 möglich." sqref="K59:K65" xr:uid="{00000000-0002-0000-0100-000004000000}">
      <formula1>0</formula1>
      <formula2>100</formula2>
    </dataValidation>
  </dataValidations>
  <hyperlinks>
    <hyperlink ref="D76" location="'Anlage 1'!A1" display="Anlage 1" xr:uid="{00000000-0004-0000-0100-000000000000}"/>
    <hyperlink ref="D76:J76" location="'Belegung_wö. Arbeitszeit'!Druckbereich" display="gehe weiter zu Belegung_wö. Arbeitszeit" xr:uid="{00000000-0004-0000-0100-000001000000}"/>
  </hyperlinks>
  <pageMargins left="0.70866141732283472" right="0.70866141732283472" top="0.78740157480314965" bottom="0.78740157480314965" header="0.31496062992125984" footer="0.31496062992125984"/>
  <pageSetup paperSize="9" scale="77" orientation="portrait"/>
  <headerFooter>
    <oddHeader>&amp;C&amp;9Seite 1</oddHeader>
    <oddFooter>&amp;L&amp;8Version: 24.04.2026&amp;C&amp;8Verhandlungsunterlagen vollstationär SGB XI ab 01.07.2026&amp;R&amp;8PSK am 24.04.2026</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8</xdr:col>
                    <xdr:colOff>28575</xdr:colOff>
                    <xdr:row>42</xdr:row>
                    <xdr:rowOff>9525</xdr:rowOff>
                  </from>
                  <to>
                    <xdr:col>8</xdr:col>
                    <xdr:colOff>247650</xdr:colOff>
                    <xdr:row>42</xdr:row>
                    <xdr:rowOff>142875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17" id="{212310D5-86E5-4E09-97EA-B9561A63842C}">
            <xm:f>(KAT!$A$70="nein")</xm:f>
            <x14:dxf>
              <fill>
                <patternFill>
                  <bgColor theme="0"/>
                </patternFill>
              </fill>
            </x14:dxf>
          </x14:cfRule>
          <xm:sqref>D7 F7 N7 D11 H53 D55 K68</xm:sqref>
        </x14:conditionalFormatting>
        <x14:conditionalFormatting xmlns:xm="http://schemas.microsoft.com/office/excel/2006/main">
          <x14:cfRule type="expression" priority="623" id="{1AD2B641-7E0F-45CE-98DA-B4DCE18612E6}">
            <xm:f>KAT!A70="nein"</xm:f>
            <x14:dxf>
              <fill>
                <patternFill>
                  <bgColor theme="0"/>
                </patternFill>
              </fill>
            </x14:dxf>
          </x14:cfRule>
          <xm:sqref>K5</xm:sqref>
        </x14:conditionalFormatting>
        <x14:conditionalFormatting xmlns:xm="http://schemas.microsoft.com/office/excel/2006/main">
          <x14:cfRule type="expression" priority="624" id="{92E94964-3F12-4942-B406-A68DE15874BD}">
            <xm:f>KAT!$A$70="ja"</xm:f>
            <x14:dxf>
              <fill>
                <patternFill>
                  <bgColor rgb="FFCCECFF"/>
                </patternFill>
              </fill>
            </x14:dxf>
          </x14:cfRule>
          <xm:sqref>K53</xm:sqref>
        </x14:conditionalFormatting>
        <x14:conditionalFormatting xmlns:xm="http://schemas.microsoft.com/office/excel/2006/main">
          <x14:cfRule type="expression" priority="625" id="{62F6CEE4-26DF-427C-BE0A-F769DD0EB5D4}">
            <xm:f>KAT!$A$70="ja"</xm:f>
            <x14:dxf>
              <fill>
                <patternFill>
                  <bgColor rgb="FF99CCFF"/>
                </patternFill>
              </fill>
            </x14:dxf>
          </x14:cfRule>
          <xm:sqref>K66</xm:sqref>
        </x14:conditionalFormatting>
      </x14:conditionalFormattings>
    </ext>
    <ext xmlns:x14="http://schemas.microsoft.com/office/spreadsheetml/2009/9/main" uri="{CCE6A557-97BC-4b89-ADB6-D9C93CAAB3DF}">
      <x14:dataValidations xmlns:xm="http://schemas.microsoft.com/office/excel/2006/main" xWindow="917" yWindow="544" count="3">
        <x14:dataValidation type="list" allowBlank="1" showInputMessage="1" showErrorMessage="1" errorTitle="Einrichtungsart" error="bitte aus Liste auswählen" promptTitle="Auswahlmöglichkeit" prompt="vollstationäre Pflege_x000a_Wohnpflegeheim_x000a_Wachkoma_x000a_4. Generation_x000a_" xr:uid="{00000000-0002-0000-0100-000005000000}">
          <x14:formula1>
            <xm:f>KAT!$A$2:$A$7</xm:f>
          </x14:formula1>
          <xm:sqref>D6:G6</xm:sqref>
        </x14:dataValidation>
        <x14:dataValidation type="list" allowBlank="1" showInputMessage="1" showErrorMessage="1" errorTitle="Auswahlmöglichkeit" error="Bitte aus Liste wählen!" xr:uid="{00000000-0002-0000-0100-000006000000}">
          <x14:formula1>
            <xm:f>KAT!$F$2:$F$4</xm:f>
          </x14:formula1>
          <xm:sqref>C41</xm:sqref>
        </x14:dataValidation>
        <x14:dataValidation type="list" allowBlank="1" showInputMessage="1" showErrorMessage="1" xr:uid="{00000000-0002-0000-0100-000007000000}">
          <x14:formula1>
            <xm:f>KAT!$F$2:$F$3</xm:f>
          </x14:formula1>
          <xm:sqref>L73 L71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theme="4"/>
    <pageSetUpPr fitToPage="1"/>
  </sheetPr>
  <dimension ref="A1:R98"/>
  <sheetViews>
    <sheetView showGridLines="0" topLeftCell="A2" zoomScaleNormal="100" workbookViewId="0">
      <selection activeCell="D33" sqref="D33"/>
    </sheetView>
  </sheetViews>
  <sheetFormatPr baseColWidth="10" defaultColWidth="11" defaultRowHeight="14.25" x14ac:dyDescent="0.2"/>
  <cols>
    <col min="1" max="1" width="5.625" style="4" customWidth="1"/>
    <col min="2" max="2" width="11.375" style="4" customWidth="1"/>
    <col min="3" max="5" width="17.625" style="4" customWidth="1"/>
    <col min="6" max="6" width="28.625" style="4" customWidth="1"/>
    <col min="7" max="7" width="6.25" style="4" customWidth="1"/>
    <col min="8" max="8" width="8" style="4" customWidth="1"/>
    <col min="9" max="9" width="13.625" style="146" customWidth="1"/>
    <col min="10" max="18" width="11" style="146" customWidth="1"/>
    <col min="19" max="20" width="11" style="4" customWidth="1"/>
    <col min="21" max="16384" width="11" style="4"/>
  </cols>
  <sheetData>
    <row r="1" spans="1:18" ht="15" x14ac:dyDescent="0.25">
      <c r="A1" s="2358" t="str">
        <f>'Allgemeine Angaben'!A1:N1</f>
        <v>Aufforderung zum Abschluss einer Pflegesatzvereinbarung gemäß §§ 84, 85 SGB XI</v>
      </c>
      <c r="B1" s="2359"/>
      <c r="C1" s="2359"/>
      <c r="D1" s="2359"/>
      <c r="E1" s="2359"/>
      <c r="F1" s="2359"/>
      <c r="G1" s="2359"/>
      <c r="H1" s="2360"/>
      <c r="I1" s="581"/>
      <c r="J1" s="582"/>
      <c r="K1" s="4"/>
      <c r="L1" s="4"/>
      <c r="M1" s="4"/>
      <c r="N1" s="4"/>
      <c r="O1" s="4"/>
      <c r="P1" s="4"/>
      <c r="Q1" s="4"/>
      <c r="R1" s="4"/>
    </row>
    <row r="2" spans="1:18" ht="15" x14ac:dyDescent="0.25">
      <c r="A2" s="2361" t="s">
        <v>579</v>
      </c>
      <c r="B2" s="2362"/>
      <c r="C2" s="2362"/>
      <c r="D2" s="2362"/>
      <c r="E2" s="2362"/>
      <c r="F2" s="2362"/>
      <c r="G2" s="2362"/>
      <c r="H2" s="2363"/>
      <c r="I2" s="583"/>
      <c r="J2" s="582"/>
      <c r="K2" s="4"/>
      <c r="L2" s="4"/>
      <c r="M2" s="4"/>
      <c r="N2" s="4"/>
      <c r="O2" s="4"/>
      <c r="P2" s="4"/>
      <c r="Q2" s="4"/>
      <c r="R2" s="4"/>
    </row>
    <row r="3" spans="1:18" x14ac:dyDescent="0.2">
      <c r="A3" s="2379" t="str">
        <f>'Allgemeine Angaben'!A3:N3</f>
        <v/>
      </c>
      <c r="B3" s="2380"/>
      <c r="C3" s="2380"/>
      <c r="D3" s="2380"/>
      <c r="E3" s="2380"/>
      <c r="F3" s="2380"/>
      <c r="G3" s="2380"/>
      <c r="H3" s="2381"/>
      <c r="I3" s="566"/>
      <c r="J3" s="584"/>
      <c r="K3" s="4"/>
      <c r="L3" s="4"/>
      <c r="M3" s="4"/>
      <c r="N3" s="4"/>
      <c r="O3" s="4"/>
      <c r="P3" s="4"/>
      <c r="Q3" s="4"/>
      <c r="R3" s="4"/>
    </row>
    <row r="4" spans="1:18" x14ac:dyDescent="0.2">
      <c r="A4" s="438"/>
      <c r="B4" s="439" t="str">
        <f>'Allgemeine Angaben'!B4</f>
        <v/>
      </c>
      <c r="C4" s="439"/>
      <c r="D4" s="439"/>
      <c r="E4" s="441" t="str">
        <f>'Allgemeine Angaben'!K4</f>
        <v>Antrag vom:</v>
      </c>
      <c r="F4" s="445">
        <f>'Allgemeine Angaben'!L4</f>
        <v>0</v>
      </c>
      <c r="G4" s="442"/>
      <c r="H4" s="440"/>
      <c r="I4" s="585"/>
      <c r="J4" s="4"/>
      <c r="K4" s="4"/>
      <c r="L4" s="4"/>
      <c r="M4" s="4"/>
      <c r="N4" s="4"/>
      <c r="O4" s="4"/>
      <c r="P4" s="4"/>
      <c r="Q4" s="4"/>
      <c r="R4" s="4"/>
    </row>
    <row r="5" spans="1:18" s="10" customFormat="1" ht="12.75" x14ac:dyDescent="0.2">
      <c r="A5" s="55"/>
      <c r="B5" s="7"/>
      <c r="C5" s="7"/>
      <c r="D5" s="7"/>
      <c r="E5" s="7"/>
      <c r="F5" s="7"/>
      <c r="G5" s="7"/>
      <c r="H5" s="56"/>
      <c r="I5" s="578"/>
      <c r="N5" s="580"/>
    </row>
    <row r="6" spans="1:18" s="47" customFormat="1" ht="25.5" customHeight="1" x14ac:dyDescent="0.2">
      <c r="A6" s="58"/>
      <c r="B6" s="45" t="s">
        <v>2</v>
      </c>
      <c r="D6" s="59" t="str">
        <f>IF('Allgemeine Angaben'!D6:G6&gt;0,'Allgemeine Angaben'!D6:G6,"")</f>
        <v/>
      </c>
      <c r="E6" s="60"/>
      <c r="F6" s="61" t="s">
        <v>191</v>
      </c>
      <c r="G6" s="223"/>
      <c r="H6" s="62"/>
      <c r="I6" s="586"/>
    </row>
    <row r="7" spans="1:18" s="10" customFormat="1" ht="12.75" x14ac:dyDescent="0.2">
      <c r="A7" s="63"/>
      <c r="D7" s="57"/>
      <c r="F7" s="64"/>
      <c r="G7" s="1358"/>
      <c r="H7" s="65"/>
      <c r="I7" s="83"/>
    </row>
    <row r="8" spans="1:18" s="10" customFormat="1" ht="15" customHeight="1" x14ac:dyDescent="0.2">
      <c r="A8" s="63"/>
      <c r="B8" s="66" t="s">
        <v>29</v>
      </c>
      <c r="C8" s="64"/>
      <c r="D8" s="494">
        <v>365</v>
      </c>
      <c r="E8" s="419"/>
      <c r="H8" s="44"/>
      <c r="I8" s="587"/>
    </row>
    <row r="9" spans="1:18" s="10" customFormat="1" ht="12.75" x14ac:dyDescent="0.2">
      <c r="A9" s="63"/>
      <c r="C9" s="57"/>
      <c r="D9" s="57"/>
      <c r="H9" s="44"/>
      <c r="I9" s="587"/>
    </row>
    <row r="10" spans="1:18" s="10" customFormat="1" ht="15" customHeight="1" x14ac:dyDescent="0.2">
      <c r="A10" s="63"/>
      <c r="C10" s="57"/>
      <c r="D10" s="57"/>
      <c r="H10" s="44"/>
      <c r="I10" s="83"/>
    </row>
    <row r="11" spans="1:18" s="10" customFormat="1" ht="12.75" x14ac:dyDescent="0.2">
      <c r="A11" s="63"/>
      <c r="D11" s="57"/>
      <c r="F11" s="329" t="str">
        <f>IF('Allgemeine Angaben'!D7="tst","tägl. Std.:Min:","")</f>
        <v/>
      </c>
      <c r="H11" s="44"/>
      <c r="I11" s="588"/>
    </row>
    <row r="12" spans="1:18" s="10" customFormat="1" ht="12.75" x14ac:dyDescent="0.2">
      <c r="A12" s="63"/>
      <c r="D12" s="57"/>
      <c r="H12" s="44"/>
      <c r="I12" s="587"/>
    </row>
    <row r="13" spans="1:18" s="10" customFormat="1" ht="15" customHeight="1" x14ac:dyDescent="0.2">
      <c r="A13" s="63"/>
      <c r="B13" s="128" t="s">
        <v>28</v>
      </c>
      <c r="C13" s="126"/>
      <c r="D13" s="126"/>
      <c r="E13" s="126"/>
      <c r="F13" s="126"/>
      <c r="G13" s="128"/>
      <c r="H13" s="44"/>
      <c r="I13" s="589"/>
      <c r="J13" s="83"/>
      <c r="K13" s="83"/>
      <c r="L13" s="83"/>
      <c r="M13" s="83"/>
    </row>
    <row r="14" spans="1:18" s="10" customFormat="1" ht="9.9499999999999993" customHeight="1" x14ac:dyDescent="0.2">
      <c r="A14" s="63"/>
      <c r="B14" s="6"/>
      <c r="G14" s="6"/>
      <c r="H14" s="44"/>
      <c r="I14" s="83"/>
      <c r="J14" s="83"/>
      <c r="K14" s="83"/>
      <c r="L14" s="83"/>
      <c r="M14" s="83"/>
      <c r="N14" s="2106"/>
    </row>
    <row r="15" spans="1:18" s="10" customFormat="1" ht="12.75" x14ac:dyDescent="0.2">
      <c r="A15" s="63"/>
      <c r="B15" s="6"/>
      <c r="C15" s="1952" t="s">
        <v>434</v>
      </c>
      <c r="D15" s="768" t="s">
        <v>379</v>
      </c>
      <c r="E15" s="233" t="s">
        <v>30</v>
      </c>
      <c r="G15" s="6"/>
      <c r="H15" s="44"/>
      <c r="J15" s="2106"/>
      <c r="K15" s="2106"/>
      <c r="L15" s="2106"/>
      <c r="N15" s="2106"/>
    </row>
    <row r="16" spans="1:18" s="10" customFormat="1" ht="15" customHeight="1" x14ac:dyDescent="0.2">
      <c r="A16" s="63"/>
      <c r="B16" s="17" t="s">
        <v>165</v>
      </c>
      <c r="C16" s="282"/>
      <c r="D16" s="282"/>
      <c r="E16" s="283" t="str">
        <f>IF('Allgemeine Angaben'!H52&gt;0,'Allgemeine Angaben'!H52,"")</f>
        <v/>
      </c>
      <c r="H16" s="44"/>
      <c r="I16" s="57"/>
      <c r="J16" s="2106"/>
      <c r="L16" s="2106"/>
    </row>
    <row r="17" spans="1:14" s="10" customFormat="1" ht="15" customHeight="1" x14ac:dyDescent="0.2">
      <c r="A17" s="63"/>
      <c r="B17" s="17" t="s">
        <v>166</v>
      </c>
      <c r="C17" s="282"/>
      <c r="D17" s="2107" t="str">
        <f>IF('Allgemeine Angaben'!H52='Allgemeine Angaben'!H45,"",IF('Allgemeine Angaben'!L4=""," Antragsdatum fehlt.",IF(DATEDIF(D16,'Allgemeine Angaben'!L4,"m")&gt;3,"Stichtag darf nicht mehr als 3 Monate vor Datum der Antragstellung liegen, bitte korrigieren.","")))</f>
        <v/>
      </c>
      <c r="H17" s="44"/>
      <c r="I17" s="1509"/>
      <c r="J17" s="1511"/>
      <c r="L17" s="1508"/>
    </row>
    <row r="18" spans="1:14" s="10" customFormat="1" ht="12.75" customHeight="1" x14ac:dyDescent="0.2">
      <c r="A18" s="63"/>
      <c r="B18" s="17"/>
      <c r="C18" s="1510" t="str">
        <f>IFERROR(IF(DATEDIF(C16,'Allgemeine Angaben'!H52,"m")&lt;24.001,"",IF(DATEDIF(C16,'Allgemeine Angaben'!H52,"m")&gt;24,"Der Beginn des Belegungszeitraumes darf nicht mehr als 24 Monate vor dem Laufzeitbeginn liegen, bitte korrigieren.","")),"")</f>
        <v/>
      </c>
      <c r="H18" s="44"/>
      <c r="I18" s="1508"/>
    </row>
    <row r="19" spans="1:14" s="47" customFormat="1" ht="15" customHeight="1" x14ac:dyDescent="0.2">
      <c r="A19" s="284"/>
      <c r="C19" s="1513" t="str">
        <f>IFERROR(IF(AND(DATEDIF(C16,'Allgemeine Angaben'!H52,"m")&lt;24.001,ROUND((C17-C16)/30,0)&lt;&gt;12),"Zeitraum umfasst keine 12 Monate.",""),"")</f>
        <v>Zeitraum umfasst keine 12 Monate.</v>
      </c>
      <c r="H19" s="62"/>
      <c r="I19" s="591"/>
    </row>
    <row r="20" spans="1:14" s="47" customFormat="1" ht="15" customHeight="1" x14ac:dyDescent="0.2">
      <c r="A20" s="284"/>
      <c r="C20" s="1512"/>
      <c r="H20" s="62"/>
      <c r="I20" s="88"/>
    </row>
    <row r="21" spans="1:14" s="47" customFormat="1" ht="15" hidden="1" customHeight="1" x14ac:dyDescent="0.2">
      <c r="A21" s="284"/>
      <c r="B21" s="340"/>
      <c r="C21" s="10"/>
      <c r="D21" s="10"/>
      <c r="E21" s="10"/>
      <c r="F21" s="1332"/>
      <c r="G21" s="10"/>
      <c r="H21" s="62"/>
      <c r="I21" s="591"/>
    </row>
    <row r="22" spans="1:14" s="47" customFormat="1" ht="15" customHeight="1" thickBot="1" x14ac:dyDescent="0.25">
      <c r="A22" s="284"/>
      <c r="E22" s="285" t="s">
        <v>167</v>
      </c>
      <c r="G22" s="6"/>
      <c r="H22" s="62"/>
      <c r="I22" s="50"/>
    </row>
    <row r="23" spans="1:14" s="47" customFormat="1" ht="15" customHeight="1" thickBot="1" x14ac:dyDescent="0.25">
      <c r="A23" s="284"/>
      <c r="E23" s="286">
        <f>IF(ISERROR('Allgemeine Angaben'!L47*G6*D8/100),"",'Allgemeine Angaben'!L47*G6*D8/100)</f>
        <v>0</v>
      </c>
      <c r="G23" s="131"/>
      <c r="H23" s="62"/>
      <c r="I23" s="50"/>
    </row>
    <row r="24" spans="1:14" s="47" customFormat="1" ht="15" customHeight="1" x14ac:dyDescent="0.2">
      <c r="A24" s="284"/>
      <c r="G24" s="131"/>
      <c r="H24" s="62"/>
      <c r="I24" s="1508"/>
    </row>
    <row r="25" spans="1:14" s="47" customFormat="1" ht="15" hidden="1" customHeight="1" x14ac:dyDescent="0.2">
      <c r="A25" s="284"/>
      <c r="G25" s="10"/>
      <c r="H25" s="62"/>
      <c r="I25" s="50"/>
    </row>
    <row r="26" spans="1:14" s="47" customFormat="1" ht="15" customHeight="1" x14ac:dyDescent="0.2">
      <c r="A26" s="284"/>
      <c r="G26" s="10"/>
      <c r="H26" s="62"/>
      <c r="J26" s="50"/>
    </row>
    <row r="27" spans="1:14" s="47" customFormat="1" ht="38.65" customHeight="1" x14ac:dyDescent="0.2">
      <c r="A27" s="284"/>
      <c r="B27" s="232" t="s">
        <v>31</v>
      </c>
      <c r="C27" s="2104" t="str">
        <f>IF('Allgemeine Angaben'!L48&gt;0,"Belegungstage inkl. angebundene / integrierte KZP","Belegungstage")</f>
        <v>Belegungstage</v>
      </c>
      <c r="D27" s="2104" t="str">
        <f>IF('Allgemeine Angaben'!L48&gt;0,"Pflegebedürftige inkl. angebundene / integrierte KZP","Pflegebedürftige")</f>
        <v>Pflegebedürftige</v>
      </c>
      <c r="E27" s="232" t="s">
        <v>32</v>
      </c>
      <c r="F27" s="1526" t="s">
        <v>577</v>
      </c>
      <c r="G27" s="406"/>
      <c r="H27" s="62"/>
      <c r="I27" s="586"/>
      <c r="J27" s="50"/>
    </row>
    <row r="28" spans="1:14" s="47" customFormat="1" ht="38.25" customHeight="1" x14ac:dyDescent="0.2">
      <c r="A28" s="284"/>
      <c r="B28" s="301"/>
      <c r="C28" s="1517" t="s">
        <v>574</v>
      </c>
      <c r="D28" s="1518" t="s">
        <v>576</v>
      </c>
      <c r="E28" s="1519" t="s">
        <v>205</v>
      </c>
      <c r="F28" s="1522" t="s">
        <v>575</v>
      </c>
      <c r="G28" s="406"/>
      <c r="H28" s="62"/>
      <c r="J28" s="1508"/>
      <c r="K28" s="1508"/>
      <c r="M28" s="1508"/>
      <c r="N28" s="1508"/>
    </row>
    <row r="29" spans="1:14" s="47" customFormat="1" ht="15" customHeight="1" x14ac:dyDescent="0.2">
      <c r="A29" s="284"/>
      <c r="B29" s="301"/>
      <c r="C29" s="1534" t="str">
        <f>IF(C16&gt;0,C16,"")</f>
        <v/>
      </c>
      <c r="D29" s="1515" t="str">
        <f>IF(D16&gt;0,D16,"")</f>
        <v/>
      </c>
      <c r="E29" s="1520" t="str">
        <f>IF(E16&gt;0,E16,"")</f>
        <v/>
      </c>
      <c r="F29" s="1523" t="str">
        <f>IF('Allgemeine Angaben'!L48&gt;0,E16,"")</f>
        <v/>
      </c>
      <c r="G29" s="406"/>
      <c r="H29" s="62"/>
      <c r="J29" s="1508"/>
      <c r="K29" s="1508"/>
      <c r="M29" s="1508"/>
      <c r="N29" s="1508"/>
    </row>
    <row r="30" spans="1:14" s="47" customFormat="1" ht="15" customHeight="1" x14ac:dyDescent="0.2">
      <c r="A30" s="284"/>
      <c r="B30" s="301"/>
      <c r="C30" s="1516" t="str">
        <f>IF(C17&gt;0,C17,"")</f>
        <v/>
      </c>
      <c r="D30" s="1106"/>
      <c r="E30" s="301"/>
      <c r="F30" s="1524"/>
      <c r="G30" s="406"/>
      <c r="H30" s="62"/>
      <c r="J30" s="1508"/>
      <c r="K30" s="1508"/>
      <c r="M30" s="1508"/>
      <c r="N30" s="1508"/>
    </row>
    <row r="31" spans="1:14" s="47" customFormat="1" ht="15" customHeight="1" x14ac:dyDescent="0.2">
      <c r="A31" s="284"/>
      <c r="B31" s="230"/>
      <c r="C31" s="231"/>
      <c r="D31" s="302"/>
      <c r="E31" s="1521"/>
      <c r="F31" s="1525"/>
      <c r="G31" s="406"/>
      <c r="H31" s="62"/>
    </row>
    <row r="32" spans="1:14" s="47" customFormat="1" ht="15" customHeight="1" x14ac:dyDescent="0.2">
      <c r="A32" s="284"/>
      <c r="B32" s="68"/>
      <c r="C32" s="1046"/>
      <c r="D32" s="68"/>
      <c r="E32" s="1507"/>
      <c r="F32" s="1514"/>
      <c r="G32" s="10"/>
      <c r="H32" s="62"/>
      <c r="I32" s="1508"/>
    </row>
    <row r="33" spans="1:10" s="47" customFormat="1" ht="15" customHeight="1" thickBot="1" x14ac:dyDescent="0.25">
      <c r="A33" s="284"/>
      <c r="B33" s="69">
        <v>1</v>
      </c>
      <c r="C33" s="227"/>
      <c r="D33" s="70"/>
      <c r="E33" s="70"/>
      <c r="F33" s="1479"/>
      <c r="G33" s="10"/>
      <c r="H33" s="62"/>
      <c r="I33" s="1508"/>
    </row>
    <row r="34" spans="1:10" s="47" customFormat="1" ht="15" customHeight="1" thickBot="1" x14ac:dyDescent="0.25">
      <c r="A34" s="284"/>
      <c r="B34" s="71">
        <v>2</v>
      </c>
      <c r="C34" s="228"/>
      <c r="D34" s="72"/>
      <c r="E34" s="72"/>
      <c r="F34" s="1480"/>
      <c r="G34" s="10"/>
      <c r="H34" s="62"/>
      <c r="I34" s="1508"/>
    </row>
    <row r="35" spans="1:10" s="47" customFormat="1" ht="15" customHeight="1" thickBot="1" x14ac:dyDescent="0.25">
      <c r="A35" s="284"/>
      <c r="B35" s="71">
        <v>3</v>
      </c>
      <c r="C35" s="228"/>
      <c r="D35" s="72"/>
      <c r="E35" s="72"/>
      <c r="F35" s="1480"/>
      <c r="H35" s="62"/>
      <c r="I35" s="592"/>
    </row>
    <row r="36" spans="1:10" s="47" customFormat="1" ht="15" customHeight="1" thickBot="1" x14ac:dyDescent="0.25">
      <c r="A36" s="284"/>
      <c r="B36" s="71">
        <v>4</v>
      </c>
      <c r="C36" s="228"/>
      <c r="D36" s="72"/>
      <c r="E36" s="72"/>
      <c r="F36" s="1480"/>
      <c r="H36" s="62"/>
      <c r="I36" s="592"/>
    </row>
    <row r="37" spans="1:10" s="47" customFormat="1" ht="15" customHeight="1" x14ac:dyDescent="0.2">
      <c r="A37" s="284"/>
      <c r="B37" s="73">
        <v>5</v>
      </c>
      <c r="C37" s="229"/>
      <c r="D37" s="74"/>
      <c r="E37" s="74"/>
      <c r="F37" s="1481"/>
      <c r="H37" s="62"/>
      <c r="I37" s="50"/>
    </row>
    <row r="38" spans="1:10" s="47" customFormat="1" ht="15" customHeight="1" x14ac:dyDescent="0.2">
      <c r="A38" s="284"/>
      <c r="B38" s="76"/>
      <c r="C38" s="68"/>
      <c r="D38" s="68"/>
      <c r="E38" s="68"/>
      <c r="F38" s="1478"/>
      <c r="H38" s="62"/>
      <c r="I38" s="591"/>
      <c r="J38" s="593"/>
    </row>
    <row r="39" spans="1:10" s="47" customFormat="1" ht="15" customHeight="1" x14ac:dyDescent="0.2">
      <c r="A39" s="284"/>
      <c r="B39" s="1530" t="s">
        <v>33</v>
      </c>
      <c r="C39" s="1528">
        <f>SUM(C33:C37)</f>
        <v>0</v>
      </c>
      <c r="D39" s="1529">
        <f>SUM(D33:D37)</f>
        <v>0</v>
      </c>
      <c r="E39" s="1529">
        <f>SUM(E33:E37)</f>
        <v>0</v>
      </c>
      <c r="F39" s="1482">
        <f>SUM(F33:F37)</f>
        <v>0</v>
      </c>
      <c r="G39" s="1819"/>
      <c r="H39" s="62"/>
      <c r="I39" s="594"/>
    </row>
    <row r="40" spans="1:10" s="47" customFormat="1" ht="15" customHeight="1" x14ac:dyDescent="0.2">
      <c r="A40" s="284"/>
      <c r="B40" s="77"/>
      <c r="C40" s="78"/>
      <c r="D40" s="78"/>
      <c r="E40" s="78"/>
      <c r="F40" s="1527"/>
      <c r="H40" s="62"/>
      <c r="I40" s="594"/>
    </row>
    <row r="41" spans="1:10" s="47" customFormat="1" ht="30" customHeight="1" x14ac:dyDescent="0.2">
      <c r="A41" s="284"/>
      <c r="E41" s="2103" t="str">
        <f>IF(E39&lt;&gt;'Allgemeine Angaben'!L47,"Prognose entspricht nicht Platzzahl.","")</f>
        <v/>
      </c>
      <c r="F41" s="2103" t="str">
        <f>IF(F39&lt;&gt;'Allgemeine Angaben'!L48,"Prognose KZP entspricht nicht Platzzahl.","")</f>
        <v/>
      </c>
      <c r="H41" s="62"/>
      <c r="I41" s="50"/>
    </row>
    <row r="42" spans="1:10" s="47" customFormat="1" ht="24" customHeight="1" x14ac:dyDescent="0.2">
      <c r="A42" s="284"/>
      <c r="F42" s="50"/>
      <c r="H42" s="62"/>
      <c r="I42" s="592"/>
    </row>
    <row r="43" spans="1:10" s="47" customFormat="1" ht="15" customHeight="1" x14ac:dyDescent="0.2">
      <c r="A43" s="284"/>
      <c r="B43" s="842"/>
      <c r="C43" s="857"/>
      <c r="D43" s="857"/>
      <c r="E43" s="857"/>
      <c r="F43" s="50"/>
      <c r="H43" s="62"/>
      <c r="I43" s="50"/>
    </row>
    <row r="44" spans="1:10" s="47" customFormat="1" ht="15" customHeight="1" x14ac:dyDescent="0.2">
      <c r="A44" s="284"/>
      <c r="B44" s="842"/>
      <c r="C44" s="857"/>
      <c r="D44" s="857"/>
      <c r="E44" s="857"/>
      <c r="H44" s="62"/>
      <c r="I44" s="50"/>
    </row>
    <row r="45" spans="1:10" s="47" customFormat="1" ht="15" customHeight="1" x14ac:dyDescent="0.2">
      <c r="A45" s="284"/>
      <c r="B45" s="128" t="s">
        <v>430</v>
      </c>
      <c r="C45" s="126"/>
      <c r="D45" s="126"/>
      <c r="E45" s="126"/>
      <c r="F45" s="126"/>
      <c r="G45" s="128"/>
      <c r="H45" s="62"/>
      <c r="I45" s="50"/>
    </row>
    <row r="46" spans="1:10" s="47" customFormat="1" ht="15" customHeight="1" x14ac:dyDescent="0.2">
      <c r="A46" s="284"/>
      <c r="H46" s="62"/>
      <c r="I46" s="50"/>
    </row>
    <row r="47" spans="1:10" s="47" customFormat="1" ht="15" customHeight="1" x14ac:dyDescent="0.2">
      <c r="A47" s="284"/>
      <c r="B47" s="1105" t="s">
        <v>428</v>
      </c>
      <c r="C47" s="854"/>
      <c r="D47" s="854"/>
      <c r="E47" s="854"/>
      <c r="F47" s="1931"/>
      <c r="H47" s="62"/>
      <c r="I47" s="50"/>
    </row>
    <row r="48" spans="1:10" s="47" customFormat="1" ht="30" customHeight="1" x14ac:dyDescent="0.2">
      <c r="A48" s="284"/>
      <c r="B48" s="2387" t="str">
        <f>IF(F47&lt;&gt;40,"Beachten Sie, dass laut Rahmenvertrag die Stellenumfänge und Personalaufwendungen immer auf Basis von 40 h/Woche für eine Vollkraft abzubilden sind!","")</f>
        <v>Beachten Sie, dass laut Rahmenvertrag die Stellenumfänge und Personalaufwendungen immer auf Basis von 40 h/Woche für eine Vollkraft abzubilden sind!</v>
      </c>
      <c r="C48" s="2387"/>
      <c r="D48" s="2387"/>
      <c r="E48" s="2387"/>
      <c r="F48" s="2387"/>
      <c r="H48" s="62"/>
      <c r="I48" s="50"/>
    </row>
    <row r="49" spans="1:18" s="47" customFormat="1" ht="15" customHeight="1" x14ac:dyDescent="0.2">
      <c r="A49" s="284"/>
      <c r="B49" s="855"/>
      <c r="C49" s="856"/>
      <c r="D49" s="856"/>
      <c r="E49" s="856"/>
      <c r="H49" s="62"/>
      <c r="I49" s="50"/>
    </row>
    <row r="50" spans="1:18" s="47" customFormat="1" ht="15" customHeight="1" x14ac:dyDescent="0.2">
      <c r="A50" s="284"/>
      <c r="B50" s="842"/>
      <c r="C50" s="857"/>
      <c r="D50" s="857"/>
      <c r="E50" s="857"/>
      <c r="H50" s="62"/>
      <c r="I50" s="50"/>
    </row>
    <row r="51" spans="1:18" s="47" customFormat="1" ht="15" customHeight="1" x14ac:dyDescent="0.2">
      <c r="A51" s="284"/>
      <c r="B51" s="842"/>
      <c r="C51" s="857"/>
      <c r="D51" s="857"/>
      <c r="E51" s="857"/>
      <c r="H51" s="62"/>
      <c r="I51" s="50"/>
    </row>
    <row r="52" spans="1:18" s="47" customFormat="1" ht="15" customHeight="1" x14ac:dyDescent="0.2">
      <c r="A52" s="284"/>
      <c r="B52" s="842"/>
      <c r="C52" s="857"/>
      <c r="D52" s="857"/>
      <c r="E52" s="857"/>
      <c r="H52" s="62"/>
      <c r="I52" s="50"/>
    </row>
    <row r="53" spans="1:18" s="47" customFormat="1" ht="15" customHeight="1" x14ac:dyDescent="0.2">
      <c r="A53" s="284"/>
      <c r="B53" s="842"/>
      <c r="C53" s="857"/>
      <c r="D53" s="857"/>
      <c r="E53" s="857"/>
      <c r="H53" s="62"/>
      <c r="I53" s="50"/>
    </row>
    <row r="54" spans="1:18" s="47" customFormat="1" ht="15" customHeight="1" x14ac:dyDescent="0.2">
      <c r="A54" s="284"/>
      <c r="B54" s="842"/>
      <c r="C54" s="857"/>
      <c r="D54" s="857"/>
      <c r="E54" s="857"/>
      <c r="H54" s="62"/>
      <c r="I54" s="50"/>
    </row>
    <row r="55" spans="1:18" s="47" customFormat="1" ht="15" customHeight="1" x14ac:dyDescent="0.2">
      <c r="A55" s="284"/>
      <c r="B55" s="842"/>
      <c r="C55" s="857"/>
      <c r="D55" s="857"/>
      <c r="E55" s="857"/>
      <c r="H55" s="62"/>
      <c r="I55" s="50"/>
    </row>
    <row r="56" spans="1:18" s="47" customFormat="1" ht="15" customHeight="1" x14ac:dyDescent="0.2">
      <c r="A56" s="284"/>
      <c r="E56" s="385"/>
      <c r="H56" s="62"/>
      <c r="I56" s="50"/>
    </row>
    <row r="57" spans="1:18" s="6" customFormat="1" ht="12.75" x14ac:dyDescent="0.2">
      <c r="A57" s="63"/>
      <c r="B57" s="838"/>
      <c r="C57" s="838"/>
      <c r="D57" s="838"/>
      <c r="E57" s="838"/>
      <c r="F57" s="838"/>
      <c r="G57" s="839"/>
      <c r="H57" s="81"/>
      <c r="I57" s="57"/>
    </row>
    <row r="58" spans="1:18" ht="15" customHeight="1" x14ac:dyDescent="0.25">
      <c r="A58" s="80"/>
      <c r="B58" s="840"/>
      <c r="C58" s="840"/>
      <c r="D58" s="840"/>
      <c r="E58" s="840"/>
      <c r="F58" s="840"/>
      <c r="G58" s="839"/>
      <c r="H58" s="5"/>
      <c r="I58" s="4"/>
      <c r="J58" s="4"/>
      <c r="K58" s="4"/>
      <c r="L58" s="4"/>
      <c r="M58" s="4"/>
      <c r="N58" s="4"/>
      <c r="O58" s="4"/>
      <c r="P58" s="4"/>
      <c r="Q58" s="4"/>
      <c r="R58" s="4"/>
    </row>
    <row r="59" spans="1:18" s="10" customFormat="1" ht="15" customHeight="1" x14ac:dyDescent="0.2">
      <c r="A59" s="63"/>
      <c r="B59" s="841"/>
      <c r="C59" s="842"/>
      <c r="D59" s="843"/>
      <c r="E59" s="2386"/>
      <c r="F59" s="2386"/>
      <c r="G59" s="839"/>
      <c r="H59" s="44"/>
      <c r="I59" s="595"/>
    </row>
    <row r="60" spans="1:18" s="10" customFormat="1" ht="15" customHeight="1" x14ac:dyDescent="0.2">
      <c r="A60" s="63"/>
      <c r="B60" s="841"/>
      <c r="C60" s="842"/>
      <c r="D60" s="843"/>
      <c r="E60" s="844"/>
      <c r="F60" s="845"/>
      <c r="G60" s="839"/>
      <c r="H60" s="44"/>
      <c r="I60" s="57"/>
    </row>
    <row r="61" spans="1:18" s="10" customFormat="1" ht="3" customHeight="1" x14ac:dyDescent="0.2">
      <c r="A61" s="63"/>
      <c r="B61" s="406"/>
      <c r="C61" s="406"/>
      <c r="D61" s="846"/>
      <c r="E61" s="406"/>
      <c r="F61" s="406"/>
      <c r="G61" s="839"/>
      <c r="H61" s="44"/>
    </row>
    <row r="62" spans="1:18" s="10" customFormat="1" ht="12.75" x14ac:dyDescent="0.2">
      <c r="A62" s="63"/>
      <c r="B62" s="419"/>
      <c r="C62" s="847"/>
      <c r="D62" s="848"/>
      <c r="E62" s="842"/>
      <c r="F62" s="842"/>
      <c r="G62" s="839"/>
      <c r="H62" s="44"/>
      <c r="I62" s="88"/>
    </row>
    <row r="63" spans="1:18" s="10" customFormat="1" ht="12.75" x14ac:dyDescent="0.2">
      <c r="A63" s="63"/>
      <c r="B63" s="419"/>
      <c r="C63" s="847"/>
      <c r="D63" s="848"/>
      <c r="E63" s="842"/>
      <c r="F63" s="842"/>
      <c r="G63" s="839"/>
      <c r="H63" s="44"/>
      <c r="I63" s="57"/>
    </row>
    <row r="64" spans="1:18" s="10" customFormat="1" ht="12.75" x14ac:dyDescent="0.2">
      <c r="A64" s="63"/>
      <c r="B64" s="419"/>
      <c r="C64" s="847"/>
      <c r="D64" s="848"/>
      <c r="E64" s="842"/>
      <c r="F64" s="842"/>
      <c r="G64" s="839"/>
      <c r="H64" s="44"/>
    </row>
    <row r="65" spans="1:18" s="10" customFormat="1" x14ac:dyDescent="0.2">
      <c r="A65" s="63"/>
      <c r="B65" s="2384"/>
      <c r="C65" s="2385"/>
      <c r="D65" s="848"/>
      <c r="E65" s="842"/>
      <c r="F65" s="842"/>
      <c r="G65" s="839"/>
      <c r="H65" s="44"/>
    </row>
    <row r="66" spans="1:18" s="10" customFormat="1" x14ac:dyDescent="0.2">
      <c r="A66" s="63"/>
      <c r="B66" s="2384"/>
      <c r="C66" s="2385"/>
      <c r="D66" s="848"/>
      <c r="E66" s="842"/>
      <c r="F66" s="842"/>
      <c r="G66" s="839"/>
      <c r="H66" s="44"/>
    </row>
    <row r="67" spans="1:18" s="10" customFormat="1" ht="3" customHeight="1" x14ac:dyDescent="0.2">
      <c r="A67" s="63"/>
      <c r="B67" s="849"/>
      <c r="C67" s="850"/>
      <c r="D67" s="851"/>
      <c r="E67" s="330"/>
      <c r="F67" s="330"/>
      <c r="G67" s="839"/>
      <c r="H67" s="44"/>
    </row>
    <row r="68" spans="1:18" x14ac:dyDescent="0.2">
      <c r="A68" s="51"/>
      <c r="B68" s="52"/>
      <c r="C68" s="52"/>
      <c r="D68" s="52"/>
      <c r="E68" s="52"/>
      <c r="F68" s="52"/>
      <c r="G68" s="82"/>
      <c r="H68" s="53"/>
      <c r="I68" s="4"/>
      <c r="J68" s="4"/>
      <c r="K68" s="4"/>
      <c r="L68" s="4"/>
      <c r="M68" s="4"/>
      <c r="N68" s="4"/>
      <c r="O68" s="4"/>
      <c r="P68" s="4"/>
      <c r="Q68" s="4"/>
      <c r="R68" s="4"/>
    </row>
    <row r="69" spans="1:18" ht="15" thickBot="1" x14ac:dyDescent="0.25">
      <c r="I69" s="4"/>
      <c r="J69" s="4"/>
      <c r="K69" s="4"/>
      <c r="L69" s="4"/>
      <c r="M69" s="4"/>
      <c r="N69" s="4"/>
      <c r="O69" s="4"/>
      <c r="P69" s="4"/>
      <c r="Q69" s="4"/>
      <c r="R69" s="4"/>
    </row>
    <row r="70" spans="1:18" ht="14.25" customHeight="1" thickBot="1" x14ac:dyDescent="0.25">
      <c r="B70" s="2374" t="s">
        <v>276</v>
      </c>
      <c r="C70" s="2382"/>
      <c r="D70" s="2382"/>
      <c r="E70" s="2382"/>
      <c r="F70" s="2382"/>
      <c r="G70" s="2383"/>
      <c r="I70" s="566"/>
      <c r="J70" s="566"/>
      <c r="K70" s="4"/>
      <c r="L70" s="4"/>
      <c r="M70" s="4"/>
      <c r="N70" s="4"/>
      <c r="O70" s="4"/>
      <c r="P70" s="4"/>
      <c r="Q70" s="4"/>
      <c r="R70" s="4"/>
    </row>
    <row r="71" spans="1:18" x14ac:dyDescent="0.2">
      <c r="I71" s="4"/>
      <c r="J71" s="4"/>
      <c r="K71" s="4"/>
      <c r="L71" s="4"/>
      <c r="M71" s="4"/>
      <c r="N71" s="4"/>
      <c r="O71" s="4"/>
      <c r="P71" s="4"/>
      <c r="Q71" s="4"/>
      <c r="R71" s="4"/>
    </row>
    <row r="72" spans="1:18" x14ac:dyDescent="0.2">
      <c r="I72" s="4"/>
      <c r="J72" s="4"/>
      <c r="K72" s="4"/>
      <c r="L72" s="4"/>
      <c r="M72" s="4"/>
      <c r="N72" s="4"/>
      <c r="O72" s="4"/>
      <c r="P72" s="4"/>
      <c r="Q72" s="4"/>
      <c r="R72" s="4"/>
    </row>
    <row r="73" spans="1:18" x14ac:dyDescent="0.2">
      <c r="I73" s="4"/>
      <c r="J73" s="4"/>
      <c r="K73" s="4"/>
      <c r="L73" s="4"/>
      <c r="M73" s="4"/>
      <c r="N73" s="4"/>
      <c r="O73" s="4"/>
      <c r="P73" s="4"/>
      <c r="Q73" s="4"/>
      <c r="R73" s="4"/>
    </row>
    <row r="74" spans="1:18" x14ac:dyDescent="0.2">
      <c r="I74" s="4"/>
      <c r="J74" s="4"/>
      <c r="K74" s="4"/>
      <c r="L74" s="4"/>
      <c r="M74" s="4"/>
      <c r="N74" s="4"/>
      <c r="O74" s="4"/>
      <c r="P74" s="4"/>
      <c r="Q74" s="4"/>
      <c r="R74" s="4"/>
    </row>
    <row r="75" spans="1:18" x14ac:dyDescent="0.2">
      <c r="I75" s="4"/>
      <c r="J75" s="4"/>
      <c r="K75" s="4"/>
      <c r="L75" s="4"/>
      <c r="M75" s="4"/>
      <c r="N75" s="4"/>
      <c r="O75" s="4"/>
      <c r="P75" s="4"/>
      <c r="Q75" s="4"/>
      <c r="R75" s="4"/>
    </row>
    <row r="76" spans="1:18" x14ac:dyDescent="0.2">
      <c r="I76" s="4"/>
      <c r="J76" s="4"/>
      <c r="K76" s="4"/>
      <c r="L76" s="4"/>
      <c r="M76" s="4"/>
      <c r="N76" s="4"/>
      <c r="O76" s="4"/>
      <c r="P76" s="4"/>
      <c r="Q76" s="4"/>
      <c r="R76" s="4"/>
    </row>
    <row r="77" spans="1:18" x14ac:dyDescent="0.2">
      <c r="I77" s="4"/>
      <c r="J77" s="4"/>
      <c r="K77" s="4"/>
      <c r="L77" s="4"/>
      <c r="M77" s="4"/>
      <c r="N77" s="4"/>
      <c r="O77" s="4"/>
      <c r="P77" s="4"/>
      <c r="Q77" s="4"/>
      <c r="R77" s="4"/>
    </row>
    <row r="78" spans="1:18" x14ac:dyDescent="0.2">
      <c r="I78" s="4"/>
      <c r="J78" s="4"/>
      <c r="K78" s="4"/>
      <c r="L78" s="4"/>
      <c r="M78" s="4"/>
      <c r="N78" s="4"/>
      <c r="O78" s="4"/>
      <c r="P78" s="4"/>
      <c r="Q78" s="4"/>
      <c r="R78" s="4"/>
    </row>
    <row r="79" spans="1:18" x14ac:dyDescent="0.2">
      <c r="I79" s="4"/>
      <c r="J79" s="4"/>
      <c r="K79" s="4"/>
      <c r="L79" s="4"/>
      <c r="M79" s="4"/>
      <c r="N79" s="4"/>
      <c r="O79" s="4"/>
      <c r="P79" s="4"/>
      <c r="Q79" s="4"/>
      <c r="R79" s="4"/>
    </row>
    <row r="80" spans="1:18" x14ac:dyDescent="0.2">
      <c r="I80" s="4"/>
      <c r="J80" s="4"/>
      <c r="K80" s="4"/>
      <c r="L80" s="4"/>
      <c r="M80" s="4"/>
      <c r="N80" s="4"/>
      <c r="O80" s="4"/>
      <c r="P80" s="4"/>
      <c r="Q80" s="4"/>
      <c r="R80" s="4"/>
    </row>
    <row r="81" s="4" customFormat="1" x14ac:dyDescent="0.2"/>
    <row r="82" s="4" customFormat="1" x14ac:dyDescent="0.2"/>
    <row r="83" s="4" customFormat="1" x14ac:dyDescent="0.2"/>
    <row r="84" s="4" customFormat="1" x14ac:dyDescent="0.2"/>
    <row r="85" s="4" customFormat="1" x14ac:dyDescent="0.2"/>
    <row r="86" s="4" customFormat="1" x14ac:dyDescent="0.2"/>
    <row r="87" s="4" customFormat="1" x14ac:dyDescent="0.2"/>
    <row r="88" s="4" customFormat="1" x14ac:dyDescent="0.2"/>
    <row r="89" s="4" customFormat="1" x14ac:dyDescent="0.2"/>
    <row r="90" s="4" customFormat="1" x14ac:dyDescent="0.2"/>
    <row r="91" s="4" customFormat="1" x14ac:dyDescent="0.2"/>
    <row r="92" s="4" customFormat="1" x14ac:dyDescent="0.2"/>
    <row r="93" s="4" customFormat="1" x14ac:dyDescent="0.2"/>
    <row r="94" s="4" customFormat="1" x14ac:dyDescent="0.2"/>
    <row r="95" s="4" customFormat="1" x14ac:dyDescent="0.2"/>
    <row r="96" s="4" customFormat="1" x14ac:dyDescent="0.2"/>
    <row r="97" s="4" customFormat="1" x14ac:dyDescent="0.2"/>
    <row r="98" s="4" customFormat="1" x14ac:dyDescent="0.2"/>
  </sheetData>
  <sheetProtection algorithmName="SHA-512" hashValue="In4ZvVl3J1BWFwcbsb/kB9weCiLZdEHxl5bZZtyqTNcePW6FTFyepqtlCFxYebq9bGqmjcw4bT9lkYBF0IScaw==" saltValue="MzVp/coUpYvdp2ZGiOfXhQ==" spinCount="100000" sheet="1" objects="1" scenarios="1" selectLockedCells="1"/>
  <mergeCells count="8">
    <mergeCell ref="A1:H1"/>
    <mergeCell ref="A2:H2"/>
    <mergeCell ref="A3:H3"/>
    <mergeCell ref="B70:G70"/>
    <mergeCell ref="B65:C65"/>
    <mergeCell ref="B66:C66"/>
    <mergeCell ref="E59:F59"/>
    <mergeCell ref="B48:F48"/>
  </mergeCells>
  <conditionalFormatting sqref="C39">
    <cfRule type="expression" dxfId="245" priority="32">
      <formula>$C$39=0</formula>
    </cfRule>
  </conditionalFormatting>
  <conditionalFormatting sqref="D39">
    <cfRule type="expression" dxfId="243" priority="31">
      <formula>$D$39=0</formula>
    </cfRule>
  </conditionalFormatting>
  <conditionalFormatting sqref="E23 E56">
    <cfRule type="expression" dxfId="242" priority="33">
      <formula>$E$23=0</formula>
    </cfRule>
  </conditionalFormatting>
  <conditionalFormatting sqref="E39">
    <cfRule type="expression" dxfId="241" priority="30">
      <formula>$E$39=0</formula>
    </cfRule>
  </conditionalFormatting>
  <conditionalFormatting sqref="F39">
    <cfRule type="expression" dxfId="232" priority="2">
      <formula>$F$39=0</formula>
    </cfRule>
  </conditionalFormatting>
  <dataValidations count="5">
    <dataValidation type="whole" allowBlank="1" showInputMessage="1" showErrorMessage="1" errorTitle="Eintragungsmöglichkeit" error="ganze Zahlen_x000a_ab 96 bis 100_x000a_je nach Einrichtungsart" prompt="vollstationär: 96% bis 100%_x000a__x000a_" sqref="G6" xr:uid="{00000000-0002-0000-0200-000000000000}">
      <formula1>96</formula1>
      <formula2>100</formula2>
    </dataValidation>
    <dataValidation type="date" errorStyle="warning" operator="lessThan" allowBlank="1" showInputMessage="1" showErrorMessage="1" errorTitle="Stichtagsdatum prüfen" error="Der Stichtag muss vor dem Prognosezeitraum und soll nicht länger als drei Monate vor der Antragstellung liegen. " promptTitle="Stichtag" prompt="Stichtag maximal drei Monate vor der Antragstellung" sqref="D16" xr:uid="{00000000-0002-0000-0200-000001000000}">
      <formula1>E16</formula1>
    </dataValidation>
    <dataValidation type="date" errorStyle="warning" allowBlank="1" showInputMessage="1" showErrorMessage="1" errorTitle="Datum prüfen" error="Das Vorjahresende muss vor der Prognose liegen!_x000a_" sqref="C17" xr:uid="{00000000-0002-0000-0200-000002000000}">
      <formula1>C16</formula1>
      <formula2>E16</formula2>
    </dataValidation>
    <dataValidation allowBlank="1" showInputMessage="1" showErrorMessage="1" prompt="Der Beginn des Belegungszeitraumes darf nicht mehr als 24 Kalendermonate vor dem Laufzeitbeginn liegen." sqref="C16" xr:uid="{00000000-0002-0000-0200-000003000000}"/>
    <dataValidation type="whole" allowBlank="1" showInputMessage="1" showErrorMessage="1" errorTitle="Erfassung" error="nur von ganzen Zahlen möglich." promptTitle="Erfassung nur von ganzen Zahlen" sqref="C33:E37" xr:uid="{00000000-0002-0000-0200-000004000000}">
      <formula1>0</formula1>
      <formula2>1000000</formula2>
    </dataValidation>
  </dataValidations>
  <hyperlinks>
    <hyperlink ref="B70" location="'Anlage 1'!A1" display="Anlage 1" xr:uid="{00000000-0004-0000-0200-000000000000}"/>
    <hyperlink ref="B70:G70" location="Personalkostenaufstellung!Druckbereich" display="gehe weiter zu Personalkostenaufstellung" xr:uid="{00000000-0004-0000-0200-000001000000}"/>
  </hyperlinks>
  <pageMargins left="0.70866141732283472" right="0.70866141732283472" top="0.78740157480314965" bottom="0.78740157480314965" header="0.31496062992125984" footer="0.31496062992125984"/>
  <pageSetup paperSize="9" scale="71" orientation="portrait"/>
  <headerFooter>
    <oddHeader>&amp;C&amp;9Seite 2</oddHeader>
    <oddFooter>&amp;L&amp;8Version: 24.04.2026&amp;C&amp;8Verhandlungsunterlagen vollstationär SGB XI ab 01.07.2026&amp;R&amp;8PSK am 24.04.2026</oddFooter>
  </headerFooter>
  <extLst>
    <ext xmlns:x14="http://schemas.microsoft.com/office/spreadsheetml/2009/9/main" uri="{78C0D931-6437-407d-A8EE-F0AAD7539E65}">
      <x14:conditionalFormattings>
        <x14:conditionalFormatting xmlns:xm="http://schemas.microsoft.com/office/excel/2006/main">
          <x14:cfRule type="expression" priority="1" id="{DC7C2BC8-7EFF-4517-B9CB-4C1F44BDB3C3}">
            <xm:f>'Allgemeine Angaben'!$H$45='Allgemeine Angaben'!$H$52</xm:f>
            <x14:dxf>
              <font>
                <color theme="0"/>
              </font>
            </x14:dxf>
          </x14:cfRule>
          <xm:sqref>C18</xm:sqref>
        </x14:conditionalFormatting>
        <x14:conditionalFormatting xmlns:xm="http://schemas.microsoft.com/office/excel/2006/main">
          <x14:cfRule type="expression" priority="628" id="{79BCB116-F1DE-4A7D-87E6-E135AFE3202A}">
            <xm:f>KAT!$A$70="nein"</xm:f>
            <x14:dxf>
              <fill>
                <patternFill>
                  <bgColor theme="0"/>
                </patternFill>
              </fill>
            </x14:dxf>
          </x14:cfRule>
          <xm:sqref>C18:C19</xm:sqref>
        </x14:conditionalFormatting>
        <x14:conditionalFormatting xmlns:xm="http://schemas.microsoft.com/office/excel/2006/main">
          <x14:cfRule type="expression" priority="629" id="{DFAA248B-C3DC-4822-BB07-C702F3334DE6}">
            <xm:f>KAT!A70="ja"</xm:f>
            <x14:dxf>
              <fill>
                <patternFill>
                  <bgColor rgb="FFCCECFF"/>
                </patternFill>
              </fill>
            </x14:dxf>
          </x14:cfRule>
          <xm:sqref>D17</xm:sqref>
        </x14:conditionalFormatting>
        <x14:conditionalFormatting xmlns:xm="http://schemas.microsoft.com/office/excel/2006/main">
          <x14:cfRule type="expression" priority="6" id="{BEAE555A-515B-41DE-A35B-3E1A060247E2}">
            <xm:f>'Allgemeine Angaben'!$L$47=""</xm:f>
            <x14:dxf>
              <font>
                <color theme="0"/>
              </font>
            </x14:dxf>
          </x14:cfRule>
          <xm:sqref>E41</xm:sqref>
        </x14:conditionalFormatting>
        <x14:conditionalFormatting xmlns:xm="http://schemas.microsoft.com/office/excel/2006/main">
          <x14:cfRule type="expression" priority="626" id="{056BDB23-EA2F-45CE-9801-FAB65D632ACE}">
            <xm:f>KAT!$A$70="ja"</xm:f>
            <x14:dxf>
              <fill>
                <patternFill>
                  <bgColor rgb="FFCCECFF"/>
                </patternFill>
              </fill>
            </x14:dxf>
          </x14:cfRule>
          <xm:sqref>E41:F41 B48:F48</xm:sqref>
        </x14:conditionalFormatting>
        <x14:conditionalFormatting xmlns:xm="http://schemas.microsoft.com/office/excel/2006/main">
          <x14:cfRule type="expression" priority="12" id="{101380F4-FDB9-42F0-B520-B210AD1858D7}">
            <xm:f>'Allgemeine Angaben'!$L$48&gt;0</xm:f>
            <x14:dxf>
              <font>
                <b/>
                <i val="0"/>
                <color theme="1"/>
              </font>
              <fill>
                <patternFill>
                  <bgColor theme="6" tint="0.59996337778862885"/>
                </patternFill>
              </fill>
              <border>
                <left style="thin">
                  <color auto="1"/>
                </left>
                <right style="thin">
                  <color auto="1"/>
                </right>
                <top style="thin">
                  <color auto="1"/>
                </top>
                <bottom style="thin">
                  <color auto="1"/>
                </bottom>
                <vertical/>
                <horizontal/>
              </border>
            </x14:dxf>
          </x14:cfRule>
          <xm:sqref>F27</xm:sqref>
        </x14:conditionalFormatting>
        <x14:conditionalFormatting xmlns:xm="http://schemas.microsoft.com/office/excel/2006/main">
          <x14:cfRule type="expression" priority="10" id="{FE50796C-BE7E-407C-A684-09C9F8B12241}">
            <xm:f>'Allgemeine Angaben'!$L$48&gt;0</xm:f>
            <x14:dxf>
              <font>
                <color theme="1"/>
              </font>
              <fill>
                <patternFill>
                  <bgColor theme="6" tint="0.59996337778862885"/>
                </patternFill>
              </fill>
              <border>
                <left style="thin">
                  <color auto="1"/>
                </left>
                <right style="thin">
                  <color auto="1"/>
                </right>
                <vertical/>
                <horizontal/>
              </border>
            </x14:dxf>
          </x14:cfRule>
          <xm:sqref>F28:F29</xm:sqref>
        </x14:conditionalFormatting>
        <x14:conditionalFormatting xmlns:xm="http://schemas.microsoft.com/office/excel/2006/main">
          <x14:cfRule type="expression" priority="9" id="{489872C6-D71B-488E-96E0-B2D834CD7AE5}">
            <xm:f>'Allgemeine Angaben'!$L$48&gt;0</xm:f>
            <x14:dxf>
              <fill>
                <patternFill>
                  <bgColor theme="6" tint="0.59996337778862885"/>
                </patternFill>
              </fill>
              <border>
                <left style="thin">
                  <color auto="1"/>
                </left>
                <right style="thin">
                  <color auto="1"/>
                </right>
                <vertical/>
                <horizontal/>
              </border>
            </x14:dxf>
          </x14:cfRule>
          <xm:sqref>F30</xm:sqref>
        </x14:conditionalFormatting>
        <x14:conditionalFormatting xmlns:xm="http://schemas.microsoft.com/office/excel/2006/main">
          <x14:cfRule type="expression" priority="8" id="{B1FC0B92-0D10-4890-BBA2-D94F89D26436}">
            <xm:f>'Allgemeine Angaben'!$L$48&gt;0</xm:f>
            <x14:dxf>
              <fill>
                <patternFill>
                  <bgColor theme="6" tint="0.59996337778862885"/>
                </patternFill>
              </fill>
              <border>
                <left style="thin">
                  <color auto="1"/>
                </left>
                <right style="thin">
                  <color auto="1"/>
                </right>
                <bottom style="thin">
                  <color auto="1"/>
                </bottom>
                <vertical/>
                <horizontal/>
              </border>
            </x14:dxf>
          </x14:cfRule>
          <xm:sqref>F31</xm:sqref>
        </x14:conditionalFormatting>
        <x14:conditionalFormatting xmlns:xm="http://schemas.microsoft.com/office/excel/2006/main">
          <x14:cfRule type="expression" priority="233" id="{6C065E83-700B-4CAC-B2D5-D6394F146066}">
            <xm:f>'Allgemeine Angaben'!$L$48&gt;0</xm:f>
            <x14:dxf>
              <font>
                <color auto="1"/>
              </font>
              <border>
                <right style="thin">
                  <color auto="1"/>
                </right>
                <vertical/>
                <horizontal/>
              </border>
            </x14:dxf>
          </x14:cfRule>
          <xm:sqref>F32:F39</xm:sqref>
        </x14:conditionalFormatting>
        <x14:conditionalFormatting xmlns:xm="http://schemas.microsoft.com/office/excel/2006/main">
          <x14:cfRule type="expression" priority="234" id="{27EFD5CD-A057-44A1-A001-A11E5B2021AF}">
            <xm:f>'Allgemeine Angaben'!$L$48&gt;0</xm:f>
            <x14:dxf>
              <font>
                <color auto="1"/>
              </font>
              <fill>
                <patternFill>
                  <bgColor rgb="FFFBFD95"/>
                </patternFill>
              </fill>
            </x14:dxf>
          </x14:cfRule>
          <xm:sqref>F33:F37</xm:sqref>
        </x14:conditionalFormatting>
        <x14:conditionalFormatting xmlns:xm="http://schemas.microsoft.com/office/excel/2006/main">
          <x14:cfRule type="expression" priority="235" id="{362E1051-1D32-4C1E-BA0B-B98136039284}">
            <xm:f>'Allgemeine Angaben'!$L$48&gt;0</xm:f>
            <x14:dxf>
              <font>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F39</xm:sqref>
        </x14:conditionalFormatting>
        <x14:conditionalFormatting xmlns:xm="http://schemas.microsoft.com/office/excel/2006/main">
          <x14:cfRule type="expression" priority="7" id="{1FC5A084-0C8E-4166-BEC9-63566E20BEDE}">
            <xm:f>'Allgemeine Angaben'!$L$48&gt;0</xm:f>
            <x14:dxf>
              <border>
                <right style="thin">
                  <color auto="1"/>
                </right>
                <bottom style="thin">
                  <color auto="1"/>
                </bottom>
              </border>
            </x14:dxf>
          </x14:cfRule>
          <xm:sqref>F40</xm:sqref>
        </x14:conditionalFormatting>
        <x14:conditionalFormatting xmlns:xm="http://schemas.microsoft.com/office/excel/2006/main">
          <x14:cfRule type="expression" priority="3" id="{FBCA111A-B398-4853-8830-48848114A209}">
            <xm:f>'Allgemeine Angaben'!$L$48=""</xm:f>
            <x14:dxf>
              <font>
                <color theme="0"/>
              </font>
              <fill>
                <patternFill>
                  <bgColor theme="0"/>
                </patternFill>
              </fill>
              <border>
                <left/>
                <right/>
                <bottom/>
                <vertical/>
                <horizontal/>
              </border>
            </x14:dxf>
          </x14:cfRule>
          <xm:sqref>F41</xm:sqref>
        </x14:conditionalFormatting>
        <x14:conditionalFormatting xmlns:xm="http://schemas.microsoft.com/office/excel/2006/main">
          <x14:cfRule type="expression" priority="18" id="{564692B9-82C8-4425-8224-C8D4E7B96A11}">
            <xm:f>'Allgemeine Angaben'!$D$6:$G$6=""</xm:f>
            <x14:dxf>
              <font>
                <color theme="0"/>
              </font>
            </x14:dxf>
          </x14:cfRule>
          <xm:sqref>G27:G31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pageSetUpPr fitToPage="1"/>
  </sheetPr>
  <dimension ref="A1:BV617"/>
  <sheetViews>
    <sheetView showGridLines="0" zoomScale="80" zoomScaleNormal="80" workbookViewId="0">
      <selection activeCell="M12" sqref="M12"/>
    </sheetView>
  </sheetViews>
  <sheetFormatPr baseColWidth="10" defaultColWidth="11" defaultRowHeight="12.75" x14ac:dyDescent="0.2"/>
  <cols>
    <col min="1" max="1" width="27.875" style="1" customWidth="1"/>
    <col min="2" max="2" width="19.5" style="1" customWidth="1"/>
    <col min="3" max="3" width="17.625" style="1" customWidth="1"/>
    <col min="4" max="4" width="15.625" style="1" customWidth="1"/>
    <col min="5" max="5" width="17.75" style="1" customWidth="1"/>
    <col min="6" max="6" width="30.25" style="1" customWidth="1"/>
    <col min="7" max="7" width="16.375" style="1" customWidth="1"/>
    <col min="8" max="8" width="15.875" style="1" customWidth="1"/>
    <col min="9" max="10" width="12.625" style="1" customWidth="1"/>
    <col min="11" max="12" width="16.625" style="1" customWidth="1"/>
    <col min="13" max="13" width="22.125" style="1" customWidth="1"/>
    <col min="14" max="14" width="16.625" style="1" customWidth="1"/>
    <col min="15" max="15" width="14.75" style="1" customWidth="1"/>
    <col min="16" max="16" width="22.375" style="1" customWidth="1"/>
    <col min="17" max="17" width="16.5" style="1" customWidth="1"/>
    <col min="18" max="21" width="14.625" style="1" customWidth="1"/>
    <col min="22" max="22" width="15.875" style="1" customWidth="1"/>
    <col min="23" max="23" width="14.625" style="1" customWidth="1"/>
    <col min="24" max="25" width="20.625" style="1" customWidth="1"/>
    <col min="26" max="26" width="10.875" style="1" hidden="1" customWidth="1"/>
    <col min="27" max="35" width="20.625" style="1" hidden="1" customWidth="1"/>
    <col min="36" max="36" width="14.125" style="1" hidden="1" customWidth="1"/>
    <col min="37" max="41" width="20.625" style="1" hidden="1" customWidth="1"/>
    <col min="42" max="44" width="20.625" style="1133" hidden="1" customWidth="1"/>
    <col min="45" max="45" width="20.625" style="54" hidden="1" customWidth="1"/>
    <col min="46" max="46" width="20.625" style="562" hidden="1" customWidth="1"/>
    <col min="47" max="47" width="20.625" style="609" hidden="1" customWidth="1"/>
    <col min="48" max="50" width="20.625" style="1" hidden="1" customWidth="1"/>
    <col min="51" max="52" width="20.625" style="373" customWidth="1"/>
    <col min="53" max="53" width="23" style="373" customWidth="1"/>
    <col min="54" max="56" width="20.625" style="373" customWidth="1"/>
    <col min="57" max="58" width="20.625" style="705" hidden="1" customWidth="1"/>
    <col min="59" max="59" width="20.625" style="692" hidden="1" customWidth="1"/>
    <col min="60" max="60" width="15.5" style="373" customWidth="1"/>
    <col min="61" max="61" width="15.625" style="373" customWidth="1"/>
    <col min="62" max="63" width="11" style="373" customWidth="1"/>
    <col min="64" max="74" width="11" style="1" customWidth="1"/>
    <col min="75" max="16384" width="11" style="1"/>
  </cols>
  <sheetData>
    <row r="1" spans="1:74" ht="15.75" x14ac:dyDescent="0.25">
      <c r="A1" s="2240" t="s">
        <v>299</v>
      </c>
      <c r="B1" s="2233"/>
      <c r="C1" s="2233"/>
      <c r="D1" s="2233"/>
      <c r="E1" s="2024"/>
      <c r="F1" s="466" t="s">
        <v>299</v>
      </c>
      <c r="G1" s="501"/>
      <c r="H1" s="467"/>
      <c r="I1" s="467"/>
      <c r="J1" s="467"/>
      <c r="K1" s="467"/>
      <c r="L1" s="467"/>
      <c r="M1" s="467"/>
      <c r="N1" s="467"/>
      <c r="O1" s="467"/>
      <c r="P1" s="467"/>
      <c r="Q1" s="467"/>
      <c r="R1" s="467"/>
      <c r="S1" s="467"/>
      <c r="T1" s="467"/>
      <c r="U1" s="467"/>
      <c r="V1" s="467"/>
      <c r="W1" s="467"/>
      <c r="X1" s="2246" t="str">
        <f>'Allgemeine Angaben'!K4</f>
        <v>Antrag vom:</v>
      </c>
      <c r="Y1" s="779">
        <f>'Allgemeine Angaben'!L4</f>
        <v>0</v>
      </c>
      <c r="Z1" s="517"/>
      <c r="AA1" s="213" t="s">
        <v>383</v>
      </c>
      <c r="AB1" s="213"/>
      <c r="AC1" s="213"/>
      <c r="AD1" s="213"/>
      <c r="AE1" s="213"/>
      <c r="AF1" s="517"/>
      <c r="AG1" s="1026" t="s">
        <v>407</v>
      </c>
      <c r="AH1" s="1027"/>
      <c r="AI1" s="1027"/>
      <c r="AJ1" s="1028"/>
      <c r="AK1" s="1029"/>
      <c r="AL1" s="517"/>
      <c r="AM1" s="1717" t="s">
        <v>588</v>
      </c>
      <c r="AN1" s="1714"/>
      <c r="AO1" s="517"/>
      <c r="AP1" s="1766" t="s">
        <v>589</v>
      </c>
      <c r="AQ1" s="1767">
        <f>ROUND(IFERROR('Allgemeine Angaben'!L47/20,0),4)</f>
        <v>0</v>
      </c>
      <c r="AR1" s="1413"/>
      <c r="AS1" s="984"/>
      <c r="AT1" s="999"/>
      <c r="AU1" s="962"/>
      <c r="AV1" s="517"/>
      <c r="AW1" s="517"/>
      <c r="AX1" s="517"/>
      <c r="BD1" s="878"/>
      <c r="BE1" s="373"/>
      <c r="BF1" s="373"/>
      <c r="BG1" s="323"/>
      <c r="BL1" s="596"/>
      <c r="BM1" s="396"/>
      <c r="BN1" s="562"/>
      <c r="BP1" s="571"/>
    </row>
    <row r="2" spans="1:74" ht="18" customHeight="1" thickBot="1" x14ac:dyDescent="0.25">
      <c r="A2" s="2288"/>
      <c r="B2" s="463"/>
      <c r="C2" s="463"/>
      <c r="D2" s="463"/>
      <c r="E2" s="464"/>
      <c r="F2" s="411"/>
      <c r="G2" s="778"/>
      <c r="H2" s="778"/>
      <c r="I2" s="778"/>
      <c r="J2" s="778"/>
      <c r="K2" s="778"/>
      <c r="L2" s="778"/>
      <c r="M2" s="778"/>
      <c r="N2" s="778"/>
      <c r="O2" s="778"/>
      <c r="P2" s="778"/>
      <c r="Q2" s="778"/>
      <c r="R2" s="778"/>
      <c r="S2" s="778"/>
      <c r="T2" s="778"/>
      <c r="U2" s="778"/>
      <c r="V2" s="778"/>
      <c r="W2" s="778"/>
      <c r="X2" s="778"/>
      <c r="Y2" s="464"/>
      <c r="Z2" s="517"/>
      <c r="AA2" s="435" t="s">
        <v>384</v>
      </c>
      <c r="AB2" s="869"/>
      <c r="AC2" s="869"/>
      <c r="AD2" s="869"/>
      <c r="AE2" s="436"/>
      <c r="AF2" s="517"/>
      <c r="AG2" s="1023"/>
      <c r="AH2" s="1024" t="s">
        <v>410</v>
      </c>
      <c r="AI2" s="1024" t="s">
        <v>411</v>
      </c>
      <c r="AJ2" s="1025" t="s">
        <v>412</v>
      </c>
      <c r="AK2" s="1025" t="s">
        <v>190</v>
      </c>
      <c r="AL2" s="517"/>
      <c r="AM2" s="1715" t="s">
        <v>314</v>
      </c>
      <c r="AN2" s="1712"/>
      <c r="AO2" s="517"/>
      <c r="AP2" s="1413"/>
      <c r="AQ2" s="1413"/>
      <c r="AR2" s="1413"/>
      <c r="AS2" s="984"/>
      <c r="AT2" s="999"/>
      <c r="AU2" s="962"/>
      <c r="AV2" s="517"/>
      <c r="AW2" s="517"/>
      <c r="AX2" s="517"/>
      <c r="BD2" s="879"/>
      <c r="BE2" s="878"/>
      <c r="BF2" s="879"/>
      <c r="BG2" s="878"/>
      <c r="BL2" s="597"/>
      <c r="BM2" s="598"/>
      <c r="BN2" s="599"/>
      <c r="BO2" s="600"/>
    </row>
    <row r="3" spans="1:74" ht="18" customHeight="1" x14ac:dyDescent="0.2">
      <c r="A3" s="2241"/>
      <c r="B3" s="773"/>
      <c r="C3" s="773"/>
      <c r="D3" s="773"/>
      <c r="E3" s="774"/>
      <c r="F3" s="775"/>
      <c r="G3" s="777"/>
      <c r="H3" s="777"/>
      <c r="I3" s="777"/>
      <c r="J3" s="777"/>
      <c r="K3" s="777"/>
      <c r="L3" s="777"/>
      <c r="M3" s="777"/>
      <c r="N3" s="777"/>
      <c r="O3" s="777"/>
      <c r="P3" s="777"/>
      <c r="Q3" s="777"/>
      <c r="R3" s="777"/>
      <c r="S3" s="777"/>
      <c r="T3" s="777"/>
      <c r="U3" s="777"/>
      <c r="V3" s="777"/>
      <c r="W3" s="777"/>
      <c r="X3" s="752"/>
      <c r="Y3" s="357"/>
      <c r="Z3" s="517"/>
      <c r="AA3" s="488" t="s">
        <v>281</v>
      </c>
      <c r="AB3" s="488" t="s">
        <v>282</v>
      </c>
      <c r="AC3" s="488" t="s">
        <v>331</v>
      </c>
      <c r="AD3" t="s">
        <v>385</v>
      </c>
      <c r="AE3" s="24"/>
      <c r="AF3" s="517"/>
      <c r="AG3" s="1770" t="s">
        <v>311</v>
      </c>
      <c r="AH3" s="1412">
        <f>SUM(H139:H145)</f>
        <v>0</v>
      </c>
      <c r="AI3" s="1412">
        <f>SUM(H467:H473)</f>
        <v>0</v>
      </c>
      <c r="AJ3" s="1411">
        <f>SUM(AH3:AI3)</f>
        <v>0</v>
      </c>
      <c r="AK3" s="1022">
        <f>IFERROR(AJ3*AK6/AJ6,0)</f>
        <v>0</v>
      </c>
      <c r="AL3" s="517"/>
      <c r="AM3" s="1715" t="s">
        <v>313</v>
      </c>
      <c r="AN3" s="1712"/>
      <c r="AO3" s="517"/>
      <c r="AP3" s="1413"/>
      <c r="AQ3" s="1413"/>
      <c r="AR3" s="1413"/>
      <c r="AS3" s="984"/>
      <c r="AT3" s="999"/>
      <c r="AU3" s="962"/>
      <c r="AV3" s="517"/>
      <c r="AW3" s="517"/>
      <c r="AX3" s="517"/>
      <c r="BD3" s="878"/>
      <c r="BE3" s="894"/>
      <c r="BF3" s="878"/>
      <c r="BG3" s="894"/>
      <c r="BL3" s="597"/>
      <c r="BM3" s="598"/>
      <c r="BN3" s="599"/>
      <c r="BO3" s="600"/>
    </row>
    <row r="4" spans="1:74" ht="15" customHeight="1" x14ac:dyDescent="0.2">
      <c r="A4" s="2242" t="str">
        <f>F4</f>
        <v>Name der Einrichtung:</v>
      </c>
      <c r="B4" s="2441" t="str">
        <f>IF('Allgemeine Angaben'!$D$12=0,"",'Allgemeine Angaben'!$D$12)</f>
        <v/>
      </c>
      <c r="C4" s="2441"/>
      <c r="D4" s="2441"/>
      <c r="E4" s="772"/>
      <c r="F4" s="358" t="s">
        <v>259</v>
      </c>
      <c r="G4" s="2109" t="str">
        <f>IF('Allgemeine Angaben'!$D$12=0,"",'Allgemeine Angaben'!$D$12)</f>
        <v/>
      </c>
      <c r="H4" s="409"/>
      <c r="I4" s="409"/>
      <c r="J4" s="776"/>
      <c r="K4" s="827"/>
      <c r="L4" s="827"/>
      <c r="M4" s="827"/>
      <c r="N4" s="827"/>
      <c r="O4" s="827"/>
      <c r="P4" s="827"/>
      <c r="Q4" s="827"/>
      <c r="R4" s="828"/>
      <c r="S4" s="828"/>
      <c r="T4" s="828"/>
      <c r="U4" s="829"/>
      <c r="V4" s="829"/>
      <c r="W4" s="359"/>
      <c r="X4" s="356"/>
      <c r="Y4" s="357"/>
      <c r="Z4" s="517"/>
      <c r="AA4" s="28">
        <v>1</v>
      </c>
      <c r="AB4" s="876">
        <v>40</v>
      </c>
      <c r="AC4" s="1403">
        <v>0.75</v>
      </c>
      <c r="AD4" s="1406">
        <f>IF('Allgemeine Angaben'!L47&lt;AA5,AC4,IF('Allgemeine Angaben'!L47&lt;AA6,AC5,IF('Allgemeine Angaben'!L47&lt;AA7,AC6,AC7)))</f>
        <v>0.75</v>
      </c>
      <c r="AE4" s="24"/>
      <c r="AF4" s="517"/>
      <c r="AG4" s="1020" t="s">
        <v>408</v>
      </c>
      <c r="AH4" s="1412">
        <f>SUM(H225:H254)</f>
        <v>0</v>
      </c>
      <c r="AI4" s="1412">
        <f>SUM(H475:H504)</f>
        <v>0</v>
      </c>
      <c r="AJ4" s="1411">
        <f>SUM(AH4:AI4)</f>
        <v>0</v>
      </c>
      <c r="AK4" s="1022">
        <f>IFERROR(AJ4*AK6/AJ6,0)</f>
        <v>0</v>
      </c>
      <c r="AL4" s="517"/>
      <c r="AM4" s="1716"/>
      <c r="AN4" s="1713"/>
      <c r="AO4" s="517"/>
      <c r="AP4" s="1413"/>
      <c r="AQ4" s="1413"/>
      <c r="AR4" s="1413"/>
      <c r="AS4" s="984"/>
      <c r="AT4" s="999"/>
      <c r="AU4" s="962"/>
      <c r="AV4" s="517"/>
      <c r="AW4" s="517"/>
      <c r="AX4" s="517"/>
      <c r="BD4" s="878"/>
      <c r="BE4" s="894"/>
      <c r="BF4" s="373"/>
      <c r="BG4" s="894"/>
      <c r="BL4" s="601"/>
      <c r="BO4" s="239"/>
    </row>
    <row r="5" spans="1:74" ht="15.75" customHeight="1" x14ac:dyDescent="0.2">
      <c r="A5" s="2242" t="str">
        <f>F5</f>
        <v>Ort der Einrichtung:</v>
      </c>
      <c r="B5" s="2441" t="str">
        <f>IF('Allgemeine Angaben'!D16=0,"",'Allgemeine Angaben'!D16&amp;" "&amp;'Allgemeine Angaben'!J16)</f>
        <v/>
      </c>
      <c r="C5" s="2441"/>
      <c r="D5" s="2441"/>
      <c r="E5" s="770"/>
      <c r="F5" s="358" t="s">
        <v>280</v>
      </c>
      <c r="G5" s="2109" t="str">
        <f>IF('Allgemeine Angaben'!$D$16=0,"",'Allgemeine Angaben'!$D$16&amp;" "&amp;'Allgemeine Angaben'!J16)</f>
        <v/>
      </c>
      <c r="H5" s="409"/>
      <c r="I5" s="409"/>
      <c r="J5" s="547"/>
      <c r="K5" s="830"/>
      <c r="L5" s="830"/>
      <c r="M5" s="830"/>
      <c r="N5" s="830"/>
      <c r="O5" s="830"/>
      <c r="P5" s="827"/>
      <c r="Q5" s="827"/>
      <c r="R5" s="828"/>
      <c r="S5" s="828"/>
      <c r="T5" s="828"/>
      <c r="U5" s="829"/>
      <c r="V5" s="829"/>
      <c r="W5" s="359"/>
      <c r="X5" s="356"/>
      <c r="Y5" s="357"/>
      <c r="Z5" s="517"/>
      <c r="AA5" s="28">
        <v>41</v>
      </c>
      <c r="AB5" s="877">
        <v>80</v>
      </c>
      <c r="AC5" s="1404">
        <v>1</v>
      </c>
      <c r="AD5"/>
      <c r="AE5" s="24"/>
      <c r="AF5" s="517"/>
      <c r="AG5" s="1020" t="s">
        <v>409</v>
      </c>
      <c r="AH5" s="1412">
        <f>SUM(H329:H358)</f>
        <v>0</v>
      </c>
      <c r="AI5" s="1412">
        <f>SUM(H506:H535)</f>
        <v>0</v>
      </c>
      <c r="AJ5" s="1411">
        <f>SUM(AH5:AI5)</f>
        <v>0</v>
      </c>
      <c r="AK5" s="1022">
        <f>IFERROR(AJ5*AK6/AJ6,0)</f>
        <v>0</v>
      </c>
      <c r="AL5" s="517"/>
      <c r="AM5" s="517"/>
      <c r="AN5" s="517"/>
      <c r="AO5" s="517"/>
      <c r="AP5" s="1413"/>
      <c r="AQ5" s="1413"/>
      <c r="AR5" s="1413"/>
      <c r="AS5" s="984"/>
      <c r="AT5" s="999"/>
      <c r="AU5" s="962"/>
      <c r="AV5" s="517"/>
      <c r="AW5" s="517"/>
      <c r="AX5" s="517"/>
      <c r="BD5" s="878"/>
      <c r="BE5" s="894"/>
      <c r="BF5" s="373"/>
      <c r="BG5" s="894"/>
      <c r="BL5" s="602"/>
    </row>
    <row r="6" spans="1:74" ht="15" customHeight="1" x14ac:dyDescent="0.2">
      <c r="A6" s="2242" t="s">
        <v>1042</v>
      </c>
      <c r="B6" s="2234" t="str">
        <f>IF('Allgemeine Angaben'!$L$6=0,"",'Allgemeine Angaben'!$L$6)</f>
        <v/>
      </c>
      <c r="C6" s="2235"/>
      <c r="D6" s="2235"/>
      <c r="E6" s="770"/>
      <c r="F6" s="358" t="s">
        <v>1042</v>
      </c>
      <c r="G6" s="2109" t="str">
        <f>IF('Allgemeine Angaben'!$L$6=0,"",'Allgemeine Angaben'!$L$6)</f>
        <v/>
      </c>
      <c r="H6" s="835"/>
      <c r="I6" s="758"/>
      <c r="J6" s="758"/>
      <c r="K6" s="830"/>
      <c r="L6" s="830"/>
      <c r="M6" s="830"/>
      <c r="N6" s="830"/>
      <c r="O6" s="830"/>
      <c r="P6" s="827"/>
      <c r="Q6" s="827"/>
      <c r="R6" s="827"/>
      <c r="S6" s="827"/>
      <c r="T6" s="831"/>
      <c r="U6" s="829"/>
      <c r="V6" s="829"/>
      <c r="W6" s="359"/>
      <c r="X6" s="356"/>
      <c r="Y6" s="357"/>
      <c r="Z6" s="517"/>
      <c r="AA6" s="28">
        <v>81</v>
      </c>
      <c r="AB6" s="877">
        <v>150</v>
      </c>
      <c r="AC6" s="1404">
        <v>1.25</v>
      </c>
      <c r="AD6"/>
      <c r="AE6" s="24"/>
      <c r="AF6" s="517"/>
      <c r="AG6" s="1020" t="s">
        <v>305</v>
      </c>
      <c r="AH6" s="1019"/>
      <c r="AI6" s="1773" t="e">
        <f>SUM(AI3:AI5)/AJ6</f>
        <v>#DIV/0!</v>
      </c>
      <c r="AJ6" s="1411">
        <f>SUM(AJ3:AJ5)</f>
        <v>0</v>
      </c>
      <c r="AK6" s="1021">
        <v>1</v>
      </c>
      <c r="AL6" s="517"/>
      <c r="AM6" s="517"/>
      <c r="AN6" s="517"/>
      <c r="AO6" s="517"/>
      <c r="AP6" s="1413"/>
      <c r="AQ6" s="1413"/>
      <c r="AR6" s="1413"/>
      <c r="AS6" s="984"/>
      <c r="AT6" s="999"/>
      <c r="AU6" s="962"/>
      <c r="AV6" s="517"/>
      <c r="AW6" s="517"/>
      <c r="AX6" s="517"/>
      <c r="BD6" s="879"/>
      <c r="BE6" s="373"/>
      <c r="BF6" s="373"/>
      <c r="BG6" s="323"/>
      <c r="BL6" s="771"/>
    </row>
    <row r="7" spans="1:74" ht="15" customHeight="1" thickBot="1" x14ac:dyDescent="0.25">
      <c r="A7" s="2243" t="s">
        <v>651</v>
      </c>
      <c r="B7" s="2234">
        <f>'Allgemeine Angaben'!L7</f>
        <v>0</v>
      </c>
      <c r="C7" s="2235"/>
      <c r="D7" s="2236"/>
      <c r="E7" s="770"/>
      <c r="F7" s="751" t="s">
        <v>651</v>
      </c>
      <c r="G7" s="2110">
        <f>'Allgemeine Angaben'!L7</f>
        <v>0</v>
      </c>
      <c r="H7" s="835"/>
      <c r="I7" s="758"/>
      <c r="J7" s="547"/>
      <c r="K7" s="830"/>
      <c r="L7" s="830"/>
      <c r="M7" s="830"/>
      <c r="N7" s="830"/>
      <c r="O7" s="830"/>
      <c r="P7" s="827"/>
      <c r="Q7" s="827"/>
      <c r="R7" s="827"/>
      <c r="S7" s="827"/>
      <c r="T7" s="831"/>
      <c r="U7" s="829"/>
      <c r="V7" s="829"/>
      <c r="W7" s="359"/>
      <c r="X7" s="356"/>
      <c r="Y7" s="357"/>
      <c r="Z7" s="517"/>
      <c r="AA7" s="867">
        <v>151</v>
      </c>
      <c r="AB7" s="490" t="s">
        <v>368</v>
      </c>
      <c r="AC7" s="1405">
        <v>2</v>
      </c>
      <c r="AD7" s="314"/>
      <c r="AE7" s="868"/>
      <c r="AF7" s="517"/>
      <c r="AG7" s="517"/>
      <c r="AH7" s="517"/>
      <c r="AI7" s="517"/>
      <c r="AJ7" s="517"/>
      <c r="AK7" s="517"/>
      <c r="AL7" s="517"/>
      <c r="AM7" s="517"/>
      <c r="AN7" s="517"/>
      <c r="AO7" s="517"/>
      <c r="AP7" s="1413"/>
      <c r="AQ7" s="1413"/>
      <c r="AR7" s="1413"/>
      <c r="AS7" s="984"/>
      <c r="AT7" s="999"/>
      <c r="AU7" s="962"/>
      <c r="AV7" s="517"/>
      <c r="AW7" s="517"/>
      <c r="AX7" s="517"/>
      <c r="BD7" s="878"/>
      <c r="BE7" s="894"/>
      <c r="BF7" s="373"/>
      <c r="BG7" s="323"/>
      <c r="BL7" s="771"/>
    </row>
    <row r="8" spans="1:74" ht="5.0999999999999996" customHeight="1" x14ac:dyDescent="0.2">
      <c r="A8" s="2244"/>
      <c r="B8" s="2237"/>
      <c r="C8" s="2237"/>
      <c r="D8" s="2236"/>
      <c r="E8" s="770"/>
      <c r="F8" s="833"/>
      <c r="G8" s="834"/>
      <c r="H8" s="835"/>
      <c r="I8" s="758"/>
      <c r="J8" s="547"/>
      <c r="K8" s="830"/>
      <c r="L8" s="830"/>
      <c r="M8" s="827"/>
      <c r="N8" s="827"/>
      <c r="O8" s="830"/>
      <c r="P8" s="827"/>
      <c r="Q8" s="827"/>
      <c r="R8" s="828"/>
      <c r="S8" s="828"/>
      <c r="T8" s="828"/>
      <c r="U8" s="829"/>
      <c r="V8" s="829"/>
      <c r="W8" s="359"/>
      <c r="X8" s="356"/>
      <c r="Y8" s="357"/>
      <c r="Z8" s="517"/>
      <c r="AA8" s="866" t="s">
        <v>495</v>
      </c>
      <c r="AB8" s="29"/>
      <c r="AC8" s="29" t="s">
        <v>386</v>
      </c>
      <c r="AD8" s="1407">
        <v>0.5</v>
      </c>
      <c r="AE8" s="33"/>
      <c r="AF8" s="517"/>
      <c r="AG8" s="1486" t="s">
        <v>565</v>
      </c>
      <c r="AH8" s="1487" t="s">
        <v>566</v>
      </c>
      <c r="AI8" s="1487" t="s">
        <v>567</v>
      </c>
      <c r="AJ8" s="1487" t="s">
        <v>568</v>
      </c>
      <c r="AK8" s="1487" t="s">
        <v>569</v>
      </c>
      <c r="AL8" s="1487" t="s">
        <v>570</v>
      </c>
      <c r="AM8" s="1487" t="s">
        <v>571</v>
      </c>
      <c r="AN8" s="1484" t="s">
        <v>413</v>
      </c>
      <c r="AO8" s="1030" t="s">
        <v>414</v>
      </c>
      <c r="AP8" s="1031" t="s">
        <v>415</v>
      </c>
      <c r="AQ8" s="1413"/>
      <c r="AR8" s="1413"/>
      <c r="AS8" s="984"/>
      <c r="AT8" s="999"/>
      <c r="AU8" s="962"/>
      <c r="AV8" s="517"/>
      <c r="AW8" s="517"/>
      <c r="AX8" s="517"/>
      <c r="BD8" s="878"/>
      <c r="BE8" s="894"/>
      <c r="BF8" s="373"/>
      <c r="BG8" s="323"/>
      <c r="BL8" s="771"/>
    </row>
    <row r="9" spans="1:74" ht="5.0999999999999996" customHeight="1" thickBot="1" x14ac:dyDescent="0.25">
      <c r="A9" s="2242"/>
      <c r="B9" s="2236"/>
      <c r="C9" s="2236"/>
      <c r="D9" s="2236"/>
      <c r="E9" s="770"/>
      <c r="F9" s="358"/>
      <c r="G9" s="359"/>
      <c r="H9" s="758"/>
      <c r="I9" s="758"/>
      <c r="J9" s="547"/>
      <c r="K9" s="827"/>
      <c r="L9" s="827"/>
      <c r="M9" s="827"/>
      <c r="N9" s="827"/>
      <c r="O9" s="827"/>
      <c r="P9" s="827"/>
      <c r="Q9" s="827"/>
      <c r="R9" s="827"/>
      <c r="S9" s="827"/>
      <c r="T9" s="832"/>
      <c r="U9" s="829"/>
      <c r="V9" s="829"/>
      <c r="W9" s="359"/>
      <c r="X9" s="356"/>
      <c r="Y9" s="357"/>
      <c r="Z9" s="517"/>
      <c r="AA9" s="435" t="s">
        <v>494</v>
      </c>
      <c r="AB9" s="869"/>
      <c r="AC9" s="869" t="s">
        <v>386</v>
      </c>
      <c r="AD9" s="1408">
        <v>0.25</v>
      </c>
      <c r="AE9" s="436"/>
      <c r="AF9" s="517"/>
      <c r="AG9" s="1488">
        <f>G597</f>
        <v>0</v>
      </c>
      <c r="AH9" s="1489">
        <f>H597</f>
        <v>0</v>
      </c>
      <c r="AI9" s="1489">
        <f>J597</f>
        <v>0</v>
      </c>
      <c r="AJ9" s="1490">
        <f>G603</f>
        <v>0</v>
      </c>
      <c r="AK9" s="1491">
        <f>G599</f>
        <v>0</v>
      </c>
      <c r="AL9" s="1491">
        <f>H599</f>
        <v>0</v>
      </c>
      <c r="AM9" s="1491">
        <f>J599</f>
        <v>0</v>
      </c>
      <c r="AN9" s="1485">
        <f>G605</f>
        <v>0</v>
      </c>
      <c r="AO9" s="1032">
        <f>H605</f>
        <v>0</v>
      </c>
      <c r="AP9" s="1492">
        <f>J605</f>
        <v>0</v>
      </c>
      <c r="AQ9" s="1413"/>
      <c r="AR9" s="1413"/>
      <c r="AS9" s="984"/>
      <c r="AT9" s="999"/>
      <c r="AU9" s="962"/>
      <c r="AV9" s="517"/>
      <c r="AW9" s="517"/>
      <c r="AX9" s="517"/>
      <c r="BD9" s="878"/>
      <c r="BE9" s="894"/>
      <c r="BF9" s="373"/>
      <c r="BG9" s="323"/>
      <c r="BL9" s="771"/>
    </row>
    <row r="10" spans="1:74" ht="5.0999999999999996" customHeight="1" thickBot="1" x14ac:dyDescent="0.25">
      <c r="A10" s="2245"/>
      <c r="B10" s="2238"/>
      <c r="C10" s="2238"/>
      <c r="D10" s="2238"/>
      <c r="E10" s="2239"/>
      <c r="F10" s="408"/>
      <c r="G10" s="368"/>
      <c r="H10" s="410"/>
      <c r="I10" s="549"/>
      <c r="J10" s="548"/>
      <c r="K10" s="548"/>
      <c r="L10" s="548"/>
      <c r="M10" s="548"/>
      <c r="N10" s="548"/>
      <c r="O10" s="548"/>
      <c r="P10" s="548"/>
      <c r="Q10" s="548"/>
      <c r="R10" s="548"/>
      <c r="S10" s="548"/>
      <c r="T10" s="368"/>
      <c r="U10" s="446"/>
      <c r="V10" s="367"/>
      <c r="W10" s="367"/>
      <c r="X10" s="367"/>
      <c r="Y10" s="369"/>
      <c r="Z10" s="517"/>
      <c r="AA10" s="517"/>
      <c r="AB10" s="517"/>
      <c r="AC10" s="517"/>
      <c r="AD10" s="517"/>
      <c r="AE10" s="517"/>
      <c r="AF10" s="517"/>
      <c r="AG10" s="517"/>
      <c r="AH10" s="517"/>
      <c r="AI10" s="517"/>
      <c r="AJ10" s="517"/>
      <c r="AK10" s="517"/>
      <c r="AL10" s="517"/>
      <c r="AM10" s="517"/>
      <c r="AN10" s="517"/>
      <c r="AO10" s="517"/>
      <c r="AP10" s="1413"/>
      <c r="AQ10" s="1413"/>
      <c r="AR10" s="1413"/>
      <c r="AS10" s="984"/>
      <c r="AT10" s="999"/>
      <c r="AU10" s="962"/>
      <c r="AV10" s="517"/>
      <c r="AW10" s="517"/>
      <c r="AX10" s="517"/>
      <c r="BE10" s="373"/>
      <c r="BF10" s="373"/>
      <c r="BG10" s="323"/>
      <c r="BL10" s="603"/>
    </row>
    <row r="11" spans="1:74" ht="19.5" customHeight="1" thickBot="1" x14ac:dyDescent="0.25">
      <c r="A11" s="2442" t="s">
        <v>654</v>
      </c>
      <c r="B11" s="2443"/>
      <c r="C11" s="2443"/>
      <c r="D11" s="2443"/>
      <c r="E11" s="2444"/>
      <c r="F11" s="2454" t="s">
        <v>432</v>
      </c>
      <c r="G11" s="2455"/>
      <c r="H11" s="2456"/>
      <c r="I11" s="2456"/>
      <c r="J11" s="2456"/>
      <c r="K11" s="2456"/>
      <c r="L11" s="2456"/>
      <c r="M11" s="2456"/>
      <c r="N11" s="2456"/>
      <c r="O11" s="2456"/>
      <c r="P11" s="2456"/>
      <c r="Q11" s="2456"/>
      <c r="R11" s="2456"/>
      <c r="S11" s="2456"/>
      <c r="T11" s="2456"/>
      <c r="U11" s="2456"/>
      <c r="V11" s="2456"/>
      <c r="W11" s="2456"/>
      <c r="X11" s="2456"/>
      <c r="Y11" s="2457"/>
      <c r="Z11" s="518"/>
      <c r="AA11" s="899" t="s">
        <v>390</v>
      </c>
      <c r="AB11" s="900"/>
      <c r="AC11" s="900"/>
      <c r="AD11" s="900"/>
      <c r="AE11" s="900"/>
      <c r="AF11" s="900"/>
      <c r="AG11" s="900"/>
      <c r="AH11" s="2514" t="s">
        <v>396</v>
      </c>
      <c r="AI11" s="2523" t="s">
        <v>1018</v>
      </c>
      <c r="AJ11" s="518"/>
      <c r="AK11" s="899" t="s">
        <v>417</v>
      </c>
      <c r="AL11" s="900"/>
      <c r="AM11" s="900"/>
      <c r="AN11" s="900"/>
      <c r="AO11" s="900"/>
      <c r="AP11" s="1414"/>
      <c r="AQ11" s="1414"/>
      <c r="AR11" s="2505" t="s">
        <v>416</v>
      </c>
      <c r="AS11" s="901"/>
      <c r="AT11" s="1000"/>
      <c r="AU11" s="963"/>
      <c r="AV11" s="518"/>
      <c r="AW11" s="518"/>
      <c r="AX11" s="518"/>
      <c r="BH11" s="2497"/>
      <c r="BI11" s="2497"/>
      <c r="BL11" s="604"/>
    </row>
    <row r="12" spans="1:74" ht="15" customHeight="1" x14ac:dyDescent="0.2">
      <c r="A12" s="659"/>
      <c r="B12" s="660"/>
      <c r="C12" s="660"/>
      <c r="D12" s="660"/>
      <c r="E12" s="661"/>
      <c r="F12" s="399"/>
      <c r="G12" s="353"/>
      <c r="H12" s="353"/>
      <c r="I12" s="502"/>
      <c r="J12" s="502" t="s">
        <v>335</v>
      </c>
      <c r="K12" s="353"/>
      <c r="L12" s="353"/>
      <c r="M12" s="1892"/>
      <c r="N12" s="747"/>
      <c r="O12" s="353"/>
      <c r="P12" s="353"/>
      <c r="Q12" s="353"/>
      <c r="R12" s="353"/>
      <c r="S12" s="353"/>
      <c r="T12" s="353"/>
      <c r="U12" s="353"/>
      <c r="V12" s="353"/>
      <c r="W12" s="353"/>
      <c r="X12" s="353"/>
      <c r="Y12" s="354"/>
      <c r="Z12" s="517"/>
      <c r="AA12" s="904"/>
      <c r="AB12" s="912" t="s">
        <v>85</v>
      </c>
      <c r="AC12" s="912" t="s">
        <v>86</v>
      </c>
      <c r="AD12" s="912" t="s">
        <v>87</v>
      </c>
      <c r="AE12" s="912" t="s">
        <v>88</v>
      </c>
      <c r="AF12" s="913" t="s">
        <v>89</v>
      </c>
      <c r="AG12" s="932" t="s">
        <v>305</v>
      </c>
      <c r="AH12" s="2515"/>
      <c r="AI12" s="2524"/>
      <c r="AJ12" s="517"/>
      <c r="AK12" s="904"/>
      <c r="AL12" s="912" t="s">
        <v>85</v>
      </c>
      <c r="AM12" s="912" t="s">
        <v>86</v>
      </c>
      <c r="AN12" s="912" t="s">
        <v>87</v>
      </c>
      <c r="AO12" s="912" t="s">
        <v>88</v>
      </c>
      <c r="AP12" s="1415" t="s">
        <v>89</v>
      </c>
      <c r="AQ12" s="1438" t="s">
        <v>305</v>
      </c>
      <c r="AR12" s="2506"/>
      <c r="AS12" s="923"/>
      <c r="AT12" s="999"/>
      <c r="AU12" s="962"/>
      <c r="AV12" s="517"/>
      <c r="AW12" s="517"/>
      <c r="AX12" s="517"/>
      <c r="BH12" s="2497"/>
      <c r="BI12" s="2497"/>
      <c r="BL12" s="602"/>
    </row>
    <row r="13" spans="1:74" ht="15" customHeight="1" x14ac:dyDescent="0.25">
      <c r="A13" s="664"/>
      <c r="B13" s="662"/>
      <c r="C13" s="662"/>
      <c r="D13" s="662"/>
      <c r="E13" s="663"/>
      <c r="F13" s="355"/>
      <c r="G13" s="356"/>
      <c r="H13" s="359"/>
      <c r="I13" s="359"/>
      <c r="J13" s="359" t="s">
        <v>339</v>
      </c>
      <c r="K13" s="748"/>
      <c r="L13" s="748"/>
      <c r="M13" s="2462"/>
      <c r="N13" s="2463"/>
      <c r="O13" s="2464"/>
      <c r="P13" s="749"/>
      <c r="Q13" s="749"/>
      <c r="R13" s="750"/>
      <c r="S13" s="750"/>
      <c r="T13" s="356"/>
      <c r="U13" s="356"/>
      <c r="V13" s="356"/>
      <c r="W13" s="356"/>
      <c r="X13" s="356"/>
      <c r="Y13" s="357"/>
      <c r="Z13" s="517"/>
      <c r="AA13" s="882"/>
      <c r="AB13" s="910">
        <f>'Belegung_wö. Arbeitszeit'!E33</f>
        <v>0</v>
      </c>
      <c r="AC13" s="910">
        <f>'Belegung_wö. Arbeitszeit'!E34</f>
        <v>0</v>
      </c>
      <c r="AD13" s="910">
        <f>'Belegung_wö. Arbeitszeit'!E35</f>
        <v>0</v>
      </c>
      <c r="AE13" s="910">
        <f>'Belegung_wö. Arbeitszeit'!E36</f>
        <v>0</v>
      </c>
      <c r="AF13" s="910">
        <f>'Belegung_wö. Arbeitszeit'!E37</f>
        <v>0</v>
      </c>
      <c r="AG13" s="911">
        <f>SUM(AB13:AF13)</f>
        <v>0</v>
      </c>
      <c r="AH13" s="735"/>
      <c r="AI13" s="2036"/>
      <c r="AJ13" s="517"/>
      <c r="AK13" s="882"/>
      <c r="AL13" s="1039">
        <f>IFERROR('Belegung_wö. Arbeitszeit'!C33/365,0)</f>
        <v>0</v>
      </c>
      <c r="AM13" s="1911">
        <f>IFERROR('Belegung_wö. Arbeitszeit'!C34/365,0)</f>
        <v>0</v>
      </c>
      <c r="AN13" s="1039">
        <f>IFERROR('Belegung_wö. Arbeitszeit'!C35/365,0)</f>
        <v>0</v>
      </c>
      <c r="AO13" s="1039">
        <f>IFERROR('Belegung_wö. Arbeitszeit'!C36/365,0)</f>
        <v>0</v>
      </c>
      <c r="AP13" s="1416">
        <f>IFERROR('Belegung_wö. Arbeitszeit'!C37/365,0)</f>
        <v>0</v>
      </c>
      <c r="AQ13" s="1439">
        <f>SUM(AL13:AP13)</f>
        <v>0</v>
      </c>
      <c r="AR13" s="1446"/>
      <c r="AS13" s="924"/>
      <c r="AT13" s="999"/>
      <c r="AU13" s="962"/>
      <c r="AV13" s="517"/>
      <c r="AW13" s="517"/>
      <c r="AX13" s="517"/>
      <c r="BI13" s="898"/>
      <c r="BL13" s="604"/>
    </row>
    <row r="14" spans="1:74" ht="15" customHeight="1" x14ac:dyDescent="0.25">
      <c r="A14" s="769" t="s">
        <v>435</v>
      </c>
      <c r="B14" s="662"/>
      <c r="C14" s="662"/>
      <c r="D14" s="662"/>
      <c r="E14" s="663"/>
      <c r="F14" s="355"/>
      <c r="G14" s="356"/>
      <c r="H14" s="751"/>
      <c r="I14" s="751"/>
      <c r="J14" s="751" t="s">
        <v>332</v>
      </c>
      <c r="K14" s="748"/>
      <c r="L14" s="748"/>
      <c r="M14" s="2465"/>
      <c r="N14" s="2466"/>
      <c r="O14" s="2466"/>
      <c r="P14" s="2466"/>
      <c r="Q14" s="2467"/>
      <c r="R14" s="2003" t="str">
        <f>IF(AND(M13="Tarif/AVR maßgebend",M12="nein"),"Festlegungen zur Anlehnung an den Tarifvertrag / Musterarbeitsverträge beifügen.",IF(M12="ja","Tarifvertrag inkl. Tabellenentgelte beifügen.",""))</f>
        <v/>
      </c>
      <c r="S14" s="356"/>
      <c r="T14" s="356"/>
      <c r="U14" s="356"/>
      <c r="V14" s="356"/>
      <c r="W14" s="356"/>
      <c r="X14" s="356"/>
      <c r="Y14" s="357"/>
      <c r="Z14" s="517"/>
      <c r="AA14" s="875" t="s">
        <v>391</v>
      </c>
      <c r="AB14" s="902">
        <v>7.6999999999999999E-2</v>
      </c>
      <c r="AC14" s="902">
        <v>0.1037</v>
      </c>
      <c r="AD14" s="902">
        <v>0.15509999999999999</v>
      </c>
      <c r="AE14" s="902">
        <v>0.24629999999999999</v>
      </c>
      <c r="AF14" s="902">
        <v>0.38419999999999999</v>
      </c>
      <c r="AG14" s="905"/>
      <c r="AH14" s="735"/>
      <c r="AI14" s="2037"/>
      <c r="AJ14" s="517"/>
      <c r="AK14" s="875" t="s">
        <v>391</v>
      </c>
      <c r="AL14" s="902">
        <v>7.6999999999999999E-2</v>
      </c>
      <c r="AM14" s="902">
        <v>0.1037</v>
      </c>
      <c r="AN14" s="902">
        <v>0.15509999999999999</v>
      </c>
      <c r="AO14" s="902">
        <v>0.24629999999999999</v>
      </c>
      <c r="AP14" s="1417">
        <v>0.38419999999999999</v>
      </c>
      <c r="AQ14" s="1440"/>
      <c r="AR14" s="1446"/>
      <c r="AS14" s="925"/>
      <c r="AT14" s="999"/>
      <c r="AU14" s="962"/>
      <c r="AV14" s="517"/>
      <c r="AW14" s="517"/>
      <c r="AX14" s="517"/>
      <c r="BL14" s="602"/>
    </row>
    <row r="15" spans="1:74" ht="15" thickBot="1" x14ac:dyDescent="0.25">
      <c r="A15" s="664"/>
      <c r="B15" s="662"/>
      <c r="C15" s="662"/>
      <c r="D15" s="662"/>
      <c r="E15" s="663"/>
      <c r="F15" s="400"/>
      <c r="G15" s="752"/>
      <c r="H15" s="359"/>
      <c r="I15" s="359"/>
      <c r="J15" s="359" t="s">
        <v>260</v>
      </c>
      <c r="K15" s="753"/>
      <c r="L15" s="753"/>
      <c r="M15" s="1764"/>
      <c r="N15" s="752"/>
      <c r="O15" s="1112" t="str">
        <f>IF(AND(M13="Tarif/AVR maßgebend",M12="nein"),"Festlungen zur Tarifanlehnung:",IF(M12="ja","Anlagen zum Tarif/AVR:",""))</f>
        <v/>
      </c>
      <c r="P15" s="1111"/>
      <c r="Q15" s="1878"/>
      <c r="R15" s="754"/>
      <c r="S15" s="754"/>
      <c r="T15" s="550"/>
      <c r="U15" s="755"/>
      <c r="V15" s="755"/>
      <c r="W15" s="551"/>
      <c r="X15" s="756"/>
      <c r="Y15" s="552"/>
      <c r="Z15" s="553"/>
      <c r="AA15" s="914" t="s">
        <v>392</v>
      </c>
      <c r="AB15" s="915">
        <f>AB14*AB13</f>
        <v>0</v>
      </c>
      <c r="AC15" s="915">
        <f>AC14*AC13</f>
        <v>0</v>
      </c>
      <c r="AD15" s="915">
        <f>AD14*AD13</f>
        <v>0</v>
      </c>
      <c r="AE15" s="915">
        <f>AE14*AE13</f>
        <v>0</v>
      </c>
      <c r="AF15" s="915">
        <f>AF14*AF13</f>
        <v>0</v>
      </c>
      <c r="AG15" s="916">
        <f>SUM(AB15:AF15)</f>
        <v>0</v>
      </c>
      <c r="AH15" s="1409">
        <f>H151</f>
        <v>0</v>
      </c>
      <c r="AI15" s="2038" t="s">
        <v>1019</v>
      </c>
      <c r="AJ15" s="553"/>
      <c r="AK15" s="914" t="s">
        <v>392</v>
      </c>
      <c r="AL15" s="915">
        <f>AL14*AL13</f>
        <v>0</v>
      </c>
      <c r="AM15" s="915">
        <f>AM14*AM13</f>
        <v>0</v>
      </c>
      <c r="AN15" s="915">
        <f>AN14*AN13</f>
        <v>0</v>
      </c>
      <c r="AO15" s="915">
        <f>AO14*AO13</f>
        <v>0</v>
      </c>
      <c r="AP15" s="915">
        <f>AP14*AP13</f>
        <v>0</v>
      </c>
      <c r="AQ15" s="916">
        <f>SUM(AL15:AP15)</f>
        <v>0</v>
      </c>
      <c r="AR15" s="1409">
        <f>B151</f>
        <v>0</v>
      </c>
      <c r="AS15" s="926"/>
      <c r="AT15" s="1001"/>
      <c r="AU15" s="964"/>
      <c r="AV15" s="553"/>
      <c r="AW15" s="553"/>
      <c r="AX15" s="553"/>
      <c r="BI15" s="330"/>
      <c r="BJ15" s="330"/>
      <c r="BK15" s="330"/>
      <c r="BL15" s="578"/>
      <c r="BM15" s="10"/>
      <c r="BN15" s="10"/>
      <c r="BO15" s="10"/>
      <c r="BP15" s="10"/>
      <c r="BQ15" s="10"/>
      <c r="BR15" s="10"/>
      <c r="BS15" s="10"/>
      <c r="BT15" s="10"/>
      <c r="BU15" s="10"/>
      <c r="BV15" s="10"/>
    </row>
    <row r="16" spans="1:74" ht="15" customHeight="1" thickBot="1" x14ac:dyDescent="0.25">
      <c r="A16" s="664"/>
      <c r="B16" s="665" t="s">
        <v>165</v>
      </c>
      <c r="C16" s="2018" t="str">
        <f>IF('Belegung_wö. Arbeitszeit'!C16="","",'Belegung_wö. Arbeitszeit'!C16)</f>
        <v/>
      </c>
      <c r="D16" s="662"/>
      <c r="E16" s="663"/>
      <c r="F16" s="358"/>
      <c r="G16" s="359"/>
      <c r="H16" s="359"/>
      <c r="I16" s="757"/>
      <c r="J16" s="753"/>
      <c r="K16" s="753"/>
      <c r="L16" s="753"/>
      <c r="M16" s="757"/>
      <c r="N16" s="757"/>
      <c r="O16" s="753"/>
      <c r="P16" s="757"/>
      <c r="Q16" s="757"/>
      <c r="R16" s="757"/>
      <c r="S16" s="753"/>
      <c r="T16" s="360"/>
      <c r="U16" s="758"/>
      <c r="V16" s="758"/>
      <c r="W16" s="361"/>
      <c r="X16" s="752"/>
      <c r="Y16" s="357"/>
      <c r="Z16" s="517"/>
      <c r="AA16" s="874" t="s">
        <v>393</v>
      </c>
      <c r="AB16" s="903">
        <v>5.6399999999999999E-2</v>
      </c>
      <c r="AC16" s="903">
        <v>6.7500000000000004E-2</v>
      </c>
      <c r="AD16" s="903">
        <v>0.1074</v>
      </c>
      <c r="AE16" s="903">
        <v>0.14130000000000001</v>
      </c>
      <c r="AF16" s="903">
        <v>0.11020000000000001</v>
      </c>
      <c r="AG16" s="906"/>
      <c r="AH16" s="898"/>
      <c r="AI16" s="2042">
        <f>AH17+AH19</f>
        <v>0</v>
      </c>
      <c r="AJ16" s="517"/>
      <c r="AK16" s="874" t="s">
        <v>393</v>
      </c>
      <c r="AL16" s="903">
        <v>5.6399999999999999E-2</v>
      </c>
      <c r="AM16" s="903">
        <v>6.7500000000000004E-2</v>
      </c>
      <c r="AN16" s="903">
        <v>0.1074</v>
      </c>
      <c r="AO16" s="903">
        <v>0.14130000000000001</v>
      </c>
      <c r="AP16" s="1418">
        <v>0.11020000000000001</v>
      </c>
      <c r="AQ16" s="1441"/>
      <c r="AR16" s="1447"/>
      <c r="AS16" s="927"/>
      <c r="AT16" s="999"/>
      <c r="AU16" s="962"/>
      <c r="AV16" s="517"/>
      <c r="AW16" s="517"/>
      <c r="AX16" s="517"/>
      <c r="BL16" s="574"/>
    </row>
    <row r="17" spans="1:65" ht="13.5" thickBot="1" x14ac:dyDescent="0.25">
      <c r="A17" s="664"/>
      <c r="B17" s="662"/>
      <c r="C17" s="662"/>
      <c r="D17" s="662"/>
      <c r="E17" s="663"/>
      <c r="F17" s="358"/>
      <c r="G17" s="359"/>
      <c r="H17" s="359"/>
      <c r="I17" s="359"/>
      <c r="J17" s="359"/>
      <c r="K17" s="359" t="s">
        <v>261</v>
      </c>
      <c r="L17" s="359"/>
      <c r="M17" s="359"/>
      <c r="N17" s="359"/>
      <c r="O17" s="359"/>
      <c r="P17" s="489"/>
      <c r="Q17" s="359" t="s">
        <v>262</v>
      </c>
      <c r="R17" s="759"/>
      <c r="S17" s="359"/>
      <c r="T17" s="362" t="s">
        <v>263</v>
      </c>
      <c r="U17" s="363"/>
      <c r="V17" s="363"/>
      <c r="W17" s="363"/>
      <c r="X17" s="363"/>
      <c r="Y17" s="364"/>
      <c r="Z17" s="517"/>
      <c r="AA17" s="914" t="s">
        <v>358</v>
      </c>
      <c r="AB17" s="915">
        <f>AB16*AB13</f>
        <v>0</v>
      </c>
      <c r="AC17" s="915">
        <f>AC16*AC13</f>
        <v>0</v>
      </c>
      <c r="AD17" s="915">
        <f>AD16*AD13</f>
        <v>0</v>
      </c>
      <c r="AE17" s="915">
        <f>AE16*AE13</f>
        <v>0</v>
      </c>
      <c r="AF17" s="915">
        <f>AF16*AF13</f>
        <v>0</v>
      </c>
      <c r="AG17" s="918">
        <f>SUM(AB17:AF17)</f>
        <v>0</v>
      </c>
      <c r="AH17" s="1409">
        <f>H255</f>
        <v>0</v>
      </c>
      <c r="AI17" s="2039" t="s">
        <v>1020</v>
      </c>
      <c r="AJ17" s="517"/>
      <c r="AK17" s="914" t="s">
        <v>358</v>
      </c>
      <c r="AL17" s="917">
        <f>AL16*AL13</f>
        <v>0</v>
      </c>
      <c r="AM17" s="915">
        <f>AM16*AM13</f>
        <v>0</v>
      </c>
      <c r="AN17" s="915">
        <f>AN16*AN13</f>
        <v>0</v>
      </c>
      <c r="AO17" s="915">
        <f>AO16*AO13</f>
        <v>0</v>
      </c>
      <c r="AP17" s="915">
        <f>AP16*AP13</f>
        <v>0</v>
      </c>
      <c r="AQ17" s="916">
        <f>SUM(AL17:AP17)</f>
        <v>0</v>
      </c>
      <c r="AR17" s="1409">
        <f>B255</f>
        <v>0</v>
      </c>
      <c r="AS17" s="926"/>
      <c r="AT17" s="999"/>
      <c r="AU17" s="962"/>
      <c r="AV17" s="517"/>
      <c r="AW17" s="517"/>
      <c r="AX17" s="517"/>
      <c r="BL17" s="574"/>
    </row>
    <row r="18" spans="1:65" ht="15" customHeight="1" thickBot="1" x14ac:dyDescent="0.25">
      <c r="A18" s="664"/>
      <c r="B18" s="665" t="s">
        <v>166</v>
      </c>
      <c r="C18" s="2018" t="str">
        <f>IF('Belegung_wö. Arbeitszeit'!C17="","",'Belegung_wö. Arbeitszeit'!C17)</f>
        <v/>
      </c>
      <c r="D18" s="662"/>
      <c r="E18" s="663"/>
      <c r="F18" s="401"/>
      <c r="G18" s="760"/>
      <c r="H18" s="359"/>
      <c r="I18" s="359"/>
      <c r="J18" s="359"/>
      <c r="K18" s="359" t="s">
        <v>264</v>
      </c>
      <c r="L18" s="359"/>
      <c r="M18" s="359"/>
      <c r="N18" s="359"/>
      <c r="O18" s="359"/>
      <c r="P18" s="489"/>
      <c r="Q18" s="359" t="s">
        <v>262</v>
      </c>
      <c r="R18" s="759"/>
      <c r="S18" s="359"/>
      <c r="T18" s="365" t="s">
        <v>265</v>
      </c>
      <c r="U18" s="1760"/>
      <c r="V18" s="1760"/>
      <c r="W18" s="1760"/>
      <c r="X18" s="1760"/>
      <c r="Y18" s="1761"/>
      <c r="Z18" s="553"/>
      <c r="AA18" s="875" t="s">
        <v>394</v>
      </c>
      <c r="AB18" s="903">
        <v>8.72E-2</v>
      </c>
      <c r="AC18" s="903">
        <v>0.1202</v>
      </c>
      <c r="AD18" s="1251">
        <v>0.1449</v>
      </c>
      <c r="AE18" s="903">
        <v>0.16270000000000001</v>
      </c>
      <c r="AF18" s="903">
        <v>0.17580000000000001</v>
      </c>
      <c r="AG18" s="883"/>
      <c r="AH18" s="898"/>
      <c r="AI18" s="2040">
        <f>AG17+AG19</f>
        <v>0</v>
      </c>
      <c r="AJ18" s="553"/>
      <c r="AK18" s="875" t="s">
        <v>394</v>
      </c>
      <c r="AL18" s="903">
        <v>8.72E-2</v>
      </c>
      <c r="AM18" s="903">
        <v>0.1202</v>
      </c>
      <c r="AN18" s="1251">
        <v>0.1449</v>
      </c>
      <c r="AO18" s="903">
        <v>0.16270000000000001</v>
      </c>
      <c r="AP18" s="1418">
        <v>0.17580000000000001</v>
      </c>
      <c r="AQ18" s="1442"/>
      <c r="AR18" s="1447"/>
      <c r="AS18" s="928"/>
      <c r="AT18" s="1001"/>
      <c r="AU18" s="964"/>
      <c r="AV18" s="553"/>
      <c r="AW18" s="553"/>
      <c r="AX18" s="553"/>
      <c r="BL18" s="605"/>
    </row>
    <row r="19" spans="1:65" ht="14.25" customHeight="1" x14ac:dyDescent="0.2">
      <c r="A19" s="664"/>
      <c r="B19" s="662"/>
      <c r="C19" s="662"/>
      <c r="D19" s="662"/>
      <c r="E19" s="663"/>
      <c r="F19" s="358"/>
      <c r="G19" s="359"/>
      <c r="H19" s="359"/>
      <c r="I19" s="359"/>
      <c r="J19" s="359"/>
      <c r="K19" s="359"/>
      <c r="L19" s="359"/>
      <c r="M19" s="359"/>
      <c r="N19" s="359"/>
      <c r="O19" s="359"/>
      <c r="P19" s="359"/>
      <c r="Q19" s="359"/>
      <c r="R19" s="359"/>
      <c r="S19" s="359"/>
      <c r="T19" s="366" t="s">
        <v>266</v>
      </c>
      <c r="U19" s="1762"/>
      <c r="V19" s="1762"/>
      <c r="W19" s="1762"/>
      <c r="X19" s="1762"/>
      <c r="Y19" s="1763"/>
      <c r="Z19" s="554"/>
      <c r="AA19" s="914" t="s">
        <v>395</v>
      </c>
      <c r="AB19" s="915">
        <f>AB18*AB13</f>
        <v>0</v>
      </c>
      <c r="AC19" s="915">
        <f>AC18*AC13</f>
        <v>0</v>
      </c>
      <c r="AD19" s="915">
        <f>AD18*AD13</f>
        <v>0</v>
      </c>
      <c r="AE19" s="915">
        <f>AE18*AE13</f>
        <v>0</v>
      </c>
      <c r="AF19" s="915">
        <f>AF18*AF13</f>
        <v>0</v>
      </c>
      <c r="AG19" s="918">
        <f>SUM(AB19:AF19)</f>
        <v>0</v>
      </c>
      <c r="AH19" s="1409">
        <f>H359</f>
        <v>0</v>
      </c>
      <c r="AI19" s="2041" t="s">
        <v>1031</v>
      </c>
      <c r="AJ19" s="554"/>
      <c r="AK19" s="914" t="s">
        <v>395</v>
      </c>
      <c r="AL19" s="917">
        <f>AL18*AL13</f>
        <v>0</v>
      </c>
      <c r="AM19" s="915">
        <f>AM18*AM13</f>
        <v>0</v>
      </c>
      <c r="AN19" s="915">
        <f>AN18*AN13</f>
        <v>0</v>
      </c>
      <c r="AO19" s="915">
        <f>AO18*AO13</f>
        <v>0</v>
      </c>
      <c r="AP19" s="915">
        <f>AP18*AP13</f>
        <v>0</v>
      </c>
      <c r="AQ19" s="916">
        <f>SUM(AL19:AP19)</f>
        <v>0</v>
      </c>
      <c r="AR19" s="1409">
        <f>B359</f>
        <v>0</v>
      </c>
      <c r="AS19" s="929"/>
      <c r="AT19" s="1002"/>
      <c r="AU19" s="965"/>
      <c r="AV19" s="554"/>
      <c r="AW19" s="554"/>
      <c r="AX19" s="554"/>
      <c r="BL19" s="602"/>
    </row>
    <row r="20" spans="1:65" ht="15" customHeight="1" thickBot="1" x14ac:dyDescent="0.25">
      <c r="A20" s="666"/>
      <c r="B20" s="667"/>
      <c r="C20" s="667"/>
      <c r="D20" s="667"/>
      <c r="E20" s="668"/>
      <c r="F20" s="469" t="s">
        <v>295</v>
      </c>
      <c r="G20" s="503"/>
      <c r="H20" s="459"/>
      <c r="I20" s="458"/>
      <c r="J20" s="367"/>
      <c r="K20" s="459" t="s">
        <v>334</v>
      </c>
      <c r="L20" s="459"/>
      <c r="M20" s="367"/>
      <c r="N20" s="367"/>
      <c r="O20" s="367"/>
      <c r="P20" s="761"/>
      <c r="Q20" s="368" t="s">
        <v>262</v>
      </c>
      <c r="R20" s="762"/>
      <c r="S20" s="368"/>
      <c r="T20" s="367"/>
      <c r="U20" s="367"/>
      <c r="V20" s="367"/>
      <c r="W20" s="367"/>
      <c r="X20" s="367"/>
      <c r="Y20" s="369"/>
      <c r="Z20" s="517"/>
      <c r="AA20" s="1139" t="s">
        <v>305</v>
      </c>
      <c r="AB20" s="1144"/>
      <c r="AC20" s="1144"/>
      <c r="AD20" s="1144"/>
      <c r="AE20" s="1144"/>
      <c r="AF20" s="1144"/>
      <c r="AG20" s="909">
        <f>SUM(AG15:AG19)</f>
        <v>0</v>
      </c>
      <c r="AH20" s="1410">
        <f>SUM(AH15:AH19)</f>
        <v>0</v>
      </c>
      <c r="AI20" s="2040">
        <f>ROUND(AI18*0.7,4)</f>
        <v>0</v>
      </c>
      <c r="AJ20" s="517"/>
      <c r="AK20" s="907"/>
      <c r="AL20" s="908"/>
      <c r="AM20" s="908"/>
      <c r="AN20" s="908"/>
      <c r="AO20" s="908"/>
      <c r="AP20" s="1144"/>
      <c r="AQ20" s="909">
        <f>SUM(AQ15:AQ19)</f>
        <v>0</v>
      </c>
      <c r="AR20" s="1410">
        <f>SUM(AR15:AR19)</f>
        <v>0</v>
      </c>
      <c r="AS20" s="324"/>
      <c r="AT20" s="999"/>
      <c r="AU20" s="962"/>
      <c r="AV20" s="517"/>
      <c r="AW20" s="517"/>
      <c r="AX20" s="517"/>
    </row>
    <row r="21" spans="1:65" ht="15" customHeight="1" thickTop="1" thickBot="1" x14ac:dyDescent="0.25">
      <c r="A21" s="2448" t="s">
        <v>431</v>
      </c>
      <c r="B21" s="2448"/>
      <c r="C21" s="2448"/>
      <c r="D21" s="2448"/>
      <c r="E21" s="2449"/>
      <c r="F21" s="2458"/>
      <c r="G21" s="2459"/>
      <c r="H21" s="2460"/>
      <c r="I21" s="2460"/>
      <c r="J21" s="2460"/>
      <c r="K21" s="2460"/>
      <c r="L21" s="2460"/>
      <c r="M21" s="2460"/>
      <c r="N21" s="2460"/>
      <c r="O21" s="2460"/>
      <c r="P21" s="2460"/>
      <c r="Q21" s="2460"/>
      <c r="R21" s="2460"/>
      <c r="S21" s="2460"/>
      <c r="T21" s="2460"/>
      <c r="U21" s="2460"/>
      <c r="V21" s="2460"/>
      <c r="W21" s="2460"/>
      <c r="X21" s="2460"/>
      <c r="Y21" s="2461"/>
      <c r="Z21" s="519"/>
      <c r="AA21" s="1140"/>
      <c r="AB21" s="1143"/>
      <c r="AC21" s="1143"/>
      <c r="AD21" s="1143"/>
      <c r="AE21" s="1143"/>
      <c r="AF21" s="1143"/>
      <c r="AG21" s="1142"/>
      <c r="AH21" s="930"/>
      <c r="AI21" s="2035"/>
      <c r="AJ21" s="519"/>
      <c r="AK21" s="884"/>
      <c r="AL21" s="881"/>
      <c r="AM21" s="881"/>
      <c r="AN21" s="881"/>
      <c r="AO21" s="881"/>
      <c r="AP21" s="1142"/>
      <c r="AQ21" s="1142"/>
      <c r="AR21" s="1448"/>
      <c r="AS21" s="931"/>
      <c r="AT21" s="1003"/>
      <c r="AU21" s="966"/>
      <c r="AV21" s="519"/>
      <c r="AW21" s="519"/>
      <c r="AX21" s="519"/>
      <c r="BL21" s="562"/>
    </row>
    <row r="22" spans="1:65" ht="51" customHeight="1" x14ac:dyDescent="0.2">
      <c r="A22" s="2445" t="s">
        <v>627</v>
      </c>
      <c r="B22" s="2445" t="s">
        <v>490</v>
      </c>
      <c r="C22" s="2445" t="s">
        <v>361</v>
      </c>
      <c r="D22" s="2445" t="s">
        <v>362</v>
      </c>
      <c r="E22" s="2445" t="s">
        <v>363</v>
      </c>
      <c r="F22" s="2533" t="s">
        <v>627</v>
      </c>
      <c r="G22" s="2516" t="s">
        <v>387</v>
      </c>
      <c r="H22" s="2397" t="s">
        <v>489</v>
      </c>
      <c r="I22" s="2397" t="s">
        <v>648</v>
      </c>
      <c r="J22" s="2397" t="s">
        <v>267</v>
      </c>
      <c r="K22" s="2536" t="s">
        <v>652</v>
      </c>
      <c r="L22" s="2537"/>
      <c r="M22" s="2527" t="s">
        <v>329</v>
      </c>
      <c r="N22" s="2528"/>
      <c r="O22" s="2528"/>
      <c r="P22" s="2528"/>
      <c r="Q22" s="2528"/>
      <c r="R22" s="2528"/>
      <c r="S22" s="2528"/>
      <c r="T22" s="2531" t="s">
        <v>382</v>
      </c>
      <c r="U22" s="2532"/>
      <c r="V22" s="2400" t="s">
        <v>310</v>
      </c>
      <c r="W22" s="2401"/>
      <c r="X22" s="2397" t="s">
        <v>333</v>
      </c>
      <c r="Y22" s="2402" t="s">
        <v>1015</v>
      </c>
      <c r="Z22" s="2507" t="s">
        <v>402</v>
      </c>
      <c r="AA22" s="2508"/>
      <c r="AB22" s="2508"/>
      <c r="AC22" s="2508"/>
      <c r="AD22" s="2508"/>
      <c r="AE22" s="2508"/>
      <c r="AF22" s="2508"/>
      <c r="AG22" s="2508"/>
      <c r="AH22" s="2508"/>
      <c r="AI22" s="2508"/>
      <c r="AJ22" s="2508"/>
      <c r="AK22" s="2508"/>
      <c r="AL22" s="2508"/>
      <c r="AM22" s="2508"/>
      <c r="AN22" s="2508"/>
      <c r="AO22" s="2508"/>
      <c r="AP22" s="2508"/>
      <c r="AQ22" s="2508"/>
      <c r="AR22" s="2508"/>
      <c r="AS22" s="2508"/>
      <c r="AT22" s="2508"/>
      <c r="AU22" s="2508"/>
      <c r="AV22" s="520"/>
      <c r="AW22" s="520"/>
      <c r="AX22" s="520"/>
      <c r="BE22" s="373"/>
      <c r="BF22" s="897"/>
      <c r="BG22" s="720"/>
      <c r="BL22" s="562"/>
      <c r="BM22" s="606"/>
    </row>
    <row r="23" spans="1:65" ht="60.6" customHeight="1" x14ac:dyDescent="0.25">
      <c r="A23" s="2446"/>
      <c r="B23" s="2446"/>
      <c r="C23" s="2446"/>
      <c r="D23" s="2446"/>
      <c r="E23" s="2446"/>
      <c r="F23" s="2534"/>
      <c r="G23" s="2517"/>
      <c r="H23" s="2398"/>
      <c r="I23" s="2398"/>
      <c r="J23" s="2398"/>
      <c r="K23" s="2450" t="s">
        <v>628</v>
      </c>
      <c r="L23" s="2451"/>
      <c r="M23" s="2525" t="s">
        <v>268</v>
      </c>
      <c r="N23" s="2529" t="s">
        <v>342</v>
      </c>
      <c r="O23" s="2529" t="s">
        <v>307</v>
      </c>
      <c r="P23" s="1875" t="s">
        <v>381</v>
      </c>
      <c r="Q23" s="1876" t="s">
        <v>675</v>
      </c>
      <c r="R23" s="2452" t="s">
        <v>433</v>
      </c>
      <c r="S23" s="2453"/>
      <c r="T23" s="2478" t="s">
        <v>269</v>
      </c>
      <c r="U23" s="2439" t="s">
        <v>270</v>
      </c>
      <c r="V23" s="2490" t="s">
        <v>344</v>
      </c>
      <c r="W23" s="2491"/>
      <c r="X23" s="2398"/>
      <c r="Y23" s="2403"/>
      <c r="Z23" s="1567"/>
      <c r="AA23" s="2509" t="s">
        <v>311</v>
      </c>
      <c r="AB23" s="2510"/>
      <c r="AC23" s="2510"/>
      <c r="AD23" s="2510"/>
      <c r="AE23" s="2511"/>
      <c r="AF23" s="2512" t="s">
        <v>314</v>
      </c>
      <c r="AG23" s="2512"/>
      <c r="AH23" s="2512"/>
      <c r="AI23" s="2512"/>
      <c r="AJ23" s="2512"/>
      <c r="AK23" s="2513" t="s">
        <v>313</v>
      </c>
      <c r="AL23" s="2513"/>
      <c r="AM23" s="2513"/>
      <c r="AN23" s="2513"/>
      <c r="AO23" s="2513"/>
      <c r="AP23" s="2481" t="s">
        <v>312</v>
      </c>
      <c r="AQ23" s="2481"/>
      <c r="AR23" s="2481"/>
      <c r="AS23" s="1568"/>
      <c r="AT23" s="1568"/>
      <c r="AU23" s="1568"/>
      <c r="AV23" s="650"/>
      <c r="AW23" s="650"/>
      <c r="AX23" s="650"/>
      <c r="BE23" s="373"/>
      <c r="BF23" s="373"/>
      <c r="BG23" s="373"/>
      <c r="BL23" s="562"/>
      <c r="BM23" s="606"/>
    </row>
    <row r="24" spans="1:65" ht="39.950000000000003" customHeight="1" thickBot="1" x14ac:dyDescent="0.3">
      <c r="A24" s="2447"/>
      <c r="B24" s="2447"/>
      <c r="C24" s="2447"/>
      <c r="D24" s="2447"/>
      <c r="E24" s="2447"/>
      <c r="F24" s="2535"/>
      <c r="G24" s="2518"/>
      <c r="H24" s="2399"/>
      <c r="I24" s="2399"/>
      <c r="J24" s="2399"/>
      <c r="K24" s="1108" t="s">
        <v>1169</v>
      </c>
      <c r="L24" s="1109" t="s">
        <v>653</v>
      </c>
      <c r="M24" s="2526"/>
      <c r="N24" s="2530"/>
      <c r="O24" s="2530"/>
      <c r="P24" s="837" t="s">
        <v>380</v>
      </c>
      <c r="Q24" s="837" t="s">
        <v>380</v>
      </c>
      <c r="R24" s="508" t="s">
        <v>308</v>
      </c>
      <c r="S24" s="508" t="s">
        <v>378</v>
      </c>
      <c r="T24" s="2479"/>
      <c r="U24" s="2440"/>
      <c r="V24" s="949" t="s">
        <v>308</v>
      </c>
      <c r="W24" s="950" t="s">
        <v>309</v>
      </c>
      <c r="X24" s="2399"/>
      <c r="Y24" s="2404"/>
      <c r="Z24" s="532"/>
      <c r="AA24" s="1573" t="s">
        <v>343</v>
      </c>
      <c r="AB24" s="1572" t="s">
        <v>321</v>
      </c>
      <c r="AC24" s="1573" t="s">
        <v>322</v>
      </c>
      <c r="AD24" s="1573" t="s">
        <v>400</v>
      </c>
      <c r="AE24" s="1573" t="s">
        <v>323</v>
      </c>
      <c r="AF24" s="1574" t="s">
        <v>320</v>
      </c>
      <c r="AG24" s="1574" t="s">
        <v>321</v>
      </c>
      <c r="AH24" s="1575" t="s">
        <v>322</v>
      </c>
      <c r="AI24" s="1575" t="s">
        <v>401</v>
      </c>
      <c r="AJ24" s="1575" t="s">
        <v>323</v>
      </c>
      <c r="AK24" s="1576" t="s">
        <v>320</v>
      </c>
      <c r="AL24" s="1576" t="s">
        <v>321</v>
      </c>
      <c r="AM24" s="1577" t="s">
        <v>322</v>
      </c>
      <c r="AN24" s="1577" t="s">
        <v>401</v>
      </c>
      <c r="AO24" s="1577" t="s">
        <v>323</v>
      </c>
      <c r="AP24" s="1569" t="s">
        <v>311</v>
      </c>
      <c r="AQ24" s="1570" t="s">
        <v>314</v>
      </c>
      <c r="AR24" s="1571" t="s">
        <v>313</v>
      </c>
      <c r="AS24" s="2480" t="s">
        <v>317</v>
      </c>
      <c r="AT24" s="2480"/>
      <c r="AU24" s="2480"/>
      <c r="AV24" s="2475"/>
      <c r="AW24" s="2475"/>
      <c r="AX24" s="2475"/>
      <c r="BE24" s="373"/>
      <c r="BF24" s="373"/>
      <c r="BG24" s="373"/>
      <c r="BL24" s="607"/>
      <c r="BM24" s="2396"/>
    </row>
    <row r="25" spans="1:65" s="373" customFormat="1" ht="13.15" customHeight="1" x14ac:dyDescent="0.25">
      <c r="A25" s="816"/>
      <c r="B25" s="816"/>
      <c r="C25" s="816"/>
      <c r="D25" s="816"/>
      <c r="E25" s="816"/>
      <c r="F25" s="817"/>
      <c r="G25" s="720"/>
      <c r="H25" s="720"/>
      <c r="I25" s="720"/>
      <c r="J25" s="720"/>
      <c r="K25" s="720"/>
      <c r="L25" s="720"/>
      <c r="M25" s="818"/>
      <c r="N25" s="818"/>
      <c r="O25" s="819"/>
      <c r="P25" s="818"/>
      <c r="Q25" s="820"/>
      <c r="R25" s="818"/>
      <c r="S25" s="818"/>
      <c r="T25" s="818"/>
      <c r="U25" s="818"/>
      <c r="V25" s="818"/>
      <c r="W25" s="818"/>
      <c r="X25" s="720"/>
      <c r="Y25" s="821"/>
      <c r="Z25" s="822"/>
      <c r="AA25" s="1578"/>
      <c r="AB25" s="1578"/>
      <c r="AC25" s="1578"/>
      <c r="AD25" s="1578"/>
      <c r="AE25" s="1578"/>
      <c r="AF25" s="822"/>
      <c r="AG25" s="822"/>
      <c r="AH25" s="823"/>
      <c r="AI25" s="823"/>
      <c r="AJ25" s="823"/>
      <c r="AK25" s="822"/>
      <c r="AL25" s="822"/>
      <c r="AM25" s="823"/>
      <c r="AN25" s="823"/>
      <c r="AO25" s="823"/>
      <c r="AP25" s="1419"/>
      <c r="AQ25" s="1419"/>
      <c r="AR25" s="1419"/>
      <c r="AS25" s="985"/>
      <c r="AT25" s="1004"/>
      <c r="AU25" s="967"/>
      <c r="AV25" s="721"/>
      <c r="AW25" s="721"/>
      <c r="AX25" s="721"/>
      <c r="BL25" s="824"/>
      <c r="BM25" s="2396"/>
    </row>
    <row r="26" spans="1:65" s="373" customFormat="1" ht="13.15" customHeight="1" x14ac:dyDescent="0.25">
      <c r="A26" s="372" t="s">
        <v>453</v>
      </c>
      <c r="B26" s="816"/>
      <c r="C26" s="816"/>
      <c r="D26" s="816"/>
      <c r="E26" s="816"/>
      <c r="F26" s="475" t="s">
        <v>453</v>
      </c>
      <c r="G26" s="720"/>
      <c r="H26" s="720"/>
      <c r="I26" s="1131"/>
      <c r="J26" s="720"/>
      <c r="K26" s="720"/>
      <c r="L26" s="720"/>
      <c r="M26" s="818"/>
      <c r="N26" s="818"/>
      <c r="O26" s="819"/>
      <c r="P26" s="2488"/>
      <c r="Q26" s="2489"/>
      <c r="R26" s="2489"/>
      <c r="S26" s="2489"/>
      <c r="T26" s="818"/>
      <c r="U26" s="818"/>
      <c r="V26" s="818"/>
      <c r="W26" s="818"/>
      <c r="X26" s="720"/>
      <c r="Y26" s="821"/>
      <c r="Z26" s="822"/>
      <c r="AA26" s="823"/>
      <c r="AB26" s="822"/>
      <c r="AC26" s="823"/>
      <c r="AD26" s="823"/>
      <c r="AE26" s="823"/>
      <c r="AF26" s="822"/>
      <c r="AG26" s="822"/>
      <c r="AH26" s="823"/>
      <c r="AI26" s="823"/>
      <c r="AJ26" s="823"/>
      <c r="AK26" s="822"/>
      <c r="AL26" s="822"/>
      <c r="AM26" s="823"/>
      <c r="AN26" s="823"/>
      <c r="AO26" s="823"/>
      <c r="AP26" s="1419"/>
      <c r="AQ26" s="1419"/>
      <c r="AR26" s="1419"/>
      <c r="AS26" s="985"/>
      <c r="AT26" s="1004"/>
      <c r="AU26" s="967"/>
      <c r="AV26" s="721"/>
      <c r="AW26" s="721"/>
      <c r="AX26" s="721"/>
      <c r="BG26" s="886"/>
      <c r="BL26" s="824"/>
      <c r="BM26" s="2396"/>
    </row>
    <row r="27" spans="1:65" s="373" customFormat="1" ht="18" customHeight="1" thickBot="1" x14ac:dyDescent="0.3">
      <c r="A27" s="858" t="s">
        <v>454</v>
      </c>
      <c r="B27" s="859"/>
      <c r="C27" s="859"/>
      <c r="D27" s="859"/>
      <c r="E27" s="860"/>
      <c r="F27" s="475" t="s">
        <v>454</v>
      </c>
      <c r="G27" s="861"/>
      <c r="H27" s="861"/>
      <c r="I27" s="861"/>
      <c r="J27" s="861"/>
      <c r="K27" s="861"/>
      <c r="L27" s="861"/>
      <c r="M27" s="862"/>
      <c r="N27" s="862"/>
      <c r="O27" s="863"/>
      <c r="P27" s="862"/>
      <c r="Q27" s="864"/>
      <c r="R27" s="862"/>
      <c r="S27" s="862"/>
      <c r="T27" s="862"/>
      <c r="U27" s="862"/>
      <c r="V27" s="862"/>
      <c r="W27" s="862"/>
      <c r="X27" s="861"/>
      <c r="Y27" s="865"/>
      <c r="Z27" s="822"/>
      <c r="AA27" s="823"/>
      <c r="AB27" s="822"/>
      <c r="AC27" s="823"/>
      <c r="AD27" s="823"/>
      <c r="AE27" s="823"/>
      <c r="AF27" s="822"/>
      <c r="AG27" s="822"/>
      <c r="AH27" s="823"/>
      <c r="AI27" s="823"/>
      <c r="AJ27" s="823"/>
      <c r="AK27" s="822"/>
      <c r="AL27" s="822"/>
      <c r="AM27" s="823"/>
      <c r="AN27" s="823"/>
      <c r="AO27" s="823"/>
      <c r="AP27" s="1419"/>
      <c r="AQ27" s="1419"/>
      <c r="AR27" s="1419"/>
      <c r="AS27" s="985"/>
      <c r="AT27" s="1004"/>
      <c r="AU27" s="967"/>
      <c r="AV27" s="935"/>
      <c r="AW27" s="935"/>
      <c r="AX27" s="935"/>
      <c r="BL27" s="824"/>
      <c r="BM27" s="2396"/>
    </row>
    <row r="28" spans="1:65" ht="15.75" x14ac:dyDescent="0.25">
      <c r="A28" s="1880"/>
      <c r="B28" s="1881"/>
      <c r="C28" s="1882"/>
      <c r="D28" s="1882"/>
      <c r="E28" s="1751">
        <f t="shared" ref="E28:E34" si="0">IFERROR(D28/B28,0)</f>
        <v>0</v>
      </c>
      <c r="F28" s="1752"/>
      <c r="G28" s="1742"/>
      <c r="H28" s="1750"/>
      <c r="I28" s="1742"/>
      <c r="J28" s="1742"/>
      <c r="K28" s="1753"/>
      <c r="L28" s="1754">
        <f t="shared" ref="L28:L33" si="1">IFERROR(IF($K$24="VK",K28,K28/H28),0)</f>
        <v>0</v>
      </c>
      <c r="M28" s="1735">
        <f t="shared" ref="M28:M33" si="2">IFERROR(L28*H28,"")</f>
        <v>0</v>
      </c>
      <c r="N28" s="1746"/>
      <c r="O28" s="1746"/>
      <c r="P28" s="1746"/>
      <c r="Q28" s="1746"/>
      <c r="R28" s="1746"/>
      <c r="S28" s="1746"/>
      <c r="T28" s="1746"/>
      <c r="U28" s="1746"/>
      <c r="V28" s="1746"/>
      <c r="W28" s="1746"/>
      <c r="X28" s="1903">
        <f t="shared" ref="X28:X33" si="3">IF(AND(H28&gt;0,F28&lt;&gt;"GfB"),(SUM(M28:P28,R28,V28,Q28)*12+(T28+U28))*(100+$P$17+$P$18)%+((S28+W28)*12),IF(AND(H28&gt;0,F28="GfB"),(SUM(M28:P28,R28,V28,Q28)*12+(T28+U28))*(100+$P$20+$P$18)%+((S28+W28)*12),0))</f>
        <v>0</v>
      </c>
      <c r="Y28" s="1733">
        <f t="shared" ref="Y28:Y33" si="4">IF(ISERROR(X28/H28),0,(X28/H28))</f>
        <v>0</v>
      </c>
      <c r="Z28" s="528"/>
      <c r="AA28" s="1617"/>
      <c r="AB28" s="1618"/>
      <c r="AC28" s="1618"/>
      <c r="AD28" s="1618"/>
      <c r="AE28" s="1618"/>
      <c r="AF28" s="1626"/>
      <c r="AG28" s="1592"/>
      <c r="AH28" s="1592"/>
      <c r="AI28" s="1592"/>
      <c r="AJ28" s="1592"/>
      <c r="AK28" s="1593"/>
      <c r="AL28" s="1594"/>
      <c r="AM28" s="1594"/>
      <c r="AN28" s="1594"/>
      <c r="AO28" s="1594"/>
      <c r="AP28" s="1703"/>
      <c r="AQ28" s="1703"/>
      <c r="AR28" s="1703"/>
      <c r="AS28" s="1704"/>
      <c r="AT28" s="1626"/>
      <c r="AU28" s="1705"/>
      <c r="AV28" s="1702"/>
      <c r="AW28" s="1702"/>
      <c r="AX28" s="1702"/>
      <c r="BE28" s="373"/>
      <c r="BF28" s="373"/>
      <c r="BG28" s="373"/>
      <c r="BL28" s="608"/>
      <c r="BM28" s="2396"/>
    </row>
    <row r="29" spans="1:65" ht="15.75" x14ac:dyDescent="0.25">
      <c r="A29" s="1883"/>
      <c r="B29" s="1748"/>
      <c r="C29" s="1884"/>
      <c r="D29" s="1884"/>
      <c r="E29" s="1726">
        <f t="shared" si="0"/>
        <v>0</v>
      </c>
      <c r="F29" s="1722"/>
      <c r="G29" s="1742"/>
      <c r="H29" s="1725"/>
      <c r="I29" s="1743"/>
      <c r="J29" s="1743"/>
      <c r="K29" s="1744"/>
      <c r="L29" s="1754">
        <f t="shared" si="1"/>
        <v>0</v>
      </c>
      <c r="M29" s="1735">
        <f t="shared" si="2"/>
        <v>0</v>
      </c>
      <c r="N29" s="1730"/>
      <c r="O29" s="1730"/>
      <c r="P29" s="1730"/>
      <c r="Q29" s="1730"/>
      <c r="R29" s="1730"/>
      <c r="S29" s="1730"/>
      <c r="T29" s="1730"/>
      <c r="U29" s="1730"/>
      <c r="V29" s="1730"/>
      <c r="W29" s="1730"/>
      <c r="X29" s="1903">
        <f t="shared" si="3"/>
        <v>0</v>
      </c>
      <c r="Y29" s="1733">
        <f t="shared" si="4"/>
        <v>0</v>
      </c>
      <c r="Z29" s="528"/>
      <c r="AA29" s="1620"/>
      <c r="AB29" s="1616"/>
      <c r="AC29" s="1616"/>
      <c r="AD29" s="1616"/>
      <c r="AE29" s="1616"/>
      <c r="AF29" s="1587"/>
      <c r="AG29" s="1588"/>
      <c r="AH29" s="1588"/>
      <c r="AI29" s="1588"/>
      <c r="AJ29" s="1588"/>
      <c r="AK29" s="1589"/>
      <c r="AL29" s="1590"/>
      <c r="AM29" s="1590"/>
      <c r="AN29" s="1590"/>
      <c r="AO29" s="1590"/>
      <c r="AP29" s="1706"/>
      <c r="AQ29" s="1706"/>
      <c r="AR29" s="1706"/>
      <c r="AS29" s="1707"/>
      <c r="AT29" s="1587"/>
      <c r="AU29" s="1708"/>
      <c r="AV29" s="1702"/>
      <c r="AW29" s="1702"/>
      <c r="AX29" s="1702"/>
      <c r="AY29" s="880"/>
      <c r="BE29" s="373"/>
      <c r="BF29" s="373"/>
      <c r="BG29" s="373"/>
      <c r="BL29" s="604"/>
      <c r="BM29" s="2396"/>
    </row>
    <row r="30" spans="1:65" ht="15.75" x14ac:dyDescent="0.25">
      <c r="A30" s="1883"/>
      <c r="B30" s="1748"/>
      <c r="C30" s="1884"/>
      <c r="D30" s="1884"/>
      <c r="E30" s="1726">
        <f t="shared" si="0"/>
        <v>0</v>
      </c>
      <c r="F30" s="1722"/>
      <c r="G30" s="1742"/>
      <c r="H30" s="1725"/>
      <c r="I30" s="1743"/>
      <c r="J30" s="1743"/>
      <c r="K30" s="1744"/>
      <c r="L30" s="1754">
        <f t="shared" si="1"/>
        <v>0</v>
      </c>
      <c r="M30" s="1735">
        <f t="shared" si="2"/>
        <v>0</v>
      </c>
      <c r="N30" s="1730"/>
      <c r="O30" s="1730"/>
      <c r="P30" s="1730"/>
      <c r="Q30" s="1730"/>
      <c r="R30" s="1730"/>
      <c r="S30" s="1730"/>
      <c r="T30" s="1730"/>
      <c r="U30" s="1730"/>
      <c r="V30" s="1730"/>
      <c r="W30" s="1730"/>
      <c r="X30" s="1903">
        <f t="shared" si="3"/>
        <v>0</v>
      </c>
      <c r="Y30" s="1733">
        <f t="shared" si="4"/>
        <v>0</v>
      </c>
      <c r="Z30" s="528"/>
      <c r="AA30" s="1620"/>
      <c r="AB30" s="1616"/>
      <c r="AC30" s="1616"/>
      <c r="AD30" s="1616"/>
      <c r="AE30" s="1616"/>
      <c r="AF30" s="1587"/>
      <c r="AG30" s="1588"/>
      <c r="AH30" s="1588"/>
      <c r="AI30" s="1588"/>
      <c r="AJ30" s="1588"/>
      <c r="AK30" s="1589"/>
      <c r="AL30" s="1590"/>
      <c r="AM30" s="1590"/>
      <c r="AN30" s="1590"/>
      <c r="AO30" s="1590"/>
      <c r="AP30" s="1706"/>
      <c r="AQ30" s="1706"/>
      <c r="AR30" s="1706"/>
      <c r="AS30" s="1707"/>
      <c r="AT30" s="1587"/>
      <c r="AU30" s="1708"/>
      <c r="AV30" s="1702"/>
      <c r="AW30" s="1702"/>
      <c r="AX30" s="1702"/>
      <c r="BE30" s="373"/>
      <c r="BF30" s="373"/>
      <c r="BG30" s="323"/>
      <c r="BM30" s="2396"/>
    </row>
    <row r="31" spans="1:65" ht="15.75" x14ac:dyDescent="0.25">
      <c r="A31" s="1883"/>
      <c r="B31" s="1748"/>
      <c r="C31" s="1884"/>
      <c r="D31" s="1884"/>
      <c r="E31" s="1726">
        <f t="shared" si="0"/>
        <v>0</v>
      </c>
      <c r="F31" s="1722"/>
      <c r="G31" s="1742"/>
      <c r="H31" s="1725"/>
      <c r="I31" s="1743"/>
      <c r="J31" s="1743"/>
      <c r="K31" s="1744"/>
      <c r="L31" s="1754">
        <f t="shared" si="1"/>
        <v>0</v>
      </c>
      <c r="M31" s="1735">
        <f t="shared" si="2"/>
        <v>0</v>
      </c>
      <c r="N31" s="1730"/>
      <c r="O31" s="1730"/>
      <c r="P31" s="1730"/>
      <c r="Q31" s="1730"/>
      <c r="R31" s="1730"/>
      <c r="S31" s="1730"/>
      <c r="T31" s="1730"/>
      <c r="U31" s="1730"/>
      <c r="V31" s="1730"/>
      <c r="W31" s="1730"/>
      <c r="X31" s="1903">
        <f t="shared" si="3"/>
        <v>0</v>
      </c>
      <c r="Y31" s="1733">
        <f t="shared" si="4"/>
        <v>0</v>
      </c>
      <c r="Z31" s="528"/>
      <c r="AA31" s="1620"/>
      <c r="AB31" s="1616"/>
      <c r="AC31" s="1616"/>
      <c r="AD31" s="1616"/>
      <c r="AE31" s="1616"/>
      <c r="AF31" s="1587"/>
      <c r="AG31" s="1588"/>
      <c r="AH31" s="1588"/>
      <c r="AI31" s="1588"/>
      <c r="AJ31" s="1588"/>
      <c r="AK31" s="1589"/>
      <c r="AL31" s="1590"/>
      <c r="AM31" s="1590"/>
      <c r="AN31" s="1590"/>
      <c r="AO31" s="1590"/>
      <c r="AP31" s="1706"/>
      <c r="AQ31" s="1706"/>
      <c r="AR31" s="1706"/>
      <c r="AS31" s="1707"/>
      <c r="AT31" s="1587"/>
      <c r="AU31" s="1708"/>
      <c r="AV31" s="1702"/>
      <c r="AW31" s="1702"/>
      <c r="AX31" s="1702"/>
      <c r="BE31" s="373"/>
      <c r="BF31" s="373"/>
      <c r="BG31" s="323"/>
      <c r="BM31" s="2396"/>
    </row>
    <row r="32" spans="1:65" ht="15.75" x14ac:dyDescent="0.25">
      <c r="A32" s="1883"/>
      <c r="B32" s="1748"/>
      <c r="C32" s="1884"/>
      <c r="D32" s="1884"/>
      <c r="E32" s="1726">
        <f t="shared" si="0"/>
        <v>0</v>
      </c>
      <c r="F32" s="1722"/>
      <c r="G32" s="1742"/>
      <c r="H32" s="1725"/>
      <c r="I32" s="1743"/>
      <c r="J32" s="1743"/>
      <c r="K32" s="1744"/>
      <c r="L32" s="1754">
        <f t="shared" si="1"/>
        <v>0</v>
      </c>
      <c r="M32" s="1735">
        <f t="shared" si="2"/>
        <v>0</v>
      </c>
      <c r="N32" s="1730"/>
      <c r="O32" s="1730"/>
      <c r="P32" s="1730"/>
      <c r="Q32" s="1730"/>
      <c r="R32" s="1730"/>
      <c r="S32" s="1730"/>
      <c r="T32" s="1730"/>
      <c r="U32" s="1730"/>
      <c r="V32" s="1730"/>
      <c r="W32" s="1730"/>
      <c r="X32" s="1903">
        <f t="shared" si="3"/>
        <v>0</v>
      </c>
      <c r="Y32" s="1733">
        <f t="shared" si="4"/>
        <v>0</v>
      </c>
      <c r="Z32" s="528"/>
      <c r="AA32" s="1620"/>
      <c r="AB32" s="1616"/>
      <c r="AC32" s="1616"/>
      <c r="AD32" s="1616"/>
      <c r="AE32" s="1616"/>
      <c r="AF32" s="1587"/>
      <c r="AG32" s="1588"/>
      <c r="AH32" s="1588"/>
      <c r="AI32" s="1588"/>
      <c r="AJ32" s="1588"/>
      <c r="AK32" s="1589"/>
      <c r="AL32" s="1590"/>
      <c r="AM32" s="1590"/>
      <c r="AN32" s="1590"/>
      <c r="AO32" s="1590"/>
      <c r="AP32" s="1706"/>
      <c r="AQ32" s="1706"/>
      <c r="AR32" s="1706"/>
      <c r="AS32" s="1707"/>
      <c r="AT32" s="1587"/>
      <c r="AU32" s="1708"/>
      <c r="AV32" s="1702"/>
      <c r="AW32" s="1702"/>
      <c r="AX32" s="1702"/>
      <c r="BE32" s="373"/>
      <c r="BF32" s="373"/>
      <c r="BG32" s="323"/>
      <c r="BM32" s="2396"/>
    </row>
    <row r="33" spans="1:65" ht="16.5" thickBot="1" x14ac:dyDescent="0.3">
      <c r="A33" s="1885"/>
      <c r="B33" s="1748"/>
      <c r="C33" s="1884"/>
      <c r="D33" s="1884"/>
      <c r="E33" s="1726">
        <f t="shared" si="0"/>
        <v>0</v>
      </c>
      <c r="F33" s="1759"/>
      <c r="G33" s="1742"/>
      <c r="H33" s="1725"/>
      <c r="I33" s="1743"/>
      <c r="J33" s="1743"/>
      <c r="K33" s="1744"/>
      <c r="L33" s="1754">
        <f t="shared" si="1"/>
        <v>0</v>
      </c>
      <c r="M33" s="1735">
        <f t="shared" si="2"/>
        <v>0</v>
      </c>
      <c r="N33" s="1730"/>
      <c r="O33" s="1730"/>
      <c r="P33" s="1730"/>
      <c r="Q33" s="1730"/>
      <c r="R33" s="1730"/>
      <c r="S33" s="1730"/>
      <c r="T33" s="1730"/>
      <c r="U33" s="1730"/>
      <c r="V33" s="1730"/>
      <c r="W33" s="1730"/>
      <c r="X33" s="1903">
        <f t="shared" si="3"/>
        <v>0</v>
      </c>
      <c r="Y33" s="1733">
        <f t="shared" si="4"/>
        <v>0</v>
      </c>
      <c r="Z33" s="528"/>
      <c r="AA33" s="1622"/>
      <c r="AB33" s="1623"/>
      <c r="AC33" s="1623"/>
      <c r="AD33" s="1623"/>
      <c r="AE33" s="1623"/>
      <c r="AF33" s="1629"/>
      <c r="AG33" s="1599"/>
      <c r="AH33" s="1599"/>
      <c r="AI33" s="1599"/>
      <c r="AJ33" s="1599"/>
      <c r="AK33" s="1600"/>
      <c r="AL33" s="1601"/>
      <c r="AM33" s="1601"/>
      <c r="AN33" s="1601"/>
      <c r="AO33" s="1601"/>
      <c r="AP33" s="1709"/>
      <c r="AQ33" s="1709"/>
      <c r="AR33" s="1709"/>
      <c r="AS33" s="1710"/>
      <c r="AT33" s="1629"/>
      <c r="AU33" s="1711"/>
      <c r="AV33" s="1702"/>
      <c r="AW33" s="1702"/>
      <c r="AX33" s="1702"/>
      <c r="AY33" s="880"/>
      <c r="AZ33" s="886"/>
      <c r="BA33" s="880"/>
      <c r="BB33" s="886"/>
      <c r="BE33" s="373"/>
      <c r="BF33" s="373"/>
      <c r="BG33" s="323"/>
      <c r="BM33" s="2396"/>
    </row>
    <row r="34" spans="1:65" s="373" customFormat="1" ht="42" customHeight="1" thickBot="1" x14ac:dyDescent="0.3">
      <c r="A34" s="2306" t="s">
        <v>456</v>
      </c>
      <c r="B34" s="1736">
        <f>SUM(B28:B33)</f>
        <v>0</v>
      </c>
      <c r="C34" s="1737">
        <f>IFERROR(SUM(C28:C33)/B34,0)</f>
        <v>0</v>
      </c>
      <c r="D34" s="1738">
        <f>SUM(D28:D33)</f>
        <v>0</v>
      </c>
      <c r="E34" s="1739">
        <f t="shared" si="0"/>
        <v>0</v>
      </c>
      <c r="F34" s="2468" t="s">
        <v>455</v>
      </c>
      <c r="G34" s="2469"/>
      <c r="H34" s="1757">
        <f>SUM(H28:H33)</f>
        <v>0</v>
      </c>
      <c r="I34" s="371"/>
      <c r="J34" s="371"/>
      <c r="K34" s="371"/>
      <c r="L34" s="371"/>
      <c r="M34" s="1758">
        <f>IFERROR(SUM(M28:M33)/H34,0)</f>
        <v>0</v>
      </c>
      <c r="N34" s="1758">
        <f>IFERROR(SUM(N28:N33)/H34,0)</f>
        <v>0</v>
      </c>
      <c r="O34" s="1758">
        <f>IFERROR(SUM(O28:O33)/H34,0)</f>
        <v>0</v>
      </c>
      <c r="P34" s="1758">
        <f>IFERROR(SUM(P28:P33)/H34,0)</f>
        <v>0</v>
      </c>
      <c r="Q34" s="1758">
        <f>IFERROR(SUM(Q28:Q33)/H34,0)</f>
        <v>0</v>
      </c>
      <c r="R34" s="1758">
        <f>IFERROR(SUM(R28:R33)/H34,0)</f>
        <v>0</v>
      </c>
      <c r="S34" s="1758">
        <f>IFERROR(SUM(S28:S33)/H34,0)</f>
        <v>0</v>
      </c>
      <c r="T34" s="1758">
        <f>IFERROR(SUM(T28:T33)/H34,0)</f>
        <v>0</v>
      </c>
      <c r="U34" s="1758">
        <f>IFERROR(SUM(U28:U33)/H34,0)</f>
        <v>0</v>
      </c>
      <c r="V34" s="1758">
        <f>IFERROR(SUM(V28:V33)/H34,0)</f>
        <v>0</v>
      </c>
      <c r="W34" s="1758">
        <f>IFERROR(SUM(W28:W33)/H34,0)</f>
        <v>0</v>
      </c>
      <c r="X34" s="1740">
        <f>SUM(X28:X33)</f>
        <v>0</v>
      </c>
      <c r="Y34" s="429">
        <f>IFERROR(SUM(X34/H34),0)</f>
        <v>0</v>
      </c>
      <c r="Z34" s="822"/>
      <c r="AA34" s="823"/>
      <c r="AB34" s="822"/>
      <c r="AC34" s="823"/>
      <c r="AD34" s="823"/>
      <c r="AE34" s="823"/>
      <c r="AF34" s="822"/>
      <c r="AG34" s="822"/>
      <c r="AH34" s="823"/>
      <c r="AI34" s="823"/>
      <c r="AJ34" s="823"/>
      <c r="AK34" s="822"/>
      <c r="AL34" s="822"/>
      <c r="AM34" s="823"/>
      <c r="AN34" s="823"/>
      <c r="AO34" s="823"/>
      <c r="AP34" s="1419"/>
      <c r="AQ34" s="1419"/>
      <c r="AR34" s="1419"/>
      <c r="AS34" s="985"/>
      <c r="AT34" s="1004"/>
      <c r="AU34" s="967"/>
      <c r="AV34" s="935"/>
      <c r="AW34" s="935"/>
      <c r="AX34" s="935"/>
      <c r="AY34" s="887"/>
      <c r="AZ34" s="888"/>
      <c r="BA34" s="887"/>
      <c r="BB34" s="888"/>
      <c r="BL34" s="824"/>
      <c r="BM34" s="2396"/>
    </row>
    <row r="35" spans="1:65" s="373" customFormat="1" ht="13.15" customHeight="1" x14ac:dyDescent="0.25">
      <c r="A35" s="816"/>
      <c r="B35" s="1768"/>
      <c r="C35" s="1768"/>
      <c r="D35" s="816"/>
      <c r="E35" s="816"/>
      <c r="F35" s="817"/>
      <c r="G35" s="720"/>
      <c r="H35" s="870" t="str">
        <f>IF(AND(KAT!R19=1,H34&gt;AD4),"Max. Stellenumfang gemäß Rahmenvertrag für die PDL/ stellv. PDL angeben (bis zu "&amp;TEXT(AD4,"0,0000")&amp;" VK).","")</f>
        <v/>
      </c>
      <c r="I35" s="720"/>
      <c r="J35" s="720"/>
      <c r="K35" s="720"/>
      <c r="L35" s="720"/>
      <c r="M35" s="818"/>
      <c r="N35" s="818"/>
      <c r="O35" s="819"/>
      <c r="P35" s="818"/>
      <c r="Q35" s="820"/>
      <c r="R35" s="820"/>
      <c r="S35" s="818"/>
      <c r="T35" s="818"/>
      <c r="U35" s="818"/>
      <c r="V35" s="818"/>
      <c r="W35" s="818"/>
      <c r="X35" s="720"/>
      <c r="Y35" s="821"/>
      <c r="Z35" s="822"/>
      <c r="AA35" s="823"/>
      <c r="AB35" s="822"/>
      <c r="AC35" s="823"/>
      <c r="AD35" s="823"/>
      <c r="AE35" s="823"/>
      <c r="AF35" s="822"/>
      <c r="AG35" s="822"/>
      <c r="AH35" s="823"/>
      <c r="AI35" s="823"/>
      <c r="AJ35" s="823"/>
      <c r="AK35" s="822"/>
      <c r="AL35" s="822"/>
      <c r="AM35" s="823"/>
      <c r="AN35" s="823"/>
      <c r="AO35" s="823"/>
      <c r="AP35" s="1419"/>
      <c r="AQ35" s="1419"/>
      <c r="AR35" s="1419"/>
      <c r="AS35" s="985"/>
      <c r="AT35" s="1004"/>
      <c r="AU35" s="967"/>
      <c r="AV35" s="935"/>
      <c r="AW35" s="935"/>
      <c r="AX35" s="935"/>
      <c r="AY35" s="889"/>
      <c r="AZ35" s="890"/>
      <c r="BA35" s="889"/>
      <c r="BB35" s="890"/>
      <c r="BF35" s="891"/>
      <c r="BL35" s="824"/>
      <c r="BM35" s="2396"/>
    </row>
    <row r="36" spans="1:65" s="373" customFormat="1" ht="13.15" customHeight="1" thickBot="1" x14ac:dyDescent="0.3">
      <c r="A36" s="858" t="s">
        <v>457</v>
      </c>
      <c r="B36" s="859"/>
      <c r="C36" s="859"/>
      <c r="D36" s="859"/>
      <c r="E36" s="860"/>
      <c r="F36" s="858" t="s">
        <v>457</v>
      </c>
      <c r="G36" s="861"/>
      <c r="H36" s="861"/>
      <c r="I36" s="861"/>
      <c r="J36" s="861"/>
      <c r="K36" s="861"/>
      <c r="L36" s="861"/>
      <c r="M36" s="862"/>
      <c r="N36" s="862"/>
      <c r="O36" s="863"/>
      <c r="P36" s="862"/>
      <c r="Q36" s="864"/>
      <c r="R36" s="862"/>
      <c r="S36" s="862"/>
      <c r="T36" s="862"/>
      <c r="U36" s="862"/>
      <c r="V36" s="862"/>
      <c r="W36" s="862"/>
      <c r="X36" s="861"/>
      <c r="Y36" s="865"/>
      <c r="Z36" s="822"/>
      <c r="AA36" s="823"/>
      <c r="AB36" s="822"/>
      <c r="AC36" s="823"/>
      <c r="AD36" s="823"/>
      <c r="AE36" s="823"/>
      <c r="AF36" s="822"/>
      <c r="AG36" s="822"/>
      <c r="AH36" s="823"/>
      <c r="AI36" s="823"/>
      <c r="AJ36" s="823"/>
      <c r="AK36" s="822"/>
      <c r="AL36" s="822"/>
      <c r="AM36" s="823"/>
      <c r="AN36" s="823"/>
      <c r="AO36" s="823"/>
      <c r="AP36" s="1419"/>
      <c r="AQ36" s="1419"/>
      <c r="AR36" s="1419"/>
      <c r="AS36" s="985"/>
      <c r="AT36" s="1004"/>
      <c r="AU36" s="967"/>
      <c r="AV36" s="935"/>
      <c r="AW36" s="935"/>
      <c r="AX36" s="935"/>
      <c r="AY36" s="892"/>
      <c r="AZ36" s="893"/>
      <c r="BA36" s="892"/>
      <c r="BB36" s="893"/>
      <c r="BF36" s="891"/>
      <c r="BL36" s="824"/>
      <c r="BM36" s="2396"/>
    </row>
    <row r="37" spans="1:65" ht="15.75" x14ac:dyDescent="0.25">
      <c r="A37" s="1880"/>
      <c r="B37" s="1881"/>
      <c r="C37" s="1882"/>
      <c r="D37" s="1882"/>
      <c r="E37" s="1751">
        <f>IFERROR(D37/B37,0)</f>
        <v>0</v>
      </c>
      <c r="F37" s="1901"/>
      <c r="G37" s="1742"/>
      <c r="H37" s="1750"/>
      <c r="I37" s="1742"/>
      <c r="J37" s="1742"/>
      <c r="K37" s="1753"/>
      <c r="L37" s="1754">
        <f>IFERROR(IF($K$24="VK",K37,K37/H37),0)</f>
        <v>0</v>
      </c>
      <c r="M37" s="1735">
        <f>IFERROR(L37*H37,"")</f>
        <v>0</v>
      </c>
      <c r="N37" s="1746"/>
      <c r="O37" s="1746"/>
      <c r="P37" s="1746"/>
      <c r="Q37" s="1746"/>
      <c r="R37" s="1746"/>
      <c r="S37" s="1746"/>
      <c r="T37" s="1746"/>
      <c r="U37" s="1746"/>
      <c r="V37" s="1746"/>
      <c r="W37" s="1746"/>
      <c r="X37" s="1903">
        <f>IF(AND(H37&gt;0,F37&lt;&gt;"GfB"),(SUM(M37:P37,R37,V37,Q37)*12+(T37+U37))*(100+$P$17+$P$18)%+((S37+W37)*12),IF(AND(H37&gt;0,F37="GfB"),(SUM(M37:P37,R37,V37,Q37)*12+(T37+U37))*(100+$P$20+$P$18)%+((S37+W37)*12),0))</f>
        <v>0</v>
      </c>
      <c r="Y37" s="1733">
        <f>IF(ISERROR(X37/H37),0,(X37/H37))</f>
        <v>0</v>
      </c>
      <c r="Z37" s="528"/>
      <c r="AA37" s="1560">
        <f>(IF(AND($G37="PFK/BFK",$H37&gt;0,$K37&gt;0),($M37+$N37),0))</f>
        <v>0</v>
      </c>
      <c r="AB37" s="1561">
        <f>(IF(AND($G37="PFK/BFK",$H37&gt;0,$K37&gt;0),$O37,0))</f>
        <v>0</v>
      </c>
      <c r="AC37" s="1561">
        <f>(IF(AND($G37="PFK/BFK",$H37&gt;0,$K37&gt;0),($P37),0))</f>
        <v>0</v>
      </c>
      <c r="AD37" s="1561">
        <f>(IF(AND($G37="PFK/BFK",$H37&gt;0,$K37&gt;0),$Q37,0))</f>
        <v>0</v>
      </c>
      <c r="AE37" s="1561">
        <f>(IF(AND($G37="PFK/BFK",$H37&gt;0,$K37&gt;0),(($T37+$U37)/12),0))</f>
        <v>0</v>
      </c>
      <c r="AF37" s="1115">
        <f>(IF(AND($G37="PK/BK",$H37&gt;0,$K37&gt;0),($M37+$N37),0))</f>
        <v>0</v>
      </c>
      <c r="AG37" s="1116">
        <f>(IF(AND($G37="PK/BK",$H37&gt;0,$K37&gt;0),$O37,0))</f>
        <v>0</v>
      </c>
      <c r="AH37" s="1116">
        <f>(IF(AND($G37="PK/BK",$H37&gt;0,$K37&gt;0),$P37,0))</f>
        <v>0</v>
      </c>
      <c r="AI37" s="1116">
        <f>(IF(AND($G37="PK/BK",$H37&gt;0,$K37&gt;0),$Q37,0))</f>
        <v>0</v>
      </c>
      <c r="AJ37" s="1116">
        <f>(IF(AND($G37="PK/BK",$H37&gt;0,$K37&gt;0),(($T37+$U37)/12),0))</f>
        <v>0</v>
      </c>
      <c r="AK37" s="1564">
        <f>(IF(AND($G37="PK/BK o.",$H37&gt;0,$K37&gt;0),($M37+$N37),0))</f>
        <v>0</v>
      </c>
      <c r="AL37" s="1565">
        <f>(IF(AND($G37="PK/BK o.",$H37&gt;0,$K37&gt;0),$O37,0))</f>
        <v>0</v>
      </c>
      <c r="AM37" s="1565">
        <f>(IF(AND($G37="PK/BK o.",$H37&gt;0,$K37&gt;0),$P37,0))</f>
        <v>0</v>
      </c>
      <c r="AN37" s="1565">
        <f>(IF(AND($G37="PK/BK o.",$H37&gt;0,$K37&gt;0),$Q37,0))</f>
        <v>0</v>
      </c>
      <c r="AO37" s="1565">
        <f>(IF(AND($G37="PK/BK o.",$H37&gt;0,$K37&gt;0),(($T37+$U37)/12),0))</f>
        <v>0</v>
      </c>
      <c r="AP37" s="1420">
        <f>IF(AND($G37="PFK/BFK",$H37&gt;0,$K37&gt;0),$H37,0)</f>
        <v>0</v>
      </c>
      <c r="AQ37" s="1443">
        <f>IF(AND($G37="PK/BK",$H37&gt;0,$K37&gt;0),$H37,0)</f>
        <v>0</v>
      </c>
      <c r="AR37" s="1449">
        <f>IF(AND($G37="PK/BK o.",$H37&gt;0,$K37&gt;0),$H37,0)</f>
        <v>0</v>
      </c>
      <c r="AS37" s="986">
        <f>IF(AND($G37="PFK/BFK",$H37&gt;0,$K37&gt;0),$X37,0)</f>
        <v>0</v>
      </c>
      <c r="AT37" s="1005">
        <f>IF(AND($G37="PK/BK",$H37&gt;0,$K37&gt;0),$X37,0)</f>
        <v>0</v>
      </c>
      <c r="AU37" s="998">
        <f>IF(AND($G37="PK/BK o.",$H37&gt;0,$K37&gt;0),$X37,0)</f>
        <v>0</v>
      </c>
      <c r="AV37" s="935"/>
      <c r="AW37" s="935"/>
      <c r="AX37" s="935"/>
      <c r="AY37" s="880"/>
      <c r="AZ37" s="894"/>
      <c r="BA37" s="894"/>
      <c r="BB37" s="894"/>
      <c r="BE37" s="373"/>
      <c r="BF37" s="891"/>
      <c r="BG37" s="373"/>
      <c r="BH37" s="887"/>
      <c r="BL37" s="608"/>
      <c r="BM37" s="2396"/>
    </row>
    <row r="38" spans="1:65" ht="15.75" x14ac:dyDescent="0.25">
      <c r="A38" s="1883"/>
      <c r="B38" s="1748"/>
      <c r="C38" s="1884"/>
      <c r="D38" s="1884"/>
      <c r="E38" s="1726">
        <f>IFERROR(D38/B38,0)</f>
        <v>0</v>
      </c>
      <c r="F38" s="1722"/>
      <c r="G38" s="1742"/>
      <c r="H38" s="1725"/>
      <c r="I38" s="1743"/>
      <c r="J38" s="1743"/>
      <c r="K38" s="1744"/>
      <c r="L38" s="1754">
        <f>IFERROR(IF($K$24="VK",K38,K38/H38),0)</f>
        <v>0</v>
      </c>
      <c r="M38" s="1735">
        <f>IFERROR(L38*H38,"")</f>
        <v>0</v>
      </c>
      <c r="N38" s="1730"/>
      <c r="O38" s="1730"/>
      <c r="P38" s="1730"/>
      <c r="Q38" s="1730"/>
      <c r="R38" s="1730"/>
      <c r="S38" s="1730"/>
      <c r="T38" s="1730"/>
      <c r="U38" s="1730"/>
      <c r="V38" s="1730"/>
      <c r="W38" s="1730"/>
      <c r="X38" s="1903">
        <f>IF(AND(H38&gt;0,F38&lt;&gt;"GfB"),(SUM(M38:P38,R38,V38,Q38)*12+(T38+U38))*(100+$P$17+$P$18)%+((S38+W38)*12),IF(AND(H38&gt;0,F38="GfB"),(SUM(M38:P38,R38,V38,Q38)*12+(T38+U38))*(100+$P$20+$P$18)%+((S38+W38)*12),0))</f>
        <v>0</v>
      </c>
      <c r="Y38" s="1733">
        <f>IF(ISERROR(X38/H38),0,(X38/H38))</f>
        <v>0</v>
      </c>
      <c r="Z38" s="528"/>
      <c r="AA38" s="1560">
        <f>(IF(AND($G38="PFK/BFK",$H38&gt;0,$K38&gt;0),($M38+$N38),0))</f>
        <v>0</v>
      </c>
      <c r="AB38" s="1561">
        <f>(IF(AND($G38="PFK/BFK",$H38&gt;0,$K38&gt;0),$O38,0))</f>
        <v>0</v>
      </c>
      <c r="AC38" s="1561">
        <f>(IF(AND($G38="PFK/BFK",$H38&gt;0,$K38&gt;0),($P38),0))</f>
        <v>0</v>
      </c>
      <c r="AD38" s="1561">
        <f>(IF(AND($G38="PFK/BFK",$H38&gt;0,$K38&gt;0),$Q38,0))</f>
        <v>0</v>
      </c>
      <c r="AE38" s="1561">
        <f>(IF(AND($G38="PFK/BFK",$H38&gt;0,$K38&gt;0),(($T38+$U38)/12),0))</f>
        <v>0</v>
      </c>
      <c r="AF38" s="1115">
        <f>(IF(AND($G38="PK/BK",$H38&gt;0,$K38&gt;0),($M38+$N38),0))</f>
        <v>0</v>
      </c>
      <c r="AG38" s="1116">
        <f>(IF(AND($G38="PK/BK",$H38&gt;0,$K38&gt;0),$O38,0))</f>
        <v>0</v>
      </c>
      <c r="AH38" s="1116">
        <f>(IF(AND($G38="PK/BK",$H38&gt;0,$K38&gt;0),$P38,0))</f>
        <v>0</v>
      </c>
      <c r="AI38" s="1116">
        <f>(IF(AND($G38="PK/BK",$H38&gt;0,$K38&gt;0),$Q38,0))</f>
        <v>0</v>
      </c>
      <c r="AJ38" s="1116">
        <f>(IF(AND($G38="PK/BK",$H38&gt;0,$K38&gt;0),(($T38+$U38)/12),0))</f>
        <v>0</v>
      </c>
      <c r="AK38" s="1564">
        <f>(IF(AND($G38="PK/BK o.",$H38&gt;0,$K38&gt;0),($M38+$N38),0))</f>
        <v>0</v>
      </c>
      <c r="AL38" s="1565">
        <f>(IF(AND($G38="PK/BK o.",$H38&gt;0,$K38&gt;0),$O38,0))</f>
        <v>0</v>
      </c>
      <c r="AM38" s="1565">
        <f>(IF(AND($G38="PK/BK o.",$H38&gt;0,$K38&gt;0),$P38,0))</f>
        <v>0</v>
      </c>
      <c r="AN38" s="1565">
        <f>(IF(AND($G38="PK/BK o.",$H38&gt;0,$K38&gt;0),$Q38,0))</f>
        <v>0</v>
      </c>
      <c r="AO38" s="1565">
        <f>(IF(AND($G38="PK/BK o.",$H38&gt;0,$K38&gt;0),(($T38+$U38)/12),0))</f>
        <v>0</v>
      </c>
      <c r="AP38" s="1420">
        <f>IF(AND($G38="PFK/BFK",$H38&gt;0,$K38&gt;0),$H38,0)</f>
        <v>0</v>
      </c>
      <c r="AQ38" s="1443">
        <f>IF(AND($G38="PK/BK",$H38&gt;0,$K38&gt;0),$H38,0)</f>
        <v>0</v>
      </c>
      <c r="AR38" s="1449">
        <f>IF(AND($G38="PK/BK o.",$H38&gt;0,$K38&gt;0),$H38,0)</f>
        <v>0</v>
      </c>
      <c r="AS38" s="986">
        <f>IF(AND($G38="PFK/BFK",$H38&gt;0,$K38&gt;0),$X38,0)</f>
        <v>0</v>
      </c>
      <c r="AT38" s="1005">
        <f>IF(AND($G38="PK/BK",$H38&gt;0,$K38&gt;0),$X38,0)</f>
        <v>0</v>
      </c>
      <c r="AU38" s="998">
        <f>IF(AND($G38="PK/BK o.",$H38&gt;0,$K38&gt;0),$X38,0)</f>
        <v>0</v>
      </c>
      <c r="AV38" s="935"/>
      <c r="AW38" s="935"/>
      <c r="AX38" s="935"/>
      <c r="BE38" s="373"/>
      <c r="BF38" s="373"/>
      <c r="BG38" s="323"/>
      <c r="BH38" s="323"/>
      <c r="BJ38" s="880"/>
      <c r="BK38" s="880"/>
      <c r="BL38" s="604"/>
      <c r="BM38" s="2396"/>
    </row>
    <row r="39" spans="1:65" ht="16.5" thickBot="1" x14ac:dyDescent="0.3">
      <c r="A39" s="1886"/>
      <c r="B39" s="1748"/>
      <c r="C39" s="1884"/>
      <c r="D39" s="1884"/>
      <c r="E39" s="1726">
        <f>IFERROR(D39/B39,0)</f>
        <v>0</v>
      </c>
      <c r="F39" s="1722"/>
      <c r="G39" s="1742"/>
      <c r="H39" s="1725"/>
      <c r="I39" s="1743"/>
      <c r="J39" s="1743"/>
      <c r="K39" s="1744"/>
      <c r="L39" s="1754">
        <f>IFERROR(IF($K$24="VK",K39,K39/H39),0)</f>
        <v>0</v>
      </c>
      <c r="M39" s="1735">
        <f>IFERROR(L39*H39,"")</f>
        <v>0</v>
      </c>
      <c r="N39" s="1730"/>
      <c r="O39" s="1730"/>
      <c r="P39" s="1730"/>
      <c r="Q39" s="1730"/>
      <c r="R39" s="1730"/>
      <c r="S39" s="1730"/>
      <c r="T39" s="1730"/>
      <c r="U39" s="1730"/>
      <c r="V39" s="1730"/>
      <c r="W39" s="1730"/>
      <c r="X39" s="1903">
        <f>IF(AND(H39&gt;0,F39&lt;&gt;"GfB"),(SUM(M39:P39,R39,V39,Q39)*12+(T39+U39))*(100+$P$17+$P$18)%+((S39+W39)*12),IF(AND(H39&gt;0,F39="GfB"),(SUM(M39:P39,R39,V39,Q39)*12+(T39+U39))*(100+$P$20+$P$18)%+((S39+W39)*12),0))</f>
        <v>0</v>
      </c>
      <c r="Y39" s="1733">
        <f>IF(ISERROR(X39/H39),0,(X39/H39))</f>
        <v>0</v>
      </c>
      <c r="Z39" s="528"/>
      <c r="AA39" s="1560">
        <f>(IF(AND($G39="PFK/BFK",$H39&gt;0,$K39&gt;0),($M39+$N39),0))</f>
        <v>0</v>
      </c>
      <c r="AB39" s="1561">
        <f>(IF(AND($G39="PFK/BFK",$H39&gt;0,$K39&gt;0),$O39,0))</f>
        <v>0</v>
      </c>
      <c r="AC39" s="1561">
        <f>(IF(AND($G39="PFK/BFK",$H39&gt;0,$K39&gt;0),($P39),0))</f>
        <v>0</v>
      </c>
      <c r="AD39" s="1561">
        <f>(IF(AND($G39="PFK/BFK",$H39&gt;0,$K39&gt;0),$Q39,0))</f>
        <v>0</v>
      </c>
      <c r="AE39" s="1561">
        <f>(IF(AND($G39="PFK/BFK",$H39&gt;0,$K39&gt;0),(($T39+$U39)/12),0))</f>
        <v>0</v>
      </c>
      <c r="AF39" s="1115">
        <f>(IF(AND($G39="PK/BK",$H39&gt;0,$K39&gt;0),($M39+$N39),0))</f>
        <v>0</v>
      </c>
      <c r="AG39" s="1116">
        <f>(IF(AND($G39="PK/BK",$H39&gt;0,$K39&gt;0),$O39,0))</f>
        <v>0</v>
      </c>
      <c r="AH39" s="1116">
        <f>(IF(AND($G39="PK/BK",$H39&gt;0,$K39&gt;0),$P39,0))</f>
        <v>0</v>
      </c>
      <c r="AI39" s="1116">
        <f>(IF(AND($G39="PK/BK",$H39&gt;0,$K39&gt;0),$Q39,0))</f>
        <v>0</v>
      </c>
      <c r="AJ39" s="1116">
        <f>(IF(AND($G39="PK/BK",$H39&gt;0,$K39&gt;0),(($T39+$U39)/12),0))</f>
        <v>0</v>
      </c>
      <c r="AK39" s="1564">
        <f>(IF(AND($G39="PK/BK o.",$H39&gt;0,$K39&gt;0),($M39+$N39),0))</f>
        <v>0</v>
      </c>
      <c r="AL39" s="1565">
        <f>(IF(AND($G39="PK/BK o.",$H39&gt;0,$K39&gt;0),$O39,0))</f>
        <v>0</v>
      </c>
      <c r="AM39" s="1565">
        <f>(IF(AND($G39="PK/BK o.",$H39&gt;0,$K39&gt;0),$P39,0))</f>
        <v>0</v>
      </c>
      <c r="AN39" s="1565">
        <f>(IF(AND($G39="PK/BK o.",$H39&gt;0,$K39&gt;0),$Q39,0))</f>
        <v>0</v>
      </c>
      <c r="AO39" s="1565">
        <f>(IF(AND($G39="PK/BK o.",$H39&gt;0,$K39&gt;0),(($T39+$U39)/12),0))</f>
        <v>0</v>
      </c>
      <c r="AP39" s="1420">
        <f>IF(AND($G39="PFK/BFK",$H39&gt;0,$K39&gt;0),$H39,0)</f>
        <v>0</v>
      </c>
      <c r="AQ39" s="1443">
        <f>IF(AND($G39="PK/BK",$H39&gt;0,$K39&gt;0),$H39,0)</f>
        <v>0</v>
      </c>
      <c r="AR39" s="1449">
        <f>IF(AND($G39="PK/BK o.",$H39&gt;0,$K39&gt;0),$H39,0)</f>
        <v>0</v>
      </c>
      <c r="AS39" s="986">
        <f>IF(AND($G39="PFK/BFK",$H39&gt;0,$K39&gt;0),$X39,0)</f>
        <v>0</v>
      </c>
      <c r="AT39" s="1005">
        <f>IF(AND($G39="PK/BK",$H39&gt;0,$K39&gt;0),$X39,0)</f>
        <v>0</v>
      </c>
      <c r="AU39" s="998">
        <f>IF(AND($G39="PK/BK o.",$H39&gt;0,$K39&gt;0),$X39,0)</f>
        <v>0</v>
      </c>
      <c r="AV39" s="935"/>
      <c r="AW39" s="935"/>
      <c r="AX39" s="935"/>
      <c r="BE39" s="373"/>
      <c r="BF39" s="373"/>
      <c r="BG39" s="323"/>
      <c r="BK39" s="880"/>
      <c r="BL39" s="604"/>
      <c r="BM39" s="2396"/>
    </row>
    <row r="40" spans="1:65" s="373" customFormat="1" ht="42" customHeight="1" thickBot="1" x14ac:dyDescent="0.3">
      <c r="A40" s="2307" t="s">
        <v>458</v>
      </c>
      <c r="B40" s="1736">
        <f>SUM(B37:B39)</f>
        <v>0</v>
      </c>
      <c r="C40" s="1737">
        <f>IFERROR(SUM(C37:C39)/B40,0)</f>
        <v>0</v>
      </c>
      <c r="D40" s="1738">
        <f>SUM(D37:D39)</f>
        <v>0</v>
      </c>
      <c r="E40" s="1739">
        <f>IFERROR(D40/B40,0)</f>
        <v>0</v>
      </c>
      <c r="F40" s="2468" t="s">
        <v>458</v>
      </c>
      <c r="G40" s="2469"/>
      <c r="H40" s="1757">
        <f>SUM(H37:H39)</f>
        <v>0</v>
      </c>
      <c r="I40" s="371"/>
      <c r="J40" s="371"/>
      <c r="K40" s="371"/>
      <c r="L40" s="371"/>
      <c r="M40" s="1758">
        <f>IFERROR(SUM(M37:M39)/H40,0)</f>
        <v>0</v>
      </c>
      <c r="N40" s="1758">
        <f>IFERROR(SUM(N37:N39)/H40,0)</f>
        <v>0</v>
      </c>
      <c r="O40" s="1758">
        <f>IFERROR(SUM(O37:O39)/H40,0)</f>
        <v>0</v>
      </c>
      <c r="P40" s="1758">
        <f>IFERROR(SUM(P37:P39)/H40,0)</f>
        <v>0</v>
      </c>
      <c r="Q40" s="1758">
        <f>IFERROR(SUM(Q37:Q39)/H40,0)</f>
        <v>0</v>
      </c>
      <c r="R40" s="1758">
        <f>IFERROR(SUM(R37:R39)/H40,0)</f>
        <v>0</v>
      </c>
      <c r="S40" s="1758">
        <f>IFERROR(SUM(S37:S39)/H40,0)</f>
        <v>0</v>
      </c>
      <c r="T40" s="1758">
        <f>IFERROR(SUM(T37:T39)/H40,0)</f>
        <v>0</v>
      </c>
      <c r="U40" s="1758">
        <f>IFERROR(SUM(U37:U39)/H40,0)</f>
        <v>0</v>
      </c>
      <c r="V40" s="1758">
        <f>IFERROR(SUM(V37:V39)/H40,0)</f>
        <v>0</v>
      </c>
      <c r="W40" s="1758">
        <f>IFERROR(SUM(W37:W39)/H40,0)</f>
        <v>0</v>
      </c>
      <c r="X40" s="1740">
        <f>SUM(X37:X39)</f>
        <v>0</v>
      </c>
      <c r="Y40" s="429">
        <f>IFERROR(SUM(X40/H40),0)</f>
        <v>0</v>
      </c>
      <c r="Z40" s="822"/>
      <c r="AA40" s="823"/>
      <c r="AB40" s="822"/>
      <c r="AC40" s="823"/>
      <c r="AD40" s="823"/>
      <c r="AE40" s="823"/>
      <c r="AF40" s="822"/>
      <c r="AG40" s="822"/>
      <c r="AH40" s="823"/>
      <c r="AI40" s="823"/>
      <c r="AJ40" s="823"/>
      <c r="AK40" s="822"/>
      <c r="AL40" s="822"/>
      <c r="AM40" s="823"/>
      <c r="AN40" s="823"/>
      <c r="AO40" s="823"/>
      <c r="AP40" s="1419"/>
      <c r="AQ40" s="1419"/>
      <c r="AR40" s="1419"/>
      <c r="AS40" s="985"/>
      <c r="AT40" s="1004"/>
      <c r="AU40" s="967"/>
      <c r="AV40" s="935"/>
      <c r="AW40" s="935"/>
      <c r="AX40" s="935"/>
      <c r="AY40" s="880"/>
      <c r="BL40" s="824"/>
      <c r="BM40" s="2396"/>
    </row>
    <row r="41" spans="1:65" s="373" customFormat="1" ht="13.15" customHeight="1" x14ac:dyDescent="0.25">
      <c r="B41" s="1393"/>
      <c r="C41" s="816"/>
      <c r="D41" s="816"/>
      <c r="E41" s="816"/>
      <c r="F41" s="825"/>
      <c r="G41" s="720"/>
      <c r="H41" s="870" t="str">
        <f>IF(H40&gt;AD8,"Max. Stellenumfang gemäß Rahmenvertrag für QM angeben (bis zu 0,5000 VK).","")</f>
        <v/>
      </c>
      <c r="I41" s="720"/>
      <c r="J41" s="720"/>
      <c r="K41" s="720"/>
      <c r="L41" s="720"/>
      <c r="M41" s="818"/>
      <c r="N41" s="818"/>
      <c r="O41" s="819"/>
      <c r="P41" s="818"/>
      <c r="Q41" s="820"/>
      <c r="R41" s="818"/>
      <c r="S41" s="818"/>
      <c r="T41" s="818"/>
      <c r="U41" s="818"/>
      <c r="V41" s="818"/>
      <c r="W41" s="818"/>
      <c r="X41" s="720"/>
      <c r="Y41" s="821"/>
      <c r="Z41" s="822"/>
      <c r="AA41" s="823"/>
      <c r="AB41" s="822"/>
      <c r="AC41" s="823"/>
      <c r="AD41" s="823"/>
      <c r="AE41" s="823"/>
      <c r="AF41" s="822"/>
      <c r="AG41" s="822"/>
      <c r="AH41" s="823"/>
      <c r="AI41" s="823"/>
      <c r="AJ41" s="823"/>
      <c r="AK41" s="822"/>
      <c r="AL41" s="822"/>
      <c r="AM41" s="823"/>
      <c r="AN41" s="823"/>
      <c r="AO41" s="823"/>
      <c r="AP41" s="1419"/>
      <c r="AQ41" s="1419"/>
      <c r="AR41" s="1419"/>
      <c r="AS41" s="985"/>
      <c r="AT41" s="1004"/>
      <c r="AU41" s="967"/>
      <c r="AV41" s="935"/>
      <c r="AW41" s="935"/>
      <c r="AX41" s="935"/>
      <c r="AY41" s="880"/>
      <c r="AZ41" s="880"/>
      <c r="BA41" s="880"/>
      <c r="BB41" s="880"/>
      <c r="BC41" s="880"/>
      <c r="BL41" s="824"/>
      <c r="BM41" s="2396"/>
    </row>
    <row r="42" spans="1:65" s="373" customFormat="1" ht="13.15" customHeight="1" thickBot="1" x14ac:dyDescent="0.3">
      <c r="A42" s="858" t="s">
        <v>459</v>
      </c>
      <c r="B42" s="859"/>
      <c r="C42" s="859"/>
      <c r="D42" s="859"/>
      <c r="E42" s="859"/>
      <c r="F42" s="858" t="s">
        <v>459</v>
      </c>
      <c r="G42" s="861"/>
      <c r="H42" s="861"/>
      <c r="I42" s="861"/>
      <c r="J42" s="861"/>
      <c r="K42" s="861"/>
      <c r="L42" s="861"/>
      <c r="M42" s="862"/>
      <c r="N42" s="862"/>
      <c r="O42" s="863"/>
      <c r="P42" s="862"/>
      <c r="Q42" s="864"/>
      <c r="R42" s="862"/>
      <c r="S42" s="862"/>
      <c r="T42" s="862"/>
      <c r="U42" s="862"/>
      <c r="V42" s="862"/>
      <c r="W42" s="862"/>
      <c r="X42" s="861"/>
      <c r="Y42" s="865"/>
      <c r="Z42" s="822"/>
      <c r="AA42" s="823"/>
      <c r="AB42" s="822"/>
      <c r="AC42" s="823"/>
      <c r="AD42" s="823"/>
      <c r="AE42" s="823"/>
      <c r="AF42" s="822"/>
      <c r="AG42" s="822"/>
      <c r="AH42" s="823"/>
      <c r="AI42" s="823"/>
      <c r="AJ42" s="823"/>
      <c r="AK42" s="822"/>
      <c r="AL42" s="822"/>
      <c r="AM42" s="823"/>
      <c r="AN42" s="823"/>
      <c r="AO42" s="823"/>
      <c r="AP42" s="1419"/>
      <c r="AQ42" s="1419"/>
      <c r="AR42" s="1419"/>
      <c r="AS42" s="985"/>
      <c r="AT42" s="1004"/>
      <c r="AU42" s="967"/>
      <c r="AV42" s="935"/>
      <c r="AW42" s="935"/>
      <c r="AX42" s="935"/>
      <c r="AY42" s="880"/>
      <c r="BA42" s="2504"/>
      <c r="BC42" s="880"/>
      <c r="BL42" s="824"/>
      <c r="BM42" s="2396"/>
    </row>
    <row r="43" spans="1:65" ht="15.75" x14ac:dyDescent="0.25">
      <c r="A43" s="1880"/>
      <c r="B43" s="1881"/>
      <c r="C43" s="1882"/>
      <c r="D43" s="1882"/>
      <c r="E43" s="1751">
        <f>IFERROR(D43/B43,0)</f>
        <v>0</v>
      </c>
      <c r="F43" s="1752"/>
      <c r="G43" s="1742"/>
      <c r="H43" s="1750"/>
      <c r="I43" s="1742"/>
      <c r="J43" s="1742"/>
      <c r="K43" s="1753"/>
      <c r="L43" s="1734">
        <f>IFERROR(IF($K$24="VK",K43,K43/H43),0)</f>
        <v>0</v>
      </c>
      <c r="M43" s="1755">
        <f>IFERROR(L43*H43,"")</f>
        <v>0</v>
      </c>
      <c r="N43" s="1746"/>
      <c r="O43" s="1746"/>
      <c r="P43" s="1746"/>
      <c r="Q43" s="1746"/>
      <c r="R43" s="1746"/>
      <c r="S43" s="1746"/>
      <c r="T43" s="1746"/>
      <c r="U43" s="1746"/>
      <c r="V43" s="1746"/>
      <c r="W43" s="1746"/>
      <c r="X43" s="1903">
        <f>IF(AND(H43&gt;0,F43&lt;&gt;"GfB"),(SUM(M43:P43,R43,V43,Q43)*12+(T43+U43))*(100+$P$17+$P$18)%+((S43+W43)*12),IF(AND(H43&gt;0,F43="GfB"),(SUM(M43:P43,R43,V43,Q43)*12+(T43+U43))*(100+$P$20+$P$18)%+((S43+W43)*12),0))</f>
        <v>0</v>
      </c>
      <c r="Y43" s="1733">
        <f>IF(ISERROR(X43/H43),0,(X43/H43))</f>
        <v>0</v>
      </c>
      <c r="Z43" s="528"/>
      <c r="AA43" s="1560">
        <f>(IF(AND($G43="PFK/BFK",$H43&gt;0,$K43&gt;0),($M43+$N43),0))</f>
        <v>0</v>
      </c>
      <c r="AB43" s="1561">
        <f>(IF(AND($G43="PFK/BFK",$H43&gt;0,$K43&gt;0),$O43,0))</f>
        <v>0</v>
      </c>
      <c r="AC43" s="1561">
        <f>(IF(AND($G43="PFK/BFK",$H43&gt;0,$K43&gt;0),($P43),0))</f>
        <v>0</v>
      </c>
      <c r="AD43" s="1561">
        <f>(IF(AND($G43="PFK/BFK",$H43&gt;0,$K43&gt;0),$Q43,0))</f>
        <v>0</v>
      </c>
      <c r="AE43" s="1561">
        <f>(IF(AND($G43="PFK/BFK",$H43&gt;0,$K43&gt;0),(($T43+$U43)/12),0))</f>
        <v>0</v>
      </c>
      <c r="AF43" s="1115">
        <f>(IF(AND($G43="PK/BK",$H43&gt;0,$K43&gt;0),($M43+$N43),0))</f>
        <v>0</v>
      </c>
      <c r="AG43" s="1116">
        <f>(IF(AND($G43="PK/BK",$H43&gt;0,$K43&gt;0),$O43,0))</f>
        <v>0</v>
      </c>
      <c r="AH43" s="1116">
        <f>(IF(AND($G43="PK/BK",$H43&gt;0,$K43&gt;0),$P43,0))</f>
        <v>0</v>
      </c>
      <c r="AI43" s="1116">
        <f>(IF(AND($G43="PK/BK",$H43&gt;0,$K43&gt;0),$Q43,0))</f>
        <v>0</v>
      </c>
      <c r="AJ43" s="1116">
        <f>(IF(AND($G43="PK/BK",$H43&gt;0,$K43&gt;0),(($T43+$U43)/12),0))</f>
        <v>0</v>
      </c>
      <c r="AK43" s="1564">
        <f>(IF(AND($G43="PK/BK o.",$H43&gt;0,$K43&gt;0),($M43+$N43),0))</f>
        <v>0</v>
      </c>
      <c r="AL43" s="1565">
        <f>(IF(AND($G43="PK/BK o.",$H43&gt;0,$K43&gt;0),$O43,0))</f>
        <v>0</v>
      </c>
      <c r="AM43" s="1565">
        <f>(IF(AND($G43="PK/BK o.",$H43&gt;0,$K43&gt;0),$P43,0))</f>
        <v>0</v>
      </c>
      <c r="AN43" s="1565">
        <f>(IF(AND($G43="PK/BK o.",$H43&gt;0,$K43&gt;0),$Q43,0))</f>
        <v>0</v>
      </c>
      <c r="AO43" s="1565">
        <f>(IF(AND($G43="PK/BK o.",$H43&gt;0,$K43&gt;0),(($T43+$U43)/12),0))</f>
        <v>0</v>
      </c>
      <c r="AP43" s="1420">
        <f>IF(AND($G43="PFK/BFK",$H43&gt;0,$K43&gt;0),$H43,0)</f>
        <v>0</v>
      </c>
      <c r="AQ43" s="1443">
        <f>IF(AND($G43="PK/BK",$H43&gt;0,$K43&gt;0),$H43,0)</f>
        <v>0</v>
      </c>
      <c r="AR43" s="1449">
        <f>IF(AND($G43="PK/BK o.",$H43&gt;0,$K43&gt;0),$H43,0)</f>
        <v>0</v>
      </c>
      <c r="AS43" s="986">
        <f>IF(AND($G43="PFK/BFK",$H43&gt;0,$K43&gt;0),$X43,0)</f>
        <v>0</v>
      </c>
      <c r="AT43" s="1005">
        <f>IF(AND($G43="PK/BK",$H43&gt;0,$K43&gt;0),$X43,0)</f>
        <v>0</v>
      </c>
      <c r="AU43" s="998">
        <f>IF(AND($G43="PK/BK o.",$H43&gt;0,$K43&gt;0),$X43,0)</f>
        <v>0</v>
      </c>
      <c r="AV43" s="935"/>
      <c r="AW43" s="935"/>
      <c r="AX43" s="935"/>
      <c r="AY43" s="880"/>
      <c r="BA43" s="2409"/>
      <c r="BC43" s="880"/>
      <c r="BL43" s="608"/>
      <c r="BM43" s="2396"/>
    </row>
    <row r="44" spans="1:65" ht="15.75" x14ac:dyDescent="0.25">
      <c r="A44" s="1883"/>
      <c r="B44" s="1748"/>
      <c r="C44" s="1884"/>
      <c r="D44" s="1884"/>
      <c r="E44" s="1726">
        <f>IFERROR(D44/B44,0)</f>
        <v>0</v>
      </c>
      <c r="F44" s="1722"/>
      <c r="G44" s="1742"/>
      <c r="H44" s="1725"/>
      <c r="I44" s="1743"/>
      <c r="J44" s="1743"/>
      <c r="K44" s="1744"/>
      <c r="L44" s="1734">
        <f>IFERROR(IF($K$24="VK",K44,K44/H44),0)</f>
        <v>0</v>
      </c>
      <c r="M44" s="1735">
        <f>IFERROR(L44*H44,"")</f>
        <v>0</v>
      </c>
      <c r="N44" s="1730"/>
      <c r="O44" s="1730"/>
      <c r="P44" s="1730"/>
      <c r="Q44" s="1730"/>
      <c r="R44" s="1730"/>
      <c r="S44" s="1730"/>
      <c r="T44" s="1730"/>
      <c r="U44" s="1730"/>
      <c r="V44" s="1730"/>
      <c r="W44" s="1730"/>
      <c r="X44" s="1903">
        <f>IF(AND(H44&gt;0,F44&lt;&gt;"GfB"),(SUM(M44:P44,R44,V44,Q44)*12+(T44+U44))*(100+$P$17+$P$18)%+((S44+W44)*12),IF(AND(H44&gt;0,F44="GfB"),(SUM(M44:P44,R44,V44,Q44)*12+(T44+U44))*(100+$P$20+$P$18)%+((S44+W44)*12),0))</f>
        <v>0</v>
      </c>
      <c r="Y44" s="1733">
        <f>IF(ISERROR(X44/H44),0,(X44/H44))</f>
        <v>0</v>
      </c>
      <c r="Z44" s="528"/>
      <c r="AA44" s="1560">
        <f>(IF(AND($G44="PFK/BFK",$H44&gt;0,$K44&gt;0),($M44+$N44),0))</f>
        <v>0</v>
      </c>
      <c r="AB44" s="1561">
        <f>(IF(AND($G44="PFK/BFK",$H44&gt;0,$K44&gt;0),$O44,0))</f>
        <v>0</v>
      </c>
      <c r="AC44" s="1561">
        <f>(IF(AND($G44="PFK/BFK",$H44&gt;0,$K44&gt;0),($P44),0))</f>
        <v>0</v>
      </c>
      <c r="AD44" s="1561">
        <f>(IF(AND($G44="PFK/BFK",$H44&gt;0,$K44&gt;0),$Q44,0))</f>
        <v>0</v>
      </c>
      <c r="AE44" s="1561">
        <f>(IF(AND($G44="PFK/BFK",$H44&gt;0,$K44&gt;0),(($T44+$U44)/12),0))</f>
        <v>0</v>
      </c>
      <c r="AF44" s="1115">
        <f>(IF(AND($G44="PK/BK",$H44&gt;0,$K44&gt;0),($M44+$N44),0))</f>
        <v>0</v>
      </c>
      <c r="AG44" s="1116">
        <f>(IF(AND($G44="PK/BK",$H44&gt;0,$K44&gt;0),$O44,0))</f>
        <v>0</v>
      </c>
      <c r="AH44" s="1116">
        <f>(IF(AND($G44="PK/BK",$H44&gt;0,$K44&gt;0),$P44,0))</f>
        <v>0</v>
      </c>
      <c r="AI44" s="1116">
        <f>(IF(AND($G44="PK/BK",$H44&gt;0,$K44&gt;0),$Q44,0))</f>
        <v>0</v>
      </c>
      <c r="AJ44" s="1116">
        <f>(IF(AND($G44="PK/BK",$H44&gt;0,$K44&gt;0),(($T44+$U44)/12),0))</f>
        <v>0</v>
      </c>
      <c r="AK44" s="1564">
        <f>(IF(AND($G44="PK/BK o.",$H44&gt;0,$K44&gt;0),($M44+$N44),0))</f>
        <v>0</v>
      </c>
      <c r="AL44" s="1565">
        <f>(IF(AND($G44="PK/BK o.",$H44&gt;0,$K44&gt;0),$O44,0))</f>
        <v>0</v>
      </c>
      <c r="AM44" s="1565">
        <f>(IF(AND($G44="PK/BK o.",$H44&gt;0,$K44&gt;0),$P44,0))</f>
        <v>0</v>
      </c>
      <c r="AN44" s="1565">
        <f>(IF(AND($G44="PK/BK o.",$H44&gt;0,$K44&gt;0),$Q44,0))</f>
        <v>0</v>
      </c>
      <c r="AO44" s="1565">
        <f>(IF(AND($G44="PK/BK o.",$H44&gt;0,$K44&gt;0),(($T44+$U44)/12),0))</f>
        <v>0</v>
      </c>
      <c r="AP44" s="1420">
        <f>IF(AND($G44="PFK/BFK",$H44&gt;0,$K44&gt;0),$H44,0)</f>
        <v>0</v>
      </c>
      <c r="AQ44" s="1443">
        <f>IF(AND($G44="PK/BK",$H44&gt;0,$K44&gt;0),$H44,0)</f>
        <v>0</v>
      </c>
      <c r="AR44" s="1449">
        <f>IF(AND($G44="PK/BK o.",$H44&gt;0,$K44&gt;0),$H44,0)</f>
        <v>0</v>
      </c>
      <c r="AS44" s="986">
        <f>IF(AND($G44="PFK/BFK",$H44&gt;0,$K44&gt;0),$X44,0)</f>
        <v>0</v>
      </c>
      <c r="AT44" s="1005">
        <f>IF(AND($G44="PK/BK",$H44&gt;0,$K44&gt;0),$X44,0)</f>
        <v>0</v>
      </c>
      <c r="AU44" s="998">
        <f>IF(AND($G44="PK/BK o.",$H44&gt;0,$K44&gt;0),$X44,0)</f>
        <v>0</v>
      </c>
      <c r="AV44" s="935"/>
      <c r="AW44" s="935"/>
      <c r="AX44" s="935"/>
      <c r="AY44" s="880"/>
      <c r="AZ44" s="880"/>
      <c r="BA44" s="880"/>
      <c r="BB44" s="895"/>
      <c r="BC44" s="880"/>
      <c r="BD44" s="722"/>
      <c r="BE44" s="706"/>
      <c r="BF44" s="706"/>
      <c r="BG44" s="694"/>
      <c r="BL44" s="604"/>
      <c r="BM44" s="2396"/>
    </row>
    <row r="45" spans="1:65" ht="16.5" thickBot="1" x14ac:dyDescent="0.3">
      <c r="A45" s="1886"/>
      <c r="B45" s="1748"/>
      <c r="C45" s="1884"/>
      <c r="D45" s="1884"/>
      <c r="E45" s="1726">
        <f>IFERROR(D45/B45,0)</f>
        <v>0</v>
      </c>
      <c r="F45" s="1722"/>
      <c r="G45" s="1742"/>
      <c r="H45" s="1725"/>
      <c r="I45" s="1743"/>
      <c r="J45" s="1743"/>
      <c r="K45" s="1744"/>
      <c r="L45" s="1734">
        <f>IFERROR(IF($K$24="VK",K45,K45/H45),0)</f>
        <v>0</v>
      </c>
      <c r="M45" s="1756">
        <f>IFERROR(L45*H45,"")</f>
        <v>0</v>
      </c>
      <c r="N45" s="1730"/>
      <c r="O45" s="1730"/>
      <c r="P45" s="1730"/>
      <c r="Q45" s="1730"/>
      <c r="R45" s="1730"/>
      <c r="S45" s="1730"/>
      <c r="T45" s="1730"/>
      <c r="U45" s="1730"/>
      <c r="V45" s="1730"/>
      <c r="W45" s="1730"/>
      <c r="X45" s="1903">
        <f>IF(AND(H45&gt;0,F45&lt;&gt;"GfB"),(SUM(M45:P45,R45,V45,Q45)*12+(T45+U45))*(100+$P$17+$P$18)%+((S45+W45)*12),IF(AND(H45&gt;0,F45="GfB"),(SUM(M45:P45,R45,V45,Q45)*12+(T45+U45))*(100+$P$20+$P$18)%+((S45+W45)*12),0))</f>
        <v>0</v>
      </c>
      <c r="Y45" s="1733">
        <f>IF(ISERROR(X45/H45),0,(X45/H45))</f>
        <v>0</v>
      </c>
      <c r="Z45" s="528"/>
      <c r="AA45" s="1560">
        <f>(IF(AND($G45="PFK/BFK",$H45&gt;0,$K45&gt;0),($M45+$N45),0))</f>
        <v>0</v>
      </c>
      <c r="AB45" s="1561">
        <f>(IF(AND($G45="PFK/BFK",$H45&gt;0,$K45&gt;0),$O45,0))</f>
        <v>0</v>
      </c>
      <c r="AC45" s="1561">
        <f>(IF(AND($G45="PFK/BFK",$H45&gt;0,$K45&gt;0),($P45),0))</f>
        <v>0</v>
      </c>
      <c r="AD45" s="1561">
        <f>(IF(AND($G45="PFK/BFK",$H45&gt;0,$K45&gt;0),$Q45,0))</f>
        <v>0</v>
      </c>
      <c r="AE45" s="1561">
        <f>(IF(AND($G45="PFK/BFK",$H45&gt;0,$K45&gt;0),(($T45+$U45)/12),0))</f>
        <v>0</v>
      </c>
      <c r="AF45" s="1115">
        <f>(IF(AND($G45="PK/BK",$H45&gt;0,$K45&gt;0),($M45+$N45),0))</f>
        <v>0</v>
      </c>
      <c r="AG45" s="1116">
        <f>(IF(AND($G45="PK/BK",$H45&gt;0,$K45&gt;0),$O45,0))</f>
        <v>0</v>
      </c>
      <c r="AH45" s="1116">
        <f>(IF(AND($G45="PK/BK",$H45&gt;0,$K45&gt;0),$P45,0))</f>
        <v>0</v>
      </c>
      <c r="AI45" s="1116">
        <f>(IF(AND($G45="PK/BK",$H45&gt;0,$K45&gt;0),$Q45,0))</f>
        <v>0</v>
      </c>
      <c r="AJ45" s="1116">
        <f>(IF(AND($G45="PK/BK",$H45&gt;0,$K45&gt;0),(($T45+$U45)/12),0))</f>
        <v>0</v>
      </c>
      <c r="AK45" s="1564">
        <f>(IF(AND($G45="PK/BK o.",$H45&gt;0,$K45&gt;0),($M45+$N45),0))</f>
        <v>0</v>
      </c>
      <c r="AL45" s="1565">
        <f>(IF(AND($G45="PK/BK o.",$H45&gt;0,$K45&gt;0),$O45,0))</f>
        <v>0</v>
      </c>
      <c r="AM45" s="1565">
        <f>(IF(AND($G45="PK/BK o.",$H45&gt;0,$K45&gt;0),$P45,0))</f>
        <v>0</v>
      </c>
      <c r="AN45" s="1565">
        <f>(IF(AND($G45="PK/BK o.",$H45&gt;0,$K45&gt;0),$Q45,0))</f>
        <v>0</v>
      </c>
      <c r="AO45" s="1565">
        <f>(IF(AND($G45="PK/BK o.",$H45&gt;0,$K45&gt;0),(($T45+$U45)/12),0))</f>
        <v>0</v>
      </c>
      <c r="AP45" s="1420">
        <f>IF(AND($G45="PFK/BFK",$H45&gt;0,$K45&gt;0),$H45,0)</f>
        <v>0</v>
      </c>
      <c r="AQ45" s="1443">
        <f>IF(AND($G45="PK/BK",$H45&gt;0,$K45&gt;0),$H45,0)</f>
        <v>0</v>
      </c>
      <c r="AR45" s="1449">
        <f>IF(AND($G45="PK/BK o.",$H45&gt;0,$K45&gt;0),$H45,0)</f>
        <v>0</v>
      </c>
      <c r="AS45" s="986">
        <f>IF(AND($G45="PFK/BFK",$H45&gt;0,$K45&gt;0),$X45,0)</f>
        <v>0</v>
      </c>
      <c r="AT45" s="1005">
        <f>IF(AND($G45="PK/BK",$H45&gt;0,$K45&gt;0),$X45,0)</f>
        <v>0</v>
      </c>
      <c r="AU45" s="998">
        <f>IF(AND($G45="PK/BK o.",$H45&gt;0,$K45&gt;0),$X45,0)</f>
        <v>0</v>
      </c>
      <c r="AV45" s="935"/>
      <c r="AW45" s="935"/>
      <c r="AX45" s="935"/>
      <c r="AY45" s="880"/>
      <c r="AZ45" s="323"/>
      <c r="BA45" s="2392"/>
      <c r="BB45" s="895"/>
      <c r="BC45" s="880"/>
      <c r="BE45" s="722"/>
      <c r="BF45" s="706"/>
      <c r="BG45" s="694"/>
      <c r="BL45" s="604"/>
      <c r="BM45" s="2396"/>
    </row>
    <row r="46" spans="1:65" s="373" customFormat="1" ht="42" customHeight="1" thickBot="1" x14ac:dyDescent="0.3">
      <c r="A46" s="2307" t="s">
        <v>460</v>
      </c>
      <c r="B46" s="1398">
        <f>SUM(B43:B45)</f>
        <v>0</v>
      </c>
      <c r="C46" s="672">
        <f>IFERROR(SUM(C43:C45)/B46,0)</f>
        <v>0</v>
      </c>
      <c r="D46" s="676">
        <f>SUM(D43:D45)</f>
        <v>0</v>
      </c>
      <c r="E46" s="675">
        <f>IFERROR(D46/B46,0)</f>
        <v>0</v>
      </c>
      <c r="F46" s="2468" t="s">
        <v>460</v>
      </c>
      <c r="G46" s="2469"/>
      <c r="H46" s="1399">
        <f>SUM(H43:H45)</f>
        <v>0</v>
      </c>
      <c r="I46" s="371"/>
      <c r="J46" s="371"/>
      <c r="K46" s="371"/>
      <c r="L46" s="371"/>
      <c r="M46" s="460">
        <f>IFERROR(SUM(M43:M45)/H46,0)</f>
        <v>0</v>
      </c>
      <c r="N46" s="460">
        <f>IFERROR(SUM(N43:N45)/H46,0)</f>
        <v>0</v>
      </c>
      <c r="O46" s="460">
        <f>IFERROR(SUM(O43:O45)/H46,0)</f>
        <v>0</v>
      </c>
      <c r="P46" s="460">
        <f>IFERROR(SUM(P43:P45)/H46,0)</f>
        <v>0</v>
      </c>
      <c r="Q46" s="460">
        <f>IFERROR(SUM(Q43:Q45)/H46,0)</f>
        <v>0</v>
      </c>
      <c r="R46" s="460">
        <f>IFERROR(SUM(R43:R45)/H46,0)</f>
        <v>0</v>
      </c>
      <c r="S46" s="460">
        <f>IFERROR(SUM(S43:S45)/H46,0)</f>
        <v>0</v>
      </c>
      <c r="T46" s="460">
        <f>IFERROR(SUM(T43:T45)/H46,0)</f>
        <v>0</v>
      </c>
      <c r="U46" s="460">
        <f>IFERROR(SUM(U43:U45)/H46,0)</f>
        <v>0</v>
      </c>
      <c r="V46" s="460">
        <f>IFERROR(SUM(V43:V45)/H46,0)</f>
        <v>0</v>
      </c>
      <c r="W46" s="460">
        <f>IFERROR(SUM(W43:W45)/H46,0)</f>
        <v>0</v>
      </c>
      <c r="X46" s="427">
        <f>SUM(X43:X45)</f>
        <v>0</v>
      </c>
      <c r="Y46" s="429">
        <f>IFERROR(SUM(X46/H46),0)</f>
        <v>0</v>
      </c>
      <c r="Z46" s="532"/>
      <c r="AA46" s="953"/>
      <c r="AB46" s="954"/>
      <c r="AC46" s="953"/>
      <c r="AD46" s="953"/>
      <c r="AE46" s="953"/>
      <c r="AF46" s="954"/>
      <c r="AG46" s="954"/>
      <c r="AH46" s="953"/>
      <c r="AI46" s="953"/>
      <c r="AJ46" s="953"/>
      <c r="AK46" s="954"/>
      <c r="AL46" s="954"/>
      <c r="AM46" s="953"/>
      <c r="AN46" s="953"/>
      <c r="AO46" s="953"/>
      <c r="AP46" s="1421"/>
      <c r="AQ46" s="1421"/>
      <c r="AR46" s="1421"/>
      <c r="AS46" s="955"/>
      <c r="AT46" s="956"/>
      <c r="AU46" s="957"/>
      <c r="AV46" s="935"/>
      <c r="AW46" s="935"/>
      <c r="AX46" s="935"/>
      <c r="AY46" s="880"/>
      <c r="AZ46" s="323"/>
      <c r="BA46" s="2392"/>
      <c r="BB46" s="895"/>
      <c r="BC46" s="880"/>
      <c r="BL46" s="824"/>
      <c r="BM46" s="2396"/>
    </row>
    <row r="47" spans="1:65" s="373" customFormat="1" ht="13.15" customHeight="1" x14ac:dyDescent="0.25">
      <c r="A47" s="816"/>
      <c r="B47" s="1393"/>
      <c r="C47" s="816"/>
      <c r="D47" s="816"/>
      <c r="E47" s="816"/>
      <c r="F47" s="817"/>
      <c r="G47" s="720"/>
      <c r="H47" s="870" t="str">
        <f>IF(H46&gt;AD9,"Max. Stellenumfang gemäß Rahmenvertrag für HM angeben (bis zu 0,2500 VK).","")</f>
        <v/>
      </c>
      <c r="I47" s="720"/>
      <c r="J47" s="720"/>
      <c r="K47" s="720"/>
      <c r="L47" s="720"/>
      <c r="M47" s="818"/>
      <c r="N47" s="818"/>
      <c r="O47" s="921"/>
      <c r="P47" s="818"/>
      <c r="Q47" s="820"/>
      <c r="R47" s="818"/>
      <c r="S47" s="818"/>
      <c r="T47" s="818"/>
      <c r="U47" s="818"/>
      <c r="V47" s="818"/>
      <c r="W47" s="818"/>
      <c r="X47" s="720"/>
      <c r="Y47" s="821"/>
      <c r="Z47" s="532"/>
      <c r="AA47" s="2498"/>
      <c r="AB47" s="2499"/>
      <c r="AC47" s="2499"/>
      <c r="AD47" s="2499"/>
      <c r="AE47" s="2499"/>
      <c r="AF47" s="2500"/>
      <c r="AG47" s="2501"/>
      <c r="AH47" s="2501"/>
      <c r="AI47" s="2501"/>
      <c r="AJ47" s="2501"/>
      <c r="AK47" s="2502"/>
      <c r="AL47" s="2503"/>
      <c r="AM47" s="2503"/>
      <c r="AN47" s="2503"/>
      <c r="AO47" s="2503"/>
      <c r="AP47" s="1422"/>
      <c r="AQ47" s="1444"/>
      <c r="AR47" s="1450"/>
      <c r="AS47" s="958"/>
      <c r="AT47" s="959"/>
      <c r="AU47" s="960"/>
      <c r="AV47" s="935"/>
      <c r="AW47" s="935"/>
      <c r="AX47" s="935"/>
      <c r="AY47" s="880"/>
      <c r="BL47" s="824"/>
      <c r="BM47" s="2396"/>
    </row>
    <row r="48" spans="1:65" s="373" customFormat="1" ht="13.15" customHeight="1" x14ac:dyDescent="0.25">
      <c r="A48" s="816"/>
      <c r="B48" s="816"/>
      <c r="C48" s="816"/>
      <c r="D48" s="816"/>
      <c r="E48" s="816"/>
      <c r="F48" s="817"/>
      <c r="G48" s="720"/>
      <c r="H48" s="720"/>
      <c r="I48" s="720"/>
      <c r="J48" s="720"/>
      <c r="K48" s="720"/>
      <c r="L48" s="720"/>
      <c r="M48" s="818"/>
      <c r="N48" s="818"/>
      <c r="O48" s="818"/>
      <c r="P48" s="818"/>
      <c r="Q48" s="820"/>
      <c r="R48" s="818"/>
      <c r="S48" s="818"/>
      <c r="T48" s="818"/>
      <c r="U48" s="818"/>
      <c r="V48" s="818"/>
      <c r="W48" s="818"/>
      <c r="X48" s="720"/>
      <c r="Y48" s="821"/>
      <c r="Z48" s="532"/>
      <c r="AA48" s="953"/>
      <c r="AB48" s="954"/>
      <c r="AC48" s="953"/>
      <c r="AD48" s="953"/>
      <c r="AE48" s="953"/>
      <c r="AF48" s="954"/>
      <c r="AG48" s="954"/>
      <c r="AH48" s="953"/>
      <c r="AI48" s="953"/>
      <c r="AJ48" s="953"/>
      <c r="AK48" s="954"/>
      <c r="AL48" s="954"/>
      <c r="AM48" s="953"/>
      <c r="AN48" s="953"/>
      <c r="AO48" s="953"/>
      <c r="AP48" s="1421"/>
      <c r="AQ48" s="1421"/>
      <c r="AR48" s="1421"/>
      <c r="AS48" s="955"/>
      <c r="AT48" s="956"/>
      <c r="AU48" s="957"/>
      <c r="AV48" s="935"/>
      <c r="AW48" s="935"/>
      <c r="AX48" s="935"/>
      <c r="AY48" s="880"/>
      <c r="AZ48" s="880"/>
      <c r="BB48" s="896"/>
      <c r="BL48" s="824"/>
      <c r="BM48" s="2396"/>
    </row>
    <row r="49" spans="1:65" s="373" customFormat="1" ht="15.75" customHeight="1" x14ac:dyDescent="0.25">
      <c r="A49" s="372" t="s">
        <v>461</v>
      </c>
      <c r="F49" s="871" t="s">
        <v>461</v>
      </c>
      <c r="G49" s="836"/>
      <c r="H49" s="836"/>
      <c r="I49" s="836"/>
      <c r="J49" s="836"/>
      <c r="K49" s="836"/>
      <c r="L49" s="836"/>
      <c r="M49" s="786"/>
      <c r="N49" s="786"/>
      <c r="O49" s="922"/>
      <c r="P49" s="786"/>
      <c r="Q49" s="786"/>
      <c r="R49" s="786"/>
      <c r="S49" s="786"/>
      <c r="T49" s="786"/>
      <c r="U49" s="787"/>
      <c r="V49" s="919"/>
      <c r="W49" s="919"/>
      <c r="X49" s="919"/>
      <c r="Y49" s="920"/>
      <c r="Z49" s="533"/>
      <c r="AA49" s="705"/>
      <c r="AB49" s="705"/>
      <c r="AC49" s="705"/>
      <c r="AD49" s="705"/>
      <c r="AE49" s="705"/>
      <c r="AF49" s="705"/>
      <c r="AG49" s="705"/>
      <c r="AH49" s="705"/>
      <c r="AI49" s="705"/>
      <c r="AJ49" s="705"/>
      <c r="AK49" s="705"/>
      <c r="AL49" s="705"/>
      <c r="AM49" s="705"/>
      <c r="AN49" s="705"/>
      <c r="AO49" s="705"/>
      <c r="AP49" s="1423"/>
      <c r="AQ49" s="1423"/>
      <c r="AR49" s="1423"/>
      <c r="AS49" s="987"/>
      <c r="AT49" s="1006"/>
      <c r="AU49" s="968"/>
      <c r="AV49" s="935"/>
      <c r="AW49" s="935"/>
      <c r="AX49" s="935"/>
      <c r="AY49" s="880"/>
      <c r="AZ49" s="880"/>
      <c r="BA49" s="880"/>
      <c r="BB49" s="895"/>
      <c r="BC49" s="880"/>
      <c r="BD49" s="722"/>
      <c r="BM49" s="2396"/>
    </row>
    <row r="50" spans="1:65" ht="18" customHeight="1" thickBot="1" x14ac:dyDescent="0.3">
      <c r="A50" s="780" t="s">
        <v>463</v>
      </c>
      <c r="B50" s="463"/>
      <c r="C50" s="463"/>
      <c r="D50" s="463"/>
      <c r="E50" s="464"/>
      <c r="F50" s="475" t="s">
        <v>462</v>
      </c>
      <c r="G50" s="781"/>
      <c r="H50" s="782"/>
      <c r="I50" s="782"/>
      <c r="J50" s="782"/>
      <c r="K50" s="783"/>
      <c r="L50" s="783"/>
      <c r="M50" s="782"/>
      <c r="N50" s="782"/>
      <c r="O50" s="782"/>
      <c r="P50" s="784"/>
      <c r="Q50" s="784"/>
      <c r="R50" s="784"/>
      <c r="S50" s="784"/>
      <c r="T50" s="784"/>
      <c r="U50" s="784"/>
      <c r="V50" s="784"/>
      <c r="W50" s="784"/>
      <c r="X50" s="784"/>
      <c r="Y50" s="785"/>
      <c r="Z50" s="534"/>
      <c r="AA50" s="712" t="s">
        <v>429</v>
      </c>
      <c r="AB50" s="712"/>
      <c r="AC50" s="712"/>
      <c r="AD50" s="712"/>
      <c r="AE50" s="712"/>
      <c r="AF50" s="936"/>
      <c r="AG50" s="936"/>
      <c r="AH50" s="936"/>
      <c r="AI50" s="936"/>
      <c r="AJ50" s="936"/>
      <c r="AK50" s="937"/>
      <c r="AL50" s="937"/>
      <c r="AM50" s="937"/>
      <c r="AN50" s="937"/>
      <c r="AO50" s="937"/>
      <c r="AP50" s="1424"/>
      <c r="AQ50" s="1445"/>
      <c r="AR50" s="1451"/>
      <c r="AS50" s="712"/>
      <c r="AT50" s="936"/>
      <c r="AU50" s="969"/>
      <c r="AV50" s="935"/>
      <c r="AW50" s="935"/>
      <c r="AX50" s="935"/>
      <c r="AY50" s="880"/>
      <c r="AZ50" s="323"/>
      <c r="BA50" s="2392"/>
      <c r="BB50" s="895"/>
      <c r="BC50" s="880"/>
      <c r="BL50" s="572"/>
      <c r="BM50" s="2396"/>
    </row>
    <row r="51" spans="1:65" ht="15.75" x14ac:dyDescent="0.25">
      <c r="A51" s="1880"/>
      <c r="B51" s="1881"/>
      <c r="C51" s="1882"/>
      <c r="D51" s="1882"/>
      <c r="E51" s="1751">
        <f>IFERROR(D51/B51,0)</f>
        <v>0</v>
      </c>
      <c r="F51" s="1950"/>
      <c r="G51" s="1742"/>
      <c r="H51" s="1750"/>
      <c r="I51" s="1742"/>
      <c r="J51" s="1742"/>
      <c r="K51" s="1753"/>
      <c r="L51" s="1754">
        <f>IFERROR(IF($K$24="VK",K51,K51/H51),0)</f>
        <v>0</v>
      </c>
      <c r="M51" s="1755">
        <f>IFERROR(L51*H51,"")</f>
        <v>0</v>
      </c>
      <c r="N51" s="1730"/>
      <c r="O51" s="1730"/>
      <c r="P51" s="1730"/>
      <c r="Q51" s="1730"/>
      <c r="R51" s="1730"/>
      <c r="S51" s="1730"/>
      <c r="T51" s="1730"/>
      <c r="U51" s="1730"/>
      <c r="V51" s="1730"/>
      <c r="W51" s="1746"/>
      <c r="X51" s="1903">
        <f t="shared" ref="X51:X114" si="5">IF(AND(H51&gt;0,F51&lt;&gt;"GfB"),(SUM(M51:P51,R51,V51,Q51)*12+(T51+U51))*(100+$P$17+$P$18)%+((S51+W51)*12),IF(AND(H51&gt;0,F51="GfB"),(SUM(M51:P51,R51,V51,Q51)*12+(T51+U51))*(100+$P$20+$P$18)%+((S51+W51)*12),0))</f>
        <v>0</v>
      </c>
      <c r="Y51" s="1733">
        <f>IF(ISERROR(X51/H51),0,(X51/H51))</f>
        <v>0</v>
      </c>
      <c r="Z51" s="528"/>
      <c r="AA51" s="1560">
        <f>IF(OR(G51="PDL",G51="stellv. PDL"),0,(IF(AND($H51&gt;0,$K51&gt;0),($M51+$N51),0)))</f>
        <v>0</v>
      </c>
      <c r="AB51" s="1561">
        <f>IF(OR(G51="PDL",G51="stellv. PDL"),0,(IF(AND($H51&gt;0,$K51&gt;0),$O51,0)))</f>
        <v>0</v>
      </c>
      <c r="AC51" s="1561">
        <f>IF(OR(G51="PDL",G51="stellv. PDL"),0,(IF(AND($H51&gt;0,$K51&gt;0),($P51),0)))</f>
        <v>0</v>
      </c>
      <c r="AD51" s="1561">
        <f>IF(OR(G51="PDL",G51="stellv. PDL"),0,(IF(AND($H51&gt;0,$K51&gt;0),$Q51,0)))</f>
        <v>0</v>
      </c>
      <c r="AE51" s="1585">
        <f>IF(OR(G51="PDL",G51="stellv. PDL"),0,(IF(AND($H51&gt;0,$K51&gt;0),(($T51+$U51)/12),0)))</f>
        <v>0</v>
      </c>
      <c r="AF51" s="1591"/>
      <c r="AG51" s="1592"/>
      <c r="AH51" s="1592"/>
      <c r="AI51" s="1592"/>
      <c r="AJ51" s="1592"/>
      <c r="AK51" s="1593"/>
      <c r="AL51" s="1594"/>
      <c r="AM51" s="1594"/>
      <c r="AN51" s="1594"/>
      <c r="AO51" s="1595"/>
      <c r="AP51" s="1586">
        <f>IF(OR(G51="PDL",G51="stellv. PDL"),0,IF(AND($H51&gt;0,$K51&gt;0),$H51,0))</f>
        <v>0</v>
      </c>
      <c r="AQ51" s="1579"/>
      <c r="AR51" s="1580"/>
      <c r="AS51" s="1638">
        <f>IF(OR(G51="PDL",G51="stellv. PDL"),0,IF(AND($H51&gt;0,$K51&gt;0),$X51,0))</f>
        <v>0</v>
      </c>
      <c r="AT51" s="1639"/>
      <c r="AU51" s="1640"/>
      <c r="AV51" s="935"/>
      <c r="AW51" s="935"/>
      <c r="AX51" s="935"/>
      <c r="AY51" s="880"/>
      <c r="AZ51" s="323"/>
      <c r="BA51" s="2392"/>
      <c r="BB51" s="895"/>
      <c r="BC51" s="880"/>
      <c r="BL51" s="608"/>
    </row>
    <row r="52" spans="1:65" ht="15.75" x14ac:dyDescent="0.25">
      <c r="A52" s="1883"/>
      <c r="B52" s="1748"/>
      <c r="C52" s="1884"/>
      <c r="D52" s="1884"/>
      <c r="E52" s="1726">
        <f t="shared" ref="E52:E115" si="6">IFERROR(D52/B52,0)</f>
        <v>0</v>
      </c>
      <c r="F52" s="1722"/>
      <c r="G52" s="1742"/>
      <c r="H52" s="1725"/>
      <c r="I52" s="1743"/>
      <c r="J52" s="1743"/>
      <c r="K52" s="1744"/>
      <c r="L52" s="1734">
        <f>IFERROR(IF($K$24="VK",K52,K52/H52),0)</f>
        <v>0</v>
      </c>
      <c r="M52" s="1735">
        <f>IFERROR(L52*H52,"")</f>
        <v>0</v>
      </c>
      <c r="N52" s="1730"/>
      <c r="O52" s="1730"/>
      <c r="P52" s="1730"/>
      <c r="Q52" s="1730"/>
      <c r="R52" s="1730"/>
      <c r="S52" s="1730"/>
      <c r="T52" s="1730"/>
      <c r="U52" s="1730"/>
      <c r="V52" s="1730"/>
      <c r="W52" s="1730"/>
      <c r="X52" s="1903">
        <f t="shared" si="5"/>
        <v>0</v>
      </c>
      <c r="Y52" s="1733">
        <f>IF(ISERROR(X52/H52),0,(X52/H52))</f>
        <v>0</v>
      </c>
      <c r="Z52" s="528"/>
      <c r="AA52" s="1560">
        <f t="shared" ref="AA52:AA115" si="7">IF(OR(G52="PDL",G52="stellv. PDL"),0,(IF(AND($H52&gt;0,$K52&gt;0),($M52+$N52),0)))</f>
        <v>0</v>
      </c>
      <c r="AB52" s="1561">
        <f t="shared" ref="AB52:AB115" si="8">IF(OR(G52="PDL",G52="stellv. PDL"),0,(IF(AND($H52&gt;0,$K52&gt;0),$O52,0)))</f>
        <v>0</v>
      </c>
      <c r="AC52" s="1561">
        <f t="shared" ref="AC52:AC115" si="9">IF(OR(G52="PDL",G52="stellv. PDL"),0,(IF(AND($H52&gt;0,$K52&gt;0),($P52),0)))</f>
        <v>0</v>
      </c>
      <c r="AD52" s="1561">
        <f t="shared" ref="AD52:AD115" si="10">IF(OR(G52="PDL",G52="stellv. PDL"),0,(IF(AND($H52&gt;0,$K52&gt;0),$Q52,0)))</f>
        <v>0</v>
      </c>
      <c r="AE52" s="1585">
        <f t="shared" ref="AE52:AE115" si="11">IF(OR(G52="PDL",G52="stellv. PDL"),0,(IF(AND($H52&gt;0,$K52&gt;0),(($T52+$U52)/12),0)))</f>
        <v>0</v>
      </c>
      <c r="AF52" s="1596"/>
      <c r="AG52" s="1588"/>
      <c r="AH52" s="1588"/>
      <c r="AI52" s="1588"/>
      <c r="AJ52" s="1588"/>
      <c r="AK52" s="1589"/>
      <c r="AL52" s="1590"/>
      <c r="AM52" s="1590"/>
      <c r="AN52" s="1590"/>
      <c r="AO52" s="1597"/>
      <c r="AP52" s="1586">
        <f t="shared" ref="AP52:AP115" si="12">IF(OR(G52="PDL",G52="stellv. PDL"),0,IF(AND($H52&gt;0,$K52&gt;0),$H52,0))</f>
        <v>0</v>
      </c>
      <c r="AQ52" s="1581"/>
      <c r="AR52" s="1582"/>
      <c r="AS52" s="1638">
        <f t="shared" ref="AS52:AS115" si="13">IF(OR(G52="PDL",G52="stellv. PDL"),0,IF(AND($H52&gt;0,$K52&gt;0),$X52,0))</f>
        <v>0</v>
      </c>
      <c r="AT52" s="1641"/>
      <c r="AU52" s="1642"/>
      <c r="AV52" s="935"/>
      <c r="AW52" s="935"/>
      <c r="AX52" s="935"/>
      <c r="BL52" s="604"/>
    </row>
    <row r="53" spans="1:65" ht="15.75" x14ac:dyDescent="0.25">
      <c r="A53" s="1883"/>
      <c r="B53" s="1748"/>
      <c r="C53" s="1884"/>
      <c r="D53" s="1884"/>
      <c r="E53" s="1726">
        <f t="shared" si="6"/>
        <v>0</v>
      </c>
      <c r="F53" s="1722"/>
      <c r="G53" s="1742"/>
      <c r="H53" s="1725"/>
      <c r="I53" s="1743"/>
      <c r="J53" s="1743"/>
      <c r="K53" s="1744"/>
      <c r="L53" s="1734">
        <f t="shared" ref="L53:L116" si="14">IFERROR(IF($K$24="VK",K53,K53/H53),0)</f>
        <v>0</v>
      </c>
      <c r="M53" s="1735">
        <f t="shared" ref="M53:M116" si="15">IFERROR(L53*H53,"")</f>
        <v>0</v>
      </c>
      <c r="N53" s="1730"/>
      <c r="O53" s="1730"/>
      <c r="P53" s="1730"/>
      <c r="Q53" s="1730"/>
      <c r="R53" s="1730"/>
      <c r="S53" s="1730"/>
      <c r="T53" s="1730"/>
      <c r="U53" s="1730"/>
      <c r="V53" s="1730"/>
      <c r="W53" s="1730"/>
      <c r="X53" s="1903">
        <f t="shared" si="5"/>
        <v>0</v>
      </c>
      <c r="Y53" s="1733">
        <f t="shared" ref="Y53:Y116" si="16">IF(ISERROR(X53/H53),0,(X53/H53))</f>
        <v>0</v>
      </c>
      <c r="Z53" s="528"/>
      <c r="AA53" s="1560">
        <f t="shared" si="7"/>
        <v>0</v>
      </c>
      <c r="AB53" s="1561">
        <f t="shared" si="8"/>
        <v>0</v>
      </c>
      <c r="AC53" s="1561">
        <f t="shared" si="9"/>
        <v>0</v>
      </c>
      <c r="AD53" s="1561">
        <f t="shared" si="10"/>
        <v>0</v>
      </c>
      <c r="AE53" s="1585">
        <f t="shared" si="11"/>
        <v>0</v>
      </c>
      <c r="AF53" s="1596"/>
      <c r="AG53" s="1588"/>
      <c r="AH53" s="1588"/>
      <c r="AI53" s="1588"/>
      <c r="AJ53" s="1588"/>
      <c r="AK53" s="1589"/>
      <c r="AL53" s="1590"/>
      <c r="AM53" s="1590"/>
      <c r="AN53" s="1590"/>
      <c r="AO53" s="1597"/>
      <c r="AP53" s="1586">
        <f t="shared" si="12"/>
        <v>0</v>
      </c>
      <c r="AQ53" s="1581"/>
      <c r="AR53" s="1582"/>
      <c r="AS53" s="1638">
        <f t="shared" si="13"/>
        <v>0</v>
      </c>
      <c r="AT53" s="1641"/>
      <c r="AU53" s="1642"/>
      <c r="AV53" s="935"/>
      <c r="AW53" s="935"/>
      <c r="AX53" s="935"/>
    </row>
    <row r="54" spans="1:65" ht="15.75" x14ac:dyDescent="0.25">
      <c r="A54" s="1883"/>
      <c r="B54" s="1748"/>
      <c r="C54" s="1884"/>
      <c r="D54" s="1884"/>
      <c r="E54" s="1726">
        <f t="shared" si="6"/>
        <v>0</v>
      </c>
      <c r="F54" s="1722"/>
      <c r="G54" s="1742"/>
      <c r="H54" s="1725"/>
      <c r="I54" s="1743"/>
      <c r="J54" s="1743"/>
      <c r="K54" s="1744"/>
      <c r="L54" s="1734">
        <f t="shared" si="14"/>
        <v>0</v>
      </c>
      <c r="M54" s="1735">
        <f t="shared" si="15"/>
        <v>0</v>
      </c>
      <c r="N54" s="1730"/>
      <c r="O54" s="1730"/>
      <c r="P54" s="1730"/>
      <c r="Q54" s="1730"/>
      <c r="R54" s="1730"/>
      <c r="S54" s="1730"/>
      <c r="T54" s="1730"/>
      <c r="U54" s="1730"/>
      <c r="V54" s="1730"/>
      <c r="W54" s="1730"/>
      <c r="X54" s="1903">
        <f t="shared" si="5"/>
        <v>0</v>
      </c>
      <c r="Y54" s="1733">
        <f t="shared" si="16"/>
        <v>0</v>
      </c>
      <c r="Z54" s="528"/>
      <c r="AA54" s="1560">
        <f t="shared" si="7"/>
        <v>0</v>
      </c>
      <c r="AB54" s="1561">
        <f t="shared" si="8"/>
        <v>0</v>
      </c>
      <c r="AC54" s="1561">
        <f t="shared" si="9"/>
        <v>0</v>
      </c>
      <c r="AD54" s="1561">
        <f t="shared" si="10"/>
        <v>0</v>
      </c>
      <c r="AE54" s="1585">
        <f t="shared" si="11"/>
        <v>0</v>
      </c>
      <c r="AF54" s="1596"/>
      <c r="AG54" s="1588"/>
      <c r="AH54" s="1588"/>
      <c r="AI54" s="1588"/>
      <c r="AJ54" s="1588"/>
      <c r="AK54" s="1589"/>
      <c r="AL54" s="1590"/>
      <c r="AM54" s="1590"/>
      <c r="AN54" s="1590"/>
      <c r="AO54" s="1597"/>
      <c r="AP54" s="1586">
        <f t="shared" si="12"/>
        <v>0</v>
      </c>
      <c r="AQ54" s="1581"/>
      <c r="AR54" s="1582"/>
      <c r="AS54" s="1638">
        <f t="shared" si="13"/>
        <v>0</v>
      </c>
      <c r="AT54" s="1641"/>
      <c r="AU54" s="1642"/>
      <c r="AV54" s="935"/>
      <c r="AW54" s="935"/>
      <c r="AX54" s="935"/>
      <c r="BB54" s="880"/>
      <c r="BD54" s="722"/>
      <c r="BE54" s="706"/>
      <c r="BF54" s="706"/>
      <c r="BG54" s="694"/>
      <c r="BL54" s="604"/>
    </row>
    <row r="55" spans="1:65" ht="15.75" x14ac:dyDescent="0.25">
      <c r="A55" s="1883"/>
      <c r="B55" s="1748"/>
      <c r="C55" s="1884"/>
      <c r="D55" s="1884"/>
      <c r="E55" s="1726">
        <f t="shared" si="6"/>
        <v>0</v>
      </c>
      <c r="F55" s="1722"/>
      <c r="G55" s="1742"/>
      <c r="H55" s="1725"/>
      <c r="I55" s="1743"/>
      <c r="J55" s="1743"/>
      <c r="K55" s="1744"/>
      <c r="L55" s="1734">
        <f t="shared" si="14"/>
        <v>0</v>
      </c>
      <c r="M55" s="1735">
        <f t="shared" si="15"/>
        <v>0</v>
      </c>
      <c r="N55" s="1730"/>
      <c r="O55" s="1730"/>
      <c r="P55" s="1730"/>
      <c r="Q55" s="1730"/>
      <c r="R55" s="1730"/>
      <c r="S55" s="1730"/>
      <c r="T55" s="1730"/>
      <c r="U55" s="1730"/>
      <c r="V55" s="1730"/>
      <c r="W55" s="1730"/>
      <c r="X55" s="1903">
        <f t="shared" si="5"/>
        <v>0</v>
      </c>
      <c r="Y55" s="1733">
        <f t="shared" si="16"/>
        <v>0</v>
      </c>
      <c r="Z55" s="528"/>
      <c r="AA55" s="1560">
        <f t="shared" si="7"/>
        <v>0</v>
      </c>
      <c r="AB55" s="1561">
        <f t="shared" si="8"/>
        <v>0</v>
      </c>
      <c r="AC55" s="1561">
        <f t="shared" si="9"/>
        <v>0</v>
      </c>
      <c r="AD55" s="1561">
        <f t="shared" si="10"/>
        <v>0</v>
      </c>
      <c r="AE55" s="1585">
        <f t="shared" si="11"/>
        <v>0</v>
      </c>
      <c r="AF55" s="1596"/>
      <c r="AG55" s="1588"/>
      <c r="AH55" s="1588"/>
      <c r="AI55" s="1588"/>
      <c r="AJ55" s="1588"/>
      <c r="AK55" s="1589"/>
      <c r="AL55" s="1590"/>
      <c r="AM55" s="1590"/>
      <c r="AN55" s="1590"/>
      <c r="AO55" s="1597"/>
      <c r="AP55" s="1586">
        <f t="shared" si="12"/>
        <v>0</v>
      </c>
      <c r="AQ55" s="1581"/>
      <c r="AR55" s="1582"/>
      <c r="AS55" s="1638">
        <f t="shared" si="13"/>
        <v>0</v>
      </c>
      <c r="AT55" s="1641"/>
      <c r="AU55" s="1642"/>
      <c r="AV55" s="935"/>
      <c r="AW55" s="935"/>
      <c r="AX55" s="935"/>
      <c r="AZ55" s="880"/>
      <c r="BD55" s="722"/>
      <c r="BE55" s="706"/>
      <c r="BF55" s="706"/>
      <c r="BG55" s="694"/>
      <c r="BL55" s="604"/>
    </row>
    <row r="56" spans="1:65" ht="15.75" x14ac:dyDescent="0.25">
      <c r="A56" s="1883"/>
      <c r="B56" s="1748"/>
      <c r="C56" s="1884"/>
      <c r="D56" s="1884"/>
      <c r="E56" s="1726">
        <f t="shared" si="6"/>
        <v>0</v>
      </c>
      <c r="F56" s="1722"/>
      <c r="G56" s="1742"/>
      <c r="H56" s="1725"/>
      <c r="I56" s="1743"/>
      <c r="J56" s="1743"/>
      <c r="K56" s="1744"/>
      <c r="L56" s="1734">
        <f t="shared" si="14"/>
        <v>0</v>
      </c>
      <c r="M56" s="1735">
        <f t="shared" si="15"/>
        <v>0</v>
      </c>
      <c r="N56" s="1730"/>
      <c r="O56" s="1730"/>
      <c r="P56" s="1730"/>
      <c r="Q56" s="1730"/>
      <c r="R56" s="1730"/>
      <c r="S56" s="1730"/>
      <c r="T56" s="1730"/>
      <c r="U56" s="1730"/>
      <c r="V56" s="1730"/>
      <c r="W56" s="1730"/>
      <c r="X56" s="1903">
        <f t="shared" si="5"/>
        <v>0</v>
      </c>
      <c r="Y56" s="1733">
        <f t="shared" si="16"/>
        <v>0</v>
      </c>
      <c r="Z56" s="528"/>
      <c r="AA56" s="1560">
        <f t="shared" si="7"/>
        <v>0</v>
      </c>
      <c r="AB56" s="1561">
        <f t="shared" si="8"/>
        <v>0</v>
      </c>
      <c r="AC56" s="1561">
        <f t="shared" si="9"/>
        <v>0</v>
      </c>
      <c r="AD56" s="1561">
        <f t="shared" si="10"/>
        <v>0</v>
      </c>
      <c r="AE56" s="1585">
        <f t="shared" si="11"/>
        <v>0</v>
      </c>
      <c r="AF56" s="1596"/>
      <c r="AG56" s="1588"/>
      <c r="AH56" s="1588"/>
      <c r="AI56" s="1588"/>
      <c r="AJ56" s="1588"/>
      <c r="AK56" s="1589"/>
      <c r="AL56" s="1590"/>
      <c r="AM56" s="1590"/>
      <c r="AN56" s="1590"/>
      <c r="AO56" s="1597"/>
      <c r="AP56" s="1586">
        <f t="shared" si="12"/>
        <v>0</v>
      </c>
      <c r="AQ56" s="1581"/>
      <c r="AR56" s="1582"/>
      <c r="AS56" s="1638">
        <f t="shared" si="13"/>
        <v>0</v>
      </c>
      <c r="AT56" s="1641"/>
      <c r="AU56" s="1642"/>
      <c r="AV56" s="935"/>
      <c r="AW56" s="935"/>
      <c r="AX56" s="935"/>
      <c r="BL56" s="604"/>
    </row>
    <row r="57" spans="1:65" ht="15" customHeight="1" x14ac:dyDescent="0.25">
      <c r="A57" s="1883"/>
      <c r="B57" s="1748"/>
      <c r="C57" s="1884"/>
      <c r="D57" s="1884"/>
      <c r="E57" s="1726">
        <f t="shared" si="6"/>
        <v>0</v>
      </c>
      <c r="F57" s="1722"/>
      <c r="G57" s="1742"/>
      <c r="H57" s="1725"/>
      <c r="I57" s="1743"/>
      <c r="J57" s="1743"/>
      <c r="K57" s="1744"/>
      <c r="L57" s="1734">
        <f t="shared" si="14"/>
        <v>0</v>
      </c>
      <c r="M57" s="1735">
        <f t="shared" si="15"/>
        <v>0</v>
      </c>
      <c r="N57" s="1730"/>
      <c r="O57" s="1730"/>
      <c r="P57" s="1730"/>
      <c r="Q57" s="1730"/>
      <c r="R57" s="1730"/>
      <c r="S57" s="1730"/>
      <c r="T57" s="1730"/>
      <c r="U57" s="1730"/>
      <c r="V57" s="1730"/>
      <c r="W57" s="1730"/>
      <c r="X57" s="1903">
        <f t="shared" si="5"/>
        <v>0</v>
      </c>
      <c r="Y57" s="1733">
        <f t="shared" si="16"/>
        <v>0</v>
      </c>
      <c r="Z57" s="528"/>
      <c r="AA57" s="1560">
        <f t="shared" si="7"/>
        <v>0</v>
      </c>
      <c r="AB57" s="1561">
        <f t="shared" si="8"/>
        <v>0</v>
      </c>
      <c r="AC57" s="1561">
        <f t="shared" si="9"/>
        <v>0</v>
      </c>
      <c r="AD57" s="1561">
        <f t="shared" si="10"/>
        <v>0</v>
      </c>
      <c r="AE57" s="1585">
        <f t="shared" si="11"/>
        <v>0</v>
      </c>
      <c r="AF57" s="1596"/>
      <c r="AG57" s="1588"/>
      <c r="AH57" s="1588"/>
      <c r="AI57" s="1588"/>
      <c r="AJ57" s="1588"/>
      <c r="AK57" s="1589"/>
      <c r="AL57" s="1590"/>
      <c r="AM57" s="1590"/>
      <c r="AN57" s="1590"/>
      <c r="AO57" s="1597"/>
      <c r="AP57" s="1586">
        <f t="shared" si="12"/>
        <v>0</v>
      </c>
      <c r="AQ57" s="1581"/>
      <c r="AR57" s="1582"/>
      <c r="AS57" s="1638">
        <f t="shared" si="13"/>
        <v>0</v>
      </c>
      <c r="AT57" s="1641"/>
      <c r="AU57" s="1642"/>
      <c r="AV57" s="935"/>
      <c r="AW57" s="935"/>
      <c r="AX57" s="935"/>
      <c r="BA57" s="880"/>
    </row>
    <row r="58" spans="1:65" ht="15.75" x14ac:dyDescent="0.25">
      <c r="A58" s="1883"/>
      <c r="B58" s="1748"/>
      <c r="C58" s="1884"/>
      <c r="D58" s="1884"/>
      <c r="E58" s="1726">
        <f t="shared" si="6"/>
        <v>0</v>
      </c>
      <c r="F58" s="1722"/>
      <c r="G58" s="1742"/>
      <c r="H58" s="1725"/>
      <c r="I58" s="1743"/>
      <c r="J58" s="1743"/>
      <c r="K58" s="1744"/>
      <c r="L58" s="1734">
        <f t="shared" si="14"/>
        <v>0</v>
      </c>
      <c r="M58" s="1735">
        <f t="shared" si="15"/>
        <v>0</v>
      </c>
      <c r="N58" s="1730"/>
      <c r="O58" s="1730"/>
      <c r="P58" s="1730"/>
      <c r="Q58" s="1730"/>
      <c r="R58" s="1730"/>
      <c r="S58" s="1730"/>
      <c r="T58" s="1730"/>
      <c r="U58" s="1730"/>
      <c r="V58" s="1730"/>
      <c r="W58" s="1730"/>
      <c r="X58" s="1903">
        <f t="shared" si="5"/>
        <v>0</v>
      </c>
      <c r="Y58" s="1733">
        <f t="shared" si="16"/>
        <v>0</v>
      </c>
      <c r="Z58" s="528"/>
      <c r="AA58" s="1560">
        <f t="shared" si="7"/>
        <v>0</v>
      </c>
      <c r="AB58" s="1561">
        <f t="shared" si="8"/>
        <v>0</v>
      </c>
      <c r="AC58" s="1561">
        <f t="shared" si="9"/>
        <v>0</v>
      </c>
      <c r="AD58" s="1561">
        <f t="shared" si="10"/>
        <v>0</v>
      </c>
      <c r="AE58" s="1585">
        <f t="shared" si="11"/>
        <v>0</v>
      </c>
      <c r="AF58" s="1596"/>
      <c r="AG58" s="1588"/>
      <c r="AH58" s="1588"/>
      <c r="AI58" s="1588"/>
      <c r="AJ58" s="1588"/>
      <c r="AK58" s="1589"/>
      <c r="AL58" s="1590"/>
      <c r="AM58" s="1590"/>
      <c r="AN58" s="1590"/>
      <c r="AO58" s="1597"/>
      <c r="AP58" s="1586">
        <f t="shared" si="12"/>
        <v>0</v>
      </c>
      <c r="AQ58" s="1581"/>
      <c r="AR58" s="1582"/>
      <c r="AS58" s="1638">
        <f t="shared" si="13"/>
        <v>0</v>
      </c>
      <c r="AT58" s="1641"/>
      <c r="AU58" s="1642"/>
      <c r="AV58" s="935"/>
      <c r="AW58" s="935"/>
      <c r="AX58" s="935"/>
      <c r="BL58" s="609"/>
    </row>
    <row r="59" spans="1:65" ht="15.75" x14ac:dyDescent="0.25">
      <c r="A59" s="1883"/>
      <c r="B59" s="1748"/>
      <c r="C59" s="1884"/>
      <c r="D59" s="1884"/>
      <c r="E59" s="1726">
        <f t="shared" si="6"/>
        <v>0</v>
      </c>
      <c r="F59" s="1722"/>
      <c r="G59" s="1742"/>
      <c r="H59" s="1725"/>
      <c r="I59" s="1743"/>
      <c r="J59" s="1743"/>
      <c r="K59" s="1744"/>
      <c r="L59" s="1734">
        <f t="shared" si="14"/>
        <v>0</v>
      </c>
      <c r="M59" s="1735">
        <f t="shared" si="15"/>
        <v>0</v>
      </c>
      <c r="N59" s="1730"/>
      <c r="O59" s="1730"/>
      <c r="P59" s="1730"/>
      <c r="Q59" s="1730"/>
      <c r="R59" s="1730"/>
      <c r="S59" s="1730"/>
      <c r="T59" s="1730"/>
      <c r="U59" s="1730"/>
      <c r="V59" s="1730"/>
      <c r="W59" s="1730"/>
      <c r="X59" s="1903">
        <f t="shared" si="5"/>
        <v>0</v>
      </c>
      <c r="Y59" s="1733">
        <f t="shared" si="16"/>
        <v>0</v>
      </c>
      <c r="Z59" s="528"/>
      <c r="AA59" s="1560">
        <f t="shared" si="7"/>
        <v>0</v>
      </c>
      <c r="AB59" s="1561">
        <f t="shared" si="8"/>
        <v>0</v>
      </c>
      <c r="AC59" s="1561">
        <f t="shared" si="9"/>
        <v>0</v>
      </c>
      <c r="AD59" s="1561">
        <f t="shared" si="10"/>
        <v>0</v>
      </c>
      <c r="AE59" s="1585">
        <f t="shared" si="11"/>
        <v>0</v>
      </c>
      <c r="AF59" s="1596"/>
      <c r="AG59" s="1588"/>
      <c r="AH59" s="1588"/>
      <c r="AI59" s="1588"/>
      <c r="AJ59" s="1588"/>
      <c r="AK59" s="1589"/>
      <c r="AL59" s="1590"/>
      <c r="AM59" s="1590"/>
      <c r="AN59" s="1590"/>
      <c r="AO59" s="1597"/>
      <c r="AP59" s="1586">
        <f t="shared" si="12"/>
        <v>0</v>
      </c>
      <c r="AQ59" s="1581"/>
      <c r="AR59" s="1582"/>
      <c r="AS59" s="1638">
        <f t="shared" si="13"/>
        <v>0</v>
      </c>
      <c r="AT59" s="1641"/>
      <c r="AU59" s="1642"/>
      <c r="AV59" s="935"/>
      <c r="AW59" s="935"/>
      <c r="AX59" s="935"/>
      <c r="BB59" s="880"/>
    </row>
    <row r="60" spans="1:65" ht="15.75" x14ac:dyDescent="0.25">
      <c r="A60" s="1883"/>
      <c r="B60" s="1748"/>
      <c r="C60" s="1884"/>
      <c r="D60" s="1884"/>
      <c r="E60" s="1726">
        <f t="shared" si="6"/>
        <v>0</v>
      </c>
      <c r="F60" s="1722"/>
      <c r="G60" s="1742"/>
      <c r="H60" s="1725"/>
      <c r="I60" s="1743"/>
      <c r="J60" s="1743"/>
      <c r="K60" s="1744"/>
      <c r="L60" s="1734">
        <f t="shared" si="14"/>
        <v>0</v>
      </c>
      <c r="M60" s="1735">
        <f t="shared" si="15"/>
        <v>0</v>
      </c>
      <c r="N60" s="1730"/>
      <c r="O60" s="1730"/>
      <c r="P60" s="1730"/>
      <c r="Q60" s="1730"/>
      <c r="R60" s="1730"/>
      <c r="S60" s="1730"/>
      <c r="T60" s="1730"/>
      <c r="U60" s="1730"/>
      <c r="V60" s="1730"/>
      <c r="W60" s="1730"/>
      <c r="X60" s="1903">
        <f t="shared" si="5"/>
        <v>0</v>
      </c>
      <c r="Y60" s="1733">
        <f t="shared" si="16"/>
        <v>0</v>
      </c>
      <c r="Z60" s="528"/>
      <c r="AA60" s="1560">
        <f t="shared" si="7"/>
        <v>0</v>
      </c>
      <c r="AB60" s="1561">
        <f t="shared" si="8"/>
        <v>0</v>
      </c>
      <c r="AC60" s="1561">
        <f t="shared" si="9"/>
        <v>0</v>
      </c>
      <c r="AD60" s="1561">
        <f t="shared" si="10"/>
        <v>0</v>
      </c>
      <c r="AE60" s="1585">
        <f t="shared" si="11"/>
        <v>0</v>
      </c>
      <c r="AF60" s="1596"/>
      <c r="AG60" s="1588"/>
      <c r="AH60" s="1588"/>
      <c r="AI60" s="1588"/>
      <c r="AJ60" s="1588"/>
      <c r="AK60" s="1589"/>
      <c r="AL60" s="1590"/>
      <c r="AM60" s="1590"/>
      <c r="AN60" s="1590"/>
      <c r="AO60" s="1597"/>
      <c r="AP60" s="1586">
        <f t="shared" si="12"/>
        <v>0</v>
      </c>
      <c r="AQ60" s="1581"/>
      <c r="AR60" s="1582"/>
      <c r="AS60" s="1638">
        <f t="shared" si="13"/>
        <v>0</v>
      </c>
      <c r="AT60" s="1641"/>
      <c r="AU60" s="1642"/>
      <c r="AV60" s="935"/>
      <c r="AW60" s="935"/>
      <c r="AX60" s="935"/>
    </row>
    <row r="61" spans="1:65" ht="15.75" x14ac:dyDescent="0.25">
      <c r="A61" s="1883"/>
      <c r="B61" s="1748"/>
      <c r="C61" s="1884"/>
      <c r="D61" s="1884"/>
      <c r="E61" s="1726">
        <f t="shared" si="6"/>
        <v>0</v>
      </c>
      <c r="F61" s="1722"/>
      <c r="G61" s="1742"/>
      <c r="H61" s="1725"/>
      <c r="I61" s="1743"/>
      <c r="J61" s="1743"/>
      <c r="K61" s="1744"/>
      <c r="L61" s="1734">
        <f t="shared" si="14"/>
        <v>0</v>
      </c>
      <c r="M61" s="1735">
        <f t="shared" si="15"/>
        <v>0</v>
      </c>
      <c r="N61" s="1730"/>
      <c r="O61" s="1730"/>
      <c r="P61" s="1730"/>
      <c r="Q61" s="1730"/>
      <c r="R61" s="1730"/>
      <c r="S61" s="1730"/>
      <c r="T61" s="1730"/>
      <c r="U61" s="1730"/>
      <c r="V61" s="1730"/>
      <c r="W61" s="1730"/>
      <c r="X61" s="1903">
        <f t="shared" si="5"/>
        <v>0</v>
      </c>
      <c r="Y61" s="1733">
        <f t="shared" si="16"/>
        <v>0</v>
      </c>
      <c r="Z61" s="528"/>
      <c r="AA61" s="1560">
        <f t="shared" si="7"/>
        <v>0</v>
      </c>
      <c r="AB61" s="1561">
        <f t="shared" si="8"/>
        <v>0</v>
      </c>
      <c r="AC61" s="1561">
        <f t="shared" si="9"/>
        <v>0</v>
      </c>
      <c r="AD61" s="1561">
        <f t="shared" si="10"/>
        <v>0</v>
      </c>
      <c r="AE61" s="1585">
        <f t="shared" si="11"/>
        <v>0</v>
      </c>
      <c r="AF61" s="1596"/>
      <c r="AG61" s="1588"/>
      <c r="AH61" s="1588"/>
      <c r="AI61" s="1588"/>
      <c r="AJ61" s="1588"/>
      <c r="AK61" s="1589"/>
      <c r="AL61" s="1590"/>
      <c r="AM61" s="1590"/>
      <c r="AN61" s="1590"/>
      <c r="AO61" s="1597"/>
      <c r="AP61" s="1586">
        <f t="shared" si="12"/>
        <v>0</v>
      </c>
      <c r="AQ61" s="1581"/>
      <c r="AR61" s="1582"/>
      <c r="AS61" s="1638">
        <f t="shared" si="13"/>
        <v>0</v>
      </c>
      <c r="AT61" s="1641"/>
      <c r="AU61" s="1642"/>
      <c r="AV61" s="935"/>
      <c r="AW61" s="935"/>
      <c r="AX61" s="935"/>
    </row>
    <row r="62" spans="1:65" ht="15.75" x14ac:dyDescent="0.25">
      <c r="A62" s="1883"/>
      <c r="B62" s="1748"/>
      <c r="C62" s="1884"/>
      <c r="D62" s="1884"/>
      <c r="E62" s="1726">
        <f t="shared" si="6"/>
        <v>0</v>
      </c>
      <c r="F62" s="1722"/>
      <c r="G62" s="1742"/>
      <c r="H62" s="1725"/>
      <c r="I62" s="1743"/>
      <c r="J62" s="1743"/>
      <c r="K62" s="1744"/>
      <c r="L62" s="1734">
        <f t="shared" si="14"/>
        <v>0</v>
      </c>
      <c r="M62" s="1735">
        <f t="shared" si="15"/>
        <v>0</v>
      </c>
      <c r="N62" s="1730"/>
      <c r="O62" s="1730"/>
      <c r="P62" s="1730"/>
      <c r="Q62" s="1730"/>
      <c r="R62" s="1730"/>
      <c r="S62" s="1730"/>
      <c r="T62" s="1730"/>
      <c r="U62" s="1730"/>
      <c r="V62" s="1730"/>
      <c r="W62" s="1730"/>
      <c r="X62" s="1903">
        <f t="shared" si="5"/>
        <v>0</v>
      </c>
      <c r="Y62" s="1733">
        <f t="shared" si="16"/>
        <v>0</v>
      </c>
      <c r="Z62" s="528"/>
      <c r="AA62" s="1560">
        <f t="shared" si="7"/>
        <v>0</v>
      </c>
      <c r="AB62" s="1561">
        <f t="shared" si="8"/>
        <v>0</v>
      </c>
      <c r="AC62" s="1561">
        <f t="shared" si="9"/>
        <v>0</v>
      </c>
      <c r="AD62" s="1561">
        <f t="shared" si="10"/>
        <v>0</v>
      </c>
      <c r="AE62" s="1585">
        <f t="shared" si="11"/>
        <v>0</v>
      </c>
      <c r="AF62" s="1596"/>
      <c r="AG62" s="1588"/>
      <c r="AH62" s="1588"/>
      <c r="AI62" s="1588"/>
      <c r="AJ62" s="1588"/>
      <c r="AK62" s="1589"/>
      <c r="AL62" s="1590"/>
      <c r="AM62" s="1590"/>
      <c r="AN62" s="1590"/>
      <c r="AO62" s="1597"/>
      <c r="AP62" s="1586">
        <f t="shared" si="12"/>
        <v>0</v>
      </c>
      <c r="AQ62" s="1581"/>
      <c r="AR62" s="1582"/>
      <c r="AS62" s="1638">
        <f t="shared" si="13"/>
        <v>0</v>
      </c>
      <c r="AT62" s="1641"/>
      <c r="AU62" s="1642"/>
      <c r="AV62" s="935"/>
      <c r="AW62" s="935"/>
      <c r="AX62" s="935"/>
    </row>
    <row r="63" spans="1:65" ht="15.75" x14ac:dyDescent="0.25">
      <c r="A63" s="1883"/>
      <c r="B63" s="1748"/>
      <c r="C63" s="1884"/>
      <c r="D63" s="1884"/>
      <c r="E63" s="1726">
        <f t="shared" si="6"/>
        <v>0</v>
      </c>
      <c r="F63" s="1722"/>
      <c r="G63" s="1742"/>
      <c r="H63" s="1725"/>
      <c r="I63" s="1743"/>
      <c r="J63" s="1743"/>
      <c r="K63" s="1744"/>
      <c r="L63" s="1734">
        <f t="shared" si="14"/>
        <v>0</v>
      </c>
      <c r="M63" s="1735">
        <f t="shared" si="15"/>
        <v>0</v>
      </c>
      <c r="N63" s="1730"/>
      <c r="O63" s="1730"/>
      <c r="P63" s="1730"/>
      <c r="Q63" s="1730"/>
      <c r="R63" s="1730"/>
      <c r="S63" s="1730"/>
      <c r="T63" s="1730"/>
      <c r="U63" s="1730"/>
      <c r="V63" s="1730"/>
      <c r="W63" s="1730"/>
      <c r="X63" s="1903">
        <f t="shared" si="5"/>
        <v>0</v>
      </c>
      <c r="Y63" s="1733">
        <f t="shared" si="16"/>
        <v>0</v>
      </c>
      <c r="Z63" s="528"/>
      <c r="AA63" s="1560">
        <f t="shared" si="7"/>
        <v>0</v>
      </c>
      <c r="AB63" s="1561">
        <f t="shared" si="8"/>
        <v>0</v>
      </c>
      <c r="AC63" s="1561">
        <f t="shared" si="9"/>
        <v>0</v>
      </c>
      <c r="AD63" s="1561">
        <f t="shared" si="10"/>
        <v>0</v>
      </c>
      <c r="AE63" s="1585">
        <f t="shared" si="11"/>
        <v>0</v>
      </c>
      <c r="AF63" s="1596"/>
      <c r="AG63" s="1588"/>
      <c r="AH63" s="1588"/>
      <c r="AI63" s="1588"/>
      <c r="AJ63" s="1588"/>
      <c r="AK63" s="1589"/>
      <c r="AL63" s="1590"/>
      <c r="AM63" s="1590"/>
      <c r="AN63" s="1590"/>
      <c r="AO63" s="1597"/>
      <c r="AP63" s="1586">
        <f t="shared" si="12"/>
        <v>0</v>
      </c>
      <c r="AQ63" s="1581"/>
      <c r="AR63" s="1582"/>
      <c r="AS63" s="1638">
        <f t="shared" si="13"/>
        <v>0</v>
      </c>
      <c r="AT63" s="1641"/>
      <c r="AU63" s="1642"/>
      <c r="AV63" s="935"/>
      <c r="AW63" s="935"/>
      <c r="AX63" s="935"/>
    </row>
    <row r="64" spans="1:65" ht="15.75" x14ac:dyDescent="0.25">
      <c r="A64" s="1883"/>
      <c r="B64" s="1748"/>
      <c r="C64" s="1884"/>
      <c r="D64" s="1884"/>
      <c r="E64" s="1726">
        <f t="shared" si="6"/>
        <v>0</v>
      </c>
      <c r="F64" s="1722"/>
      <c r="G64" s="1742"/>
      <c r="H64" s="1725"/>
      <c r="I64" s="1743"/>
      <c r="J64" s="1743"/>
      <c r="K64" s="1744"/>
      <c r="L64" s="1734">
        <f t="shared" si="14"/>
        <v>0</v>
      </c>
      <c r="M64" s="1735">
        <f t="shared" si="15"/>
        <v>0</v>
      </c>
      <c r="N64" s="1730"/>
      <c r="O64" s="1730"/>
      <c r="P64" s="1730"/>
      <c r="Q64" s="1730"/>
      <c r="R64" s="1730"/>
      <c r="S64" s="1730"/>
      <c r="T64" s="1730"/>
      <c r="U64" s="1730"/>
      <c r="V64" s="1730"/>
      <c r="W64" s="1730"/>
      <c r="X64" s="1903">
        <f t="shared" si="5"/>
        <v>0</v>
      </c>
      <c r="Y64" s="1733">
        <f t="shared" si="16"/>
        <v>0</v>
      </c>
      <c r="Z64" s="528"/>
      <c r="AA64" s="1560">
        <f t="shared" si="7"/>
        <v>0</v>
      </c>
      <c r="AB64" s="1561">
        <f t="shared" si="8"/>
        <v>0</v>
      </c>
      <c r="AC64" s="1561">
        <f t="shared" si="9"/>
        <v>0</v>
      </c>
      <c r="AD64" s="1561">
        <f t="shared" si="10"/>
        <v>0</v>
      </c>
      <c r="AE64" s="1585">
        <f t="shared" si="11"/>
        <v>0</v>
      </c>
      <c r="AF64" s="1596"/>
      <c r="AG64" s="1588"/>
      <c r="AH64" s="1588"/>
      <c r="AI64" s="1588"/>
      <c r="AJ64" s="1588"/>
      <c r="AK64" s="1589"/>
      <c r="AL64" s="1590"/>
      <c r="AM64" s="1590"/>
      <c r="AN64" s="1590"/>
      <c r="AO64" s="1597"/>
      <c r="AP64" s="1586">
        <f t="shared" si="12"/>
        <v>0</v>
      </c>
      <c r="AQ64" s="1581"/>
      <c r="AR64" s="1582"/>
      <c r="AS64" s="1638">
        <f t="shared" si="13"/>
        <v>0</v>
      </c>
      <c r="AT64" s="1641"/>
      <c r="AU64" s="1642"/>
      <c r="AV64" s="935"/>
      <c r="AW64" s="935"/>
      <c r="AX64" s="935"/>
      <c r="AY64" s="722"/>
      <c r="AZ64" s="722"/>
      <c r="BA64" s="722"/>
      <c r="BB64" s="722"/>
      <c r="BC64" s="722"/>
      <c r="BD64" s="722"/>
      <c r="BE64" s="706"/>
      <c r="BF64" s="706"/>
      <c r="BG64" s="694"/>
    </row>
    <row r="65" spans="1:59" ht="15.75" x14ac:dyDescent="0.25">
      <c r="A65" s="1883"/>
      <c r="B65" s="1748"/>
      <c r="C65" s="1884"/>
      <c r="D65" s="1884"/>
      <c r="E65" s="1726">
        <f t="shared" si="6"/>
        <v>0</v>
      </c>
      <c r="F65" s="1722"/>
      <c r="G65" s="1742"/>
      <c r="H65" s="1725"/>
      <c r="I65" s="1743"/>
      <c r="J65" s="1743"/>
      <c r="K65" s="1744"/>
      <c r="L65" s="1734">
        <f t="shared" si="14"/>
        <v>0</v>
      </c>
      <c r="M65" s="1735">
        <f t="shared" si="15"/>
        <v>0</v>
      </c>
      <c r="N65" s="1730"/>
      <c r="O65" s="1730"/>
      <c r="P65" s="1730"/>
      <c r="Q65" s="1730"/>
      <c r="R65" s="1730"/>
      <c r="S65" s="1730"/>
      <c r="T65" s="1730"/>
      <c r="U65" s="1730"/>
      <c r="V65" s="1730"/>
      <c r="W65" s="1730"/>
      <c r="X65" s="1903">
        <f t="shared" si="5"/>
        <v>0</v>
      </c>
      <c r="Y65" s="1733">
        <f t="shared" si="16"/>
        <v>0</v>
      </c>
      <c r="Z65" s="528"/>
      <c r="AA65" s="1560">
        <f t="shared" si="7"/>
        <v>0</v>
      </c>
      <c r="AB65" s="1561">
        <f t="shared" si="8"/>
        <v>0</v>
      </c>
      <c r="AC65" s="1561">
        <f t="shared" si="9"/>
        <v>0</v>
      </c>
      <c r="AD65" s="1561">
        <f t="shared" si="10"/>
        <v>0</v>
      </c>
      <c r="AE65" s="1585">
        <f t="shared" si="11"/>
        <v>0</v>
      </c>
      <c r="AF65" s="1596"/>
      <c r="AG65" s="1588"/>
      <c r="AH65" s="1588"/>
      <c r="AI65" s="1588"/>
      <c r="AJ65" s="1588"/>
      <c r="AK65" s="1589"/>
      <c r="AL65" s="1590"/>
      <c r="AM65" s="1590"/>
      <c r="AN65" s="1590"/>
      <c r="AO65" s="1597"/>
      <c r="AP65" s="1586">
        <f t="shared" si="12"/>
        <v>0</v>
      </c>
      <c r="AQ65" s="1581"/>
      <c r="AR65" s="1582"/>
      <c r="AS65" s="1638">
        <f t="shared" si="13"/>
        <v>0</v>
      </c>
      <c r="AT65" s="1641"/>
      <c r="AU65" s="1642"/>
      <c r="AV65" s="935"/>
      <c r="AW65" s="935"/>
      <c r="AX65" s="935"/>
      <c r="AY65" s="722"/>
      <c r="AZ65" s="722"/>
      <c r="BA65" s="722"/>
      <c r="BB65" s="722"/>
      <c r="BC65" s="722"/>
      <c r="BD65" s="722"/>
      <c r="BE65" s="706"/>
      <c r="BF65" s="706"/>
      <c r="BG65" s="694"/>
    </row>
    <row r="66" spans="1:59" ht="15.75" x14ac:dyDescent="0.25">
      <c r="A66" s="1883"/>
      <c r="B66" s="1748"/>
      <c r="C66" s="1884"/>
      <c r="D66" s="1884"/>
      <c r="E66" s="1726">
        <f t="shared" si="6"/>
        <v>0</v>
      </c>
      <c r="F66" s="1722"/>
      <c r="G66" s="1742"/>
      <c r="H66" s="1725"/>
      <c r="I66" s="1743"/>
      <c r="J66" s="1743"/>
      <c r="K66" s="1744"/>
      <c r="L66" s="1734">
        <f t="shared" si="14"/>
        <v>0</v>
      </c>
      <c r="M66" s="1735">
        <f t="shared" si="15"/>
        <v>0</v>
      </c>
      <c r="N66" s="1730"/>
      <c r="O66" s="1730"/>
      <c r="P66" s="1730"/>
      <c r="Q66" s="1730"/>
      <c r="R66" s="1730"/>
      <c r="S66" s="1730"/>
      <c r="T66" s="1730"/>
      <c r="U66" s="1730"/>
      <c r="V66" s="1730"/>
      <c r="W66" s="1730"/>
      <c r="X66" s="1903">
        <f t="shared" si="5"/>
        <v>0</v>
      </c>
      <c r="Y66" s="1733">
        <f t="shared" si="16"/>
        <v>0</v>
      </c>
      <c r="Z66" s="528"/>
      <c r="AA66" s="1560">
        <f t="shared" si="7"/>
        <v>0</v>
      </c>
      <c r="AB66" s="1561">
        <f t="shared" si="8"/>
        <v>0</v>
      </c>
      <c r="AC66" s="1561">
        <f t="shared" si="9"/>
        <v>0</v>
      </c>
      <c r="AD66" s="1561">
        <f t="shared" si="10"/>
        <v>0</v>
      </c>
      <c r="AE66" s="1585">
        <f t="shared" si="11"/>
        <v>0</v>
      </c>
      <c r="AF66" s="1596"/>
      <c r="AG66" s="1588"/>
      <c r="AH66" s="1588"/>
      <c r="AI66" s="1588"/>
      <c r="AJ66" s="1588"/>
      <c r="AK66" s="1589"/>
      <c r="AL66" s="1590"/>
      <c r="AM66" s="1590"/>
      <c r="AN66" s="1590"/>
      <c r="AO66" s="1597"/>
      <c r="AP66" s="1586">
        <f t="shared" si="12"/>
        <v>0</v>
      </c>
      <c r="AQ66" s="1581"/>
      <c r="AR66" s="1582"/>
      <c r="AS66" s="1638">
        <f t="shared" si="13"/>
        <v>0</v>
      </c>
      <c r="AT66" s="1641"/>
      <c r="AU66" s="1642"/>
      <c r="AV66" s="935"/>
      <c r="AW66" s="935"/>
      <c r="AX66" s="935"/>
      <c r="AY66" s="722"/>
      <c r="AZ66" s="722"/>
      <c r="BA66" s="722"/>
      <c r="BB66" s="722"/>
      <c r="BC66" s="722"/>
      <c r="BD66" s="722"/>
      <c r="BE66" s="706"/>
      <c r="BF66" s="706"/>
      <c r="BG66" s="694"/>
    </row>
    <row r="67" spans="1:59" ht="15.75" x14ac:dyDescent="0.25">
      <c r="A67" s="1883"/>
      <c r="B67" s="1748"/>
      <c r="C67" s="1884"/>
      <c r="D67" s="1884"/>
      <c r="E67" s="1726">
        <f t="shared" si="6"/>
        <v>0</v>
      </c>
      <c r="F67" s="1722"/>
      <c r="G67" s="1742"/>
      <c r="H67" s="1725"/>
      <c r="I67" s="1743"/>
      <c r="J67" s="1743"/>
      <c r="K67" s="1744"/>
      <c r="L67" s="1734">
        <f t="shared" si="14"/>
        <v>0</v>
      </c>
      <c r="M67" s="1735">
        <f t="shared" si="15"/>
        <v>0</v>
      </c>
      <c r="N67" s="1730"/>
      <c r="O67" s="1730"/>
      <c r="P67" s="1730"/>
      <c r="Q67" s="1730"/>
      <c r="R67" s="1730"/>
      <c r="S67" s="1730"/>
      <c r="T67" s="1730"/>
      <c r="U67" s="1730"/>
      <c r="V67" s="1730"/>
      <c r="W67" s="1730"/>
      <c r="X67" s="1903">
        <f t="shared" si="5"/>
        <v>0</v>
      </c>
      <c r="Y67" s="1733">
        <f t="shared" si="16"/>
        <v>0</v>
      </c>
      <c r="Z67" s="528"/>
      <c r="AA67" s="1560">
        <f t="shared" si="7"/>
        <v>0</v>
      </c>
      <c r="AB67" s="1561">
        <f t="shared" si="8"/>
        <v>0</v>
      </c>
      <c r="AC67" s="1561">
        <f t="shared" si="9"/>
        <v>0</v>
      </c>
      <c r="AD67" s="1561">
        <f t="shared" si="10"/>
        <v>0</v>
      </c>
      <c r="AE67" s="1585">
        <f t="shared" si="11"/>
        <v>0</v>
      </c>
      <c r="AF67" s="1596"/>
      <c r="AG67" s="1588"/>
      <c r="AH67" s="1588"/>
      <c r="AI67" s="1588"/>
      <c r="AJ67" s="1588"/>
      <c r="AK67" s="1589"/>
      <c r="AL67" s="1590"/>
      <c r="AM67" s="1590"/>
      <c r="AN67" s="1590"/>
      <c r="AO67" s="1597"/>
      <c r="AP67" s="1586">
        <f t="shared" si="12"/>
        <v>0</v>
      </c>
      <c r="AQ67" s="1581"/>
      <c r="AR67" s="1582"/>
      <c r="AS67" s="1638">
        <f t="shared" si="13"/>
        <v>0</v>
      </c>
      <c r="AT67" s="1641"/>
      <c r="AU67" s="1642"/>
      <c r="AV67" s="935"/>
      <c r="AW67" s="935"/>
      <c r="AX67" s="935"/>
      <c r="AY67" s="722"/>
      <c r="AZ67" s="722"/>
      <c r="BA67" s="722"/>
      <c r="BB67" s="722"/>
      <c r="BC67" s="722"/>
      <c r="BD67" s="722"/>
      <c r="BE67" s="706"/>
      <c r="BF67" s="706"/>
      <c r="BG67" s="694"/>
    </row>
    <row r="68" spans="1:59" ht="15.75" x14ac:dyDescent="0.25">
      <c r="A68" s="1883"/>
      <c r="B68" s="1748"/>
      <c r="C68" s="1884"/>
      <c r="D68" s="1884"/>
      <c r="E68" s="1726">
        <f t="shared" si="6"/>
        <v>0</v>
      </c>
      <c r="F68" s="1722"/>
      <c r="G68" s="1742"/>
      <c r="H68" s="1725"/>
      <c r="I68" s="1743"/>
      <c r="J68" s="1743"/>
      <c r="K68" s="1744"/>
      <c r="L68" s="1734">
        <f t="shared" si="14"/>
        <v>0</v>
      </c>
      <c r="M68" s="1735">
        <f t="shared" si="15"/>
        <v>0</v>
      </c>
      <c r="N68" s="1730"/>
      <c r="O68" s="1730"/>
      <c r="P68" s="1730"/>
      <c r="Q68" s="1730"/>
      <c r="R68" s="1730"/>
      <c r="S68" s="1730"/>
      <c r="T68" s="1730"/>
      <c r="U68" s="1730"/>
      <c r="V68" s="1730"/>
      <c r="W68" s="1730"/>
      <c r="X68" s="1903">
        <f t="shared" si="5"/>
        <v>0</v>
      </c>
      <c r="Y68" s="1733">
        <f t="shared" si="16"/>
        <v>0</v>
      </c>
      <c r="Z68" s="528"/>
      <c r="AA68" s="1560">
        <f t="shared" si="7"/>
        <v>0</v>
      </c>
      <c r="AB68" s="1561">
        <f t="shared" si="8"/>
        <v>0</v>
      </c>
      <c r="AC68" s="1561">
        <f t="shared" si="9"/>
        <v>0</v>
      </c>
      <c r="AD68" s="1561">
        <f t="shared" si="10"/>
        <v>0</v>
      </c>
      <c r="AE68" s="1585">
        <f t="shared" si="11"/>
        <v>0</v>
      </c>
      <c r="AF68" s="1596"/>
      <c r="AG68" s="1588"/>
      <c r="AH68" s="1588"/>
      <c r="AI68" s="1588"/>
      <c r="AJ68" s="1588"/>
      <c r="AK68" s="1589"/>
      <c r="AL68" s="1590"/>
      <c r="AM68" s="1590"/>
      <c r="AN68" s="1590"/>
      <c r="AO68" s="1597"/>
      <c r="AP68" s="1586">
        <f t="shared" si="12"/>
        <v>0</v>
      </c>
      <c r="AQ68" s="1581"/>
      <c r="AR68" s="1582"/>
      <c r="AS68" s="1638">
        <f t="shared" si="13"/>
        <v>0</v>
      </c>
      <c r="AT68" s="1641"/>
      <c r="AU68" s="1642"/>
      <c r="AV68" s="935"/>
      <c r="AW68" s="935"/>
      <c r="AX68" s="935"/>
      <c r="AY68" s="722"/>
      <c r="AZ68" s="722"/>
      <c r="BA68" s="722"/>
      <c r="BB68" s="722"/>
      <c r="BC68" s="722"/>
      <c r="BD68" s="722"/>
      <c r="BE68" s="706"/>
      <c r="BF68" s="706"/>
      <c r="BG68" s="694"/>
    </row>
    <row r="69" spans="1:59" ht="15.75" x14ac:dyDescent="0.25">
      <c r="A69" s="1883"/>
      <c r="B69" s="1748"/>
      <c r="C69" s="1884"/>
      <c r="D69" s="1884"/>
      <c r="E69" s="1726">
        <f t="shared" si="6"/>
        <v>0</v>
      </c>
      <c r="F69" s="1722"/>
      <c r="G69" s="1742"/>
      <c r="H69" s="1725"/>
      <c r="I69" s="1743"/>
      <c r="J69" s="1743"/>
      <c r="K69" s="1744"/>
      <c r="L69" s="1734">
        <f t="shared" si="14"/>
        <v>0</v>
      </c>
      <c r="M69" s="1735">
        <f t="shared" si="15"/>
        <v>0</v>
      </c>
      <c r="N69" s="1730"/>
      <c r="O69" s="1730"/>
      <c r="P69" s="1730"/>
      <c r="Q69" s="1730"/>
      <c r="R69" s="1730"/>
      <c r="S69" s="1730"/>
      <c r="T69" s="1730"/>
      <c r="U69" s="1730"/>
      <c r="V69" s="1730"/>
      <c r="W69" s="1730"/>
      <c r="X69" s="1903">
        <f t="shared" si="5"/>
        <v>0</v>
      </c>
      <c r="Y69" s="1733">
        <f t="shared" si="16"/>
        <v>0</v>
      </c>
      <c r="Z69" s="528"/>
      <c r="AA69" s="1560">
        <f t="shared" si="7"/>
        <v>0</v>
      </c>
      <c r="AB69" s="1561">
        <f t="shared" si="8"/>
        <v>0</v>
      </c>
      <c r="AC69" s="1561">
        <f t="shared" si="9"/>
        <v>0</v>
      </c>
      <c r="AD69" s="1561">
        <f t="shared" si="10"/>
        <v>0</v>
      </c>
      <c r="AE69" s="1585">
        <f t="shared" si="11"/>
        <v>0</v>
      </c>
      <c r="AF69" s="1596"/>
      <c r="AG69" s="1588"/>
      <c r="AH69" s="1588"/>
      <c r="AI69" s="1588"/>
      <c r="AJ69" s="1588"/>
      <c r="AK69" s="1589"/>
      <c r="AL69" s="1590"/>
      <c r="AM69" s="1590"/>
      <c r="AN69" s="1590"/>
      <c r="AO69" s="1597"/>
      <c r="AP69" s="1586">
        <f t="shared" si="12"/>
        <v>0</v>
      </c>
      <c r="AQ69" s="1581"/>
      <c r="AR69" s="1582"/>
      <c r="AS69" s="1638">
        <f t="shared" si="13"/>
        <v>0</v>
      </c>
      <c r="AT69" s="1641"/>
      <c r="AU69" s="1642"/>
      <c r="AV69" s="935"/>
      <c r="AW69" s="935"/>
      <c r="AX69" s="935"/>
      <c r="AY69" s="722"/>
      <c r="AZ69" s="722"/>
      <c r="BA69" s="722"/>
      <c r="BB69" s="722"/>
      <c r="BC69" s="722"/>
      <c r="BD69" s="722"/>
      <c r="BE69" s="706"/>
      <c r="BF69" s="706"/>
      <c r="BG69" s="694"/>
    </row>
    <row r="70" spans="1:59" ht="15.75" x14ac:dyDescent="0.25">
      <c r="A70" s="1883"/>
      <c r="B70" s="1748"/>
      <c r="C70" s="1884"/>
      <c r="D70" s="1884"/>
      <c r="E70" s="1726">
        <f t="shared" si="6"/>
        <v>0</v>
      </c>
      <c r="F70" s="1722"/>
      <c r="G70" s="1742"/>
      <c r="H70" s="1725"/>
      <c r="I70" s="1743"/>
      <c r="J70" s="1743"/>
      <c r="K70" s="1744"/>
      <c r="L70" s="1734">
        <f t="shared" si="14"/>
        <v>0</v>
      </c>
      <c r="M70" s="1735">
        <f t="shared" si="15"/>
        <v>0</v>
      </c>
      <c r="N70" s="1730"/>
      <c r="O70" s="1730"/>
      <c r="P70" s="1730"/>
      <c r="Q70" s="1730"/>
      <c r="R70" s="1730"/>
      <c r="S70" s="1730"/>
      <c r="T70" s="1730"/>
      <c r="U70" s="1730"/>
      <c r="V70" s="1730"/>
      <c r="W70" s="1730"/>
      <c r="X70" s="1903">
        <f t="shared" si="5"/>
        <v>0</v>
      </c>
      <c r="Y70" s="1733">
        <f t="shared" si="16"/>
        <v>0</v>
      </c>
      <c r="Z70" s="528"/>
      <c r="AA70" s="1560">
        <f>IF(OR(G70="PDL",G70="stellv. PDL"),0,(IF(AND($H70&gt;0,$K70&gt;0),($M70+$N70),0)))</f>
        <v>0</v>
      </c>
      <c r="AB70" s="1561">
        <f>IF(OR(G70="PDL",G70="stellv. PDL"),0,(IF(AND($H70&gt;0,$K70&gt;0),$O70,0)))</f>
        <v>0</v>
      </c>
      <c r="AC70" s="1561">
        <f>IF(OR(G70="PDL",G70="stellv. PDL"),0,(IF(AND($H70&gt;0,$K70&gt;0),($P70),0)))</f>
        <v>0</v>
      </c>
      <c r="AD70" s="1561">
        <f>IF(OR(G70="PDL",G70="stellv. PDL"),0,(IF(AND($H70&gt;0,$K70&gt;0),$Q70,0)))</f>
        <v>0</v>
      </c>
      <c r="AE70" s="1585">
        <f>IF(OR(G70="PDL",G70="stellv. PDL"),0,(IF(AND($H70&gt;0,$K70&gt;0),(($T70+$U70)/12),0)))</f>
        <v>0</v>
      </c>
      <c r="AF70" s="1596"/>
      <c r="AG70" s="1588"/>
      <c r="AH70" s="1588"/>
      <c r="AI70" s="1588"/>
      <c r="AJ70" s="1588"/>
      <c r="AK70" s="1589"/>
      <c r="AL70" s="1590"/>
      <c r="AM70" s="1590"/>
      <c r="AN70" s="1590"/>
      <c r="AO70" s="1597"/>
      <c r="AP70" s="1586">
        <f>IF(OR(G70="PDL",G70="stellv. PDL"),0,IF(AND($H70&gt;0,$K70&gt;0),$H70,0))</f>
        <v>0</v>
      </c>
      <c r="AQ70" s="1581"/>
      <c r="AR70" s="1582"/>
      <c r="AS70" s="1638">
        <f>IF(OR(G70="PDL",G70="stellv. PDL"),0,IF(AND($H70&gt;0,$K70&gt;0),$X70,0))</f>
        <v>0</v>
      </c>
      <c r="AT70" s="1641"/>
      <c r="AU70" s="1642"/>
      <c r="AV70" s="935"/>
      <c r="AW70" s="935"/>
      <c r="AX70" s="935"/>
      <c r="AY70" s="722"/>
      <c r="AZ70" s="722"/>
      <c r="BA70" s="722"/>
      <c r="BB70" s="722"/>
      <c r="BC70" s="722"/>
      <c r="BD70" s="722"/>
      <c r="BE70" s="706"/>
      <c r="BF70" s="706"/>
      <c r="BG70" s="694"/>
    </row>
    <row r="71" spans="1:59" ht="15.75" x14ac:dyDescent="0.25">
      <c r="A71" s="1883"/>
      <c r="B71" s="1748"/>
      <c r="C71" s="1884"/>
      <c r="D71" s="1884"/>
      <c r="E71" s="1726">
        <f t="shared" si="6"/>
        <v>0</v>
      </c>
      <c r="F71" s="1722"/>
      <c r="G71" s="1742"/>
      <c r="H71" s="1725"/>
      <c r="I71" s="1743"/>
      <c r="J71" s="1743"/>
      <c r="K71" s="1744"/>
      <c r="L71" s="1734">
        <f t="shared" si="14"/>
        <v>0</v>
      </c>
      <c r="M71" s="1735">
        <f t="shared" si="15"/>
        <v>0</v>
      </c>
      <c r="N71" s="1730"/>
      <c r="O71" s="1730"/>
      <c r="P71" s="1730"/>
      <c r="Q71" s="1730"/>
      <c r="R71" s="1730"/>
      <c r="S71" s="1730"/>
      <c r="T71" s="1730"/>
      <c r="U71" s="1730"/>
      <c r="V71" s="1730"/>
      <c r="W71" s="1730"/>
      <c r="X71" s="1903">
        <f t="shared" si="5"/>
        <v>0</v>
      </c>
      <c r="Y71" s="1733">
        <f t="shared" si="16"/>
        <v>0</v>
      </c>
      <c r="Z71" s="528"/>
      <c r="AA71" s="1560">
        <f t="shared" si="7"/>
        <v>0</v>
      </c>
      <c r="AB71" s="1561">
        <f t="shared" si="8"/>
        <v>0</v>
      </c>
      <c r="AC71" s="1561">
        <f t="shared" si="9"/>
        <v>0</v>
      </c>
      <c r="AD71" s="1561">
        <f t="shared" si="10"/>
        <v>0</v>
      </c>
      <c r="AE71" s="1585">
        <f t="shared" si="11"/>
        <v>0</v>
      </c>
      <c r="AF71" s="1596"/>
      <c r="AG71" s="1588"/>
      <c r="AH71" s="1588"/>
      <c r="AI71" s="1588"/>
      <c r="AJ71" s="1588"/>
      <c r="AK71" s="1589"/>
      <c r="AL71" s="1590"/>
      <c r="AM71" s="1590"/>
      <c r="AN71" s="1590"/>
      <c r="AO71" s="1597"/>
      <c r="AP71" s="1586">
        <f t="shared" si="12"/>
        <v>0</v>
      </c>
      <c r="AQ71" s="1581"/>
      <c r="AR71" s="1582"/>
      <c r="AS71" s="1638">
        <f t="shared" si="13"/>
        <v>0</v>
      </c>
      <c r="AT71" s="1641"/>
      <c r="AU71" s="1642"/>
      <c r="AV71" s="935"/>
      <c r="AW71" s="935"/>
      <c r="AX71" s="935"/>
      <c r="AY71" s="722"/>
      <c r="AZ71" s="722"/>
      <c r="BA71" s="722"/>
      <c r="BB71" s="722"/>
      <c r="BC71" s="722"/>
      <c r="BD71" s="722"/>
      <c r="BE71" s="706"/>
      <c r="BF71" s="706"/>
      <c r="BG71" s="694"/>
    </row>
    <row r="72" spans="1:59" ht="15.75" x14ac:dyDescent="0.25">
      <c r="A72" s="1883"/>
      <c r="B72" s="1748"/>
      <c r="C72" s="1884"/>
      <c r="D72" s="1884"/>
      <c r="E72" s="1726">
        <f t="shared" si="6"/>
        <v>0</v>
      </c>
      <c r="F72" s="1722"/>
      <c r="G72" s="1742"/>
      <c r="H72" s="1725"/>
      <c r="I72" s="1743"/>
      <c r="J72" s="1743"/>
      <c r="K72" s="1744"/>
      <c r="L72" s="1734">
        <f t="shared" si="14"/>
        <v>0</v>
      </c>
      <c r="M72" s="1735">
        <f t="shared" si="15"/>
        <v>0</v>
      </c>
      <c r="N72" s="1730"/>
      <c r="O72" s="1730"/>
      <c r="P72" s="1730"/>
      <c r="Q72" s="1730"/>
      <c r="R72" s="1730"/>
      <c r="S72" s="1730"/>
      <c r="T72" s="1730"/>
      <c r="U72" s="1730"/>
      <c r="V72" s="1730"/>
      <c r="W72" s="1730"/>
      <c r="X72" s="1903">
        <f t="shared" si="5"/>
        <v>0</v>
      </c>
      <c r="Y72" s="1733">
        <f t="shared" si="16"/>
        <v>0</v>
      </c>
      <c r="Z72" s="528"/>
      <c r="AA72" s="1560">
        <f t="shared" si="7"/>
        <v>0</v>
      </c>
      <c r="AB72" s="1561">
        <f t="shared" si="8"/>
        <v>0</v>
      </c>
      <c r="AC72" s="1561">
        <f t="shared" si="9"/>
        <v>0</v>
      </c>
      <c r="AD72" s="1561">
        <f t="shared" si="10"/>
        <v>0</v>
      </c>
      <c r="AE72" s="1585">
        <f t="shared" si="11"/>
        <v>0</v>
      </c>
      <c r="AF72" s="1596"/>
      <c r="AG72" s="1588"/>
      <c r="AH72" s="1588"/>
      <c r="AI72" s="1588"/>
      <c r="AJ72" s="1588"/>
      <c r="AK72" s="1589"/>
      <c r="AL72" s="1590"/>
      <c r="AM72" s="1590"/>
      <c r="AN72" s="1590"/>
      <c r="AO72" s="1597"/>
      <c r="AP72" s="1586">
        <f t="shared" si="12"/>
        <v>0</v>
      </c>
      <c r="AQ72" s="1581"/>
      <c r="AR72" s="1582"/>
      <c r="AS72" s="1638">
        <f t="shared" si="13"/>
        <v>0</v>
      </c>
      <c r="AT72" s="1641"/>
      <c r="AU72" s="1642"/>
      <c r="AV72" s="935"/>
      <c r="AW72" s="935"/>
      <c r="AX72" s="935"/>
      <c r="AY72" s="722"/>
      <c r="AZ72" s="722"/>
      <c r="BA72" s="722"/>
      <c r="BB72" s="722"/>
      <c r="BC72" s="722"/>
      <c r="BD72" s="722"/>
      <c r="BE72" s="706"/>
      <c r="BF72" s="706"/>
      <c r="BG72" s="694"/>
    </row>
    <row r="73" spans="1:59" ht="15.75" x14ac:dyDescent="0.25">
      <c r="A73" s="1883"/>
      <c r="B73" s="1748"/>
      <c r="C73" s="1884"/>
      <c r="D73" s="1884"/>
      <c r="E73" s="1726">
        <f t="shared" si="6"/>
        <v>0</v>
      </c>
      <c r="F73" s="1722"/>
      <c r="G73" s="1742"/>
      <c r="H73" s="1725"/>
      <c r="I73" s="1743"/>
      <c r="J73" s="1743"/>
      <c r="K73" s="1744"/>
      <c r="L73" s="1734">
        <f t="shared" si="14"/>
        <v>0</v>
      </c>
      <c r="M73" s="1735">
        <f t="shared" si="15"/>
        <v>0</v>
      </c>
      <c r="N73" s="1730"/>
      <c r="O73" s="1730"/>
      <c r="P73" s="1730"/>
      <c r="Q73" s="1730"/>
      <c r="R73" s="1730"/>
      <c r="S73" s="1730"/>
      <c r="T73" s="1730"/>
      <c r="U73" s="1730"/>
      <c r="V73" s="1730"/>
      <c r="W73" s="1730"/>
      <c r="X73" s="1903">
        <f t="shared" si="5"/>
        <v>0</v>
      </c>
      <c r="Y73" s="1733">
        <f t="shared" si="16"/>
        <v>0</v>
      </c>
      <c r="Z73" s="528"/>
      <c r="AA73" s="1560">
        <f t="shared" si="7"/>
        <v>0</v>
      </c>
      <c r="AB73" s="1561">
        <f t="shared" si="8"/>
        <v>0</v>
      </c>
      <c r="AC73" s="1561">
        <f t="shared" si="9"/>
        <v>0</v>
      </c>
      <c r="AD73" s="1561">
        <f t="shared" si="10"/>
        <v>0</v>
      </c>
      <c r="AE73" s="1585">
        <f t="shared" si="11"/>
        <v>0</v>
      </c>
      <c r="AF73" s="1596"/>
      <c r="AG73" s="1588"/>
      <c r="AH73" s="1588"/>
      <c r="AI73" s="1588"/>
      <c r="AJ73" s="1588"/>
      <c r="AK73" s="1589"/>
      <c r="AL73" s="1590"/>
      <c r="AM73" s="1590"/>
      <c r="AN73" s="1590"/>
      <c r="AO73" s="1597"/>
      <c r="AP73" s="1586">
        <f t="shared" si="12"/>
        <v>0</v>
      </c>
      <c r="AQ73" s="1581"/>
      <c r="AR73" s="1582"/>
      <c r="AS73" s="1638">
        <f t="shared" si="13"/>
        <v>0</v>
      </c>
      <c r="AT73" s="1641"/>
      <c r="AU73" s="1642"/>
      <c r="AV73" s="935"/>
      <c r="AW73" s="935"/>
      <c r="AX73" s="935"/>
      <c r="AY73" s="722"/>
      <c r="AZ73" s="722"/>
      <c r="BA73" s="722"/>
      <c r="BB73" s="722"/>
      <c r="BC73" s="722"/>
      <c r="BD73" s="722"/>
      <c r="BE73" s="706"/>
      <c r="BF73" s="706"/>
      <c r="BG73" s="694"/>
    </row>
    <row r="74" spans="1:59" ht="15.75" x14ac:dyDescent="0.25">
      <c r="A74" s="1883"/>
      <c r="B74" s="1748"/>
      <c r="C74" s="1884"/>
      <c r="D74" s="1884"/>
      <c r="E74" s="1726">
        <f t="shared" si="6"/>
        <v>0</v>
      </c>
      <c r="F74" s="1722"/>
      <c r="G74" s="1742"/>
      <c r="H74" s="1725"/>
      <c r="I74" s="1743"/>
      <c r="J74" s="1743"/>
      <c r="K74" s="1744"/>
      <c r="L74" s="1734">
        <f t="shared" si="14"/>
        <v>0</v>
      </c>
      <c r="M74" s="1735">
        <f t="shared" si="15"/>
        <v>0</v>
      </c>
      <c r="N74" s="1730"/>
      <c r="O74" s="1730"/>
      <c r="P74" s="1730"/>
      <c r="Q74" s="1730"/>
      <c r="R74" s="1730"/>
      <c r="S74" s="1730"/>
      <c r="T74" s="1730"/>
      <c r="U74" s="1730"/>
      <c r="V74" s="1730"/>
      <c r="W74" s="1730"/>
      <c r="X74" s="1903">
        <f t="shared" si="5"/>
        <v>0</v>
      </c>
      <c r="Y74" s="1733">
        <f t="shared" si="16"/>
        <v>0</v>
      </c>
      <c r="Z74" s="528"/>
      <c r="AA74" s="1560">
        <f t="shared" si="7"/>
        <v>0</v>
      </c>
      <c r="AB74" s="1561">
        <f t="shared" si="8"/>
        <v>0</v>
      </c>
      <c r="AC74" s="1561">
        <f t="shared" si="9"/>
        <v>0</v>
      </c>
      <c r="AD74" s="1561">
        <f t="shared" si="10"/>
        <v>0</v>
      </c>
      <c r="AE74" s="1585">
        <f t="shared" si="11"/>
        <v>0</v>
      </c>
      <c r="AF74" s="1596"/>
      <c r="AG74" s="1588"/>
      <c r="AH74" s="1588"/>
      <c r="AI74" s="1588"/>
      <c r="AJ74" s="1588"/>
      <c r="AK74" s="1589"/>
      <c r="AL74" s="1590"/>
      <c r="AM74" s="1590"/>
      <c r="AN74" s="1590"/>
      <c r="AO74" s="1597"/>
      <c r="AP74" s="1586">
        <f t="shared" si="12"/>
        <v>0</v>
      </c>
      <c r="AQ74" s="1581"/>
      <c r="AR74" s="1582"/>
      <c r="AS74" s="1638">
        <f t="shared" si="13"/>
        <v>0</v>
      </c>
      <c r="AT74" s="1641"/>
      <c r="AU74" s="1642"/>
      <c r="AV74" s="935"/>
      <c r="AW74" s="935"/>
      <c r="AX74" s="935"/>
      <c r="AY74" s="722"/>
      <c r="AZ74" s="722"/>
      <c r="BA74" s="722"/>
      <c r="BB74" s="722"/>
      <c r="BC74" s="722"/>
      <c r="BD74" s="722"/>
      <c r="BE74" s="706"/>
      <c r="BF74" s="706"/>
      <c r="BG74" s="694"/>
    </row>
    <row r="75" spans="1:59" ht="15.75" x14ac:dyDescent="0.25">
      <c r="A75" s="1883"/>
      <c r="B75" s="1748"/>
      <c r="C75" s="1884"/>
      <c r="D75" s="1884"/>
      <c r="E75" s="1726">
        <f t="shared" si="6"/>
        <v>0</v>
      </c>
      <c r="F75" s="1722"/>
      <c r="G75" s="1742"/>
      <c r="H75" s="1725"/>
      <c r="I75" s="1743"/>
      <c r="J75" s="1743"/>
      <c r="K75" s="1744"/>
      <c r="L75" s="1734">
        <f t="shared" si="14"/>
        <v>0</v>
      </c>
      <c r="M75" s="1735">
        <f t="shared" si="15"/>
        <v>0</v>
      </c>
      <c r="N75" s="1730"/>
      <c r="O75" s="1730"/>
      <c r="P75" s="1730"/>
      <c r="Q75" s="1730"/>
      <c r="R75" s="1730"/>
      <c r="S75" s="1730"/>
      <c r="T75" s="1730"/>
      <c r="U75" s="1730"/>
      <c r="V75" s="1730"/>
      <c r="W75" s="1730"/>
      <c r="X75" s="1903">
        <f t="shared" si="5"/>
        <v>0</v>
      </c>
      <c r="Y75" s="1733">
        <f t="shared" si="16"/>
        <v>0</v>
      </c>
      <c r="Z75" s="528"/>
      <c r="AA75" s="1560">
        <f t="shared" si="7"/>
        <v>0</v>
      </c>
      <c r="AB75" s="1561">
        <f t="shared" si="8"/>
        <v>0</v>
      </c>
      <c r="AC75" s="1561">
        <f t="shared" si="9"/>
        <v>0</v>
      </c>
      <c r="AD75" s="1561">
        <f t="shared" si="10"/>
        <v>0</v>
      </c>
      <c r="AE75" s="1585">
        <f t="shared" si="11"/>
        <v>0</v>
      </c>
      <c r="AF75" s="1596"/>
      <c r="AG75" s="1588"/>
      <c r="AH75" s="1588"/>
      <c r="AI75" s="1588"/>
      <c r="AJ75" s="1588"/>
      <c r="AK75" s="1589"/>
      <c r="AL75" s="1590"/>
      <c r="AM75" s="1590"/>
      <c r="AN75" s="1590"/>
      <c r="AO75" s="1597"/>
      <c r="AP75" s="1586">
        <f t="shared" si="12"/>
        <v>0</v>
      </c>
      <c r="AQ75" s="1581"/>
      <c r="AR75" s="1582"/>
      <c r="AS75" s="1638">
        <f t="shared" si="13"/>
        <v>0</v>
      </c>
      <c r="AT75" s="1641"/>
      <c r="AU75" s="1642"/>
      <c r="AV75" s="935"/>
      <c r="AW75" s="935"/>
      <c r="AX75" s="935"/>
      <c r="AY75" s="722"/>
      <c r="AZ75" s="722"/>
      <c r="BA75" s="722"/>
      <c r="BB75" s="722"/>
      <c r="BC75" s="722"/>
      <c r="BD75" s="722"/>
      <c r="BE75" s="706"/>
      <c r="BF75" s="706"/>
      <c r="BG75" s="694"/>
    </row>
    <row r="76" spans="1:59" ht="15.75" x14ac:dyDescent="0.25">
      <c r="A76" s="1883"/>
      <c r="B76" s="1748"/>
      <c r="C76" s="1884"/>
      <c r="D76" s="1884"/>
      <c r="E76" s="1726">
        <f t="shared" si="6"/>
        <v>0</v>
      </c>
      <c r="F76" s="1722"/>
      <c r="G76" s="1742"/>
      <c r="H76" s="1725"/>
      <c r="I76" s="1743"/>
      <c r="J76" s="1743"/>
      <c r="K76" s="1744"/>
      <c r="L76" s="1734">
        <f t="shared" si="14"/>
        <v>0</v>
      </c>
      <c r="M76" s="1735">
        <f t="shared" si="15"/>
        <v>0</v>
      </c>
      <c r="N76" s="1730"/>
      <c r="O76" s="1730"/>
      <c r="P76" s="1730"/>
      <c r="Q76" s="1730"/>
      <c r="R76" s="1730"/>
      <c r="S76" s="1730"/>
      <c r="T76" s="1730"/>
      <c r="U76" s="1730"/>
      <c r="V76" s="1730"/>
      <c r="W76" s="1730"/>
      <c r="X76" s="1903">
        <f t="shared" si="5"/>
        <v>0</v>
      </c>
      <c r="Y76" s="1733">
        <f t="shared" si="16"/>
        <v>0</v>
      </c>
      <c r="Z76" s="528"/>
      <c r="AA76" s="1560">
        <f t="shared" si="7"/>
        <v>0</v>
      </c>
      <c r="AB76" s="1561">
        <f t="shared" si="8"/>
        <v>0</v>
      </c>
      <c r="AC76" s="1561">
        <f t="shared" si="9"/>
        <v>0</v>
      </c>
      <c r="AD76" s="1561">
        <f t="shared" si="10"/>
        <v>0</v>
      </c>
      <c r="AE76" s="1585">
        <f t="shared" si="11"/>
        <v>0</v>
      </c>
      <c r="AF76" s="1596"/>
      <c r="AG76" s="1588"/>
      <c r="AH76" s="1588"/>
      <c r="AI76" s="1588"/>
      <c r="AJ76" s="1588"/>
      <c r="AK76" s="1589"/>
      <c r="AL76" s="1590"/>
      <c r="AM76" s="1590"/>
      <c r="AN76" s="1590"/>
      <c r="AO76" s="1597"/>
      <c r="AP76" s="1586">
        <f t="shared" si="12"/>
        <v>0</v>
      </c>
      <c r="AQ76" s="1581"/>
      <c r="AR76" s="1582"/>
      <c r="AS76" s="1638">
        <f t="shared" si="13"/>
        <v>0</v>
      </c>
      <c r="AT76" s="1641"/>
      <c r="AU76" s="1642"/>
      <c r="AV76" s="935"/>
      <c r="AW76" s="935"/>
      <c r="AX76" s="935"/>
      <c r="AY76" s="722"/>
      <c r="AZ76" s="722"/>
      <c r="BA76" s="722"/>
      <c r="BB76" s="722"/>
      <c r="BC76" s="722"/>
      <c r="BD76" s="722"/>
      <c r="BE76" s="706"/>
      <c r="BF76" s="706"/>
      <c r="BG76" s="694"/>
    </row>
    <row r="77" spans="1:59" ht="15.75" x14ac:dyDescent="0.25">
      <c r="A77" s="1883"/>
      <c r="B77" s="1748"/>
      <c r="C77" s="1884"/>
      <c r="D77" s="1884"/>
      <c r="E77" s="1726">
        <f t="shared" si="6"/>
        <v>0</v>
      </c>
      <c r="F77" s="1722"/>
      <c r="G77" s="1742"/>
      <c r="H77" s="1725"/>
      <c r="I77" s="1743"/>
      <c r="J77" s="1743"/>
      <c r="K77" s="1744"/>
      <c r="L77" s="1734">
        <f t="shared" si="14"/>
        <v>0</v>
      </c>
      <c r="M77" s="1735">
        <f t="shared" si="15"/>
        <v>0</v>
      </c>
      <c r="N77" s="1730"/>
      <c r="O77" s="1730"/>
      <c r="P77" s="1730"/>
      <c r="Q77" s="1730"/>
      <c r="R77" s="1730"/>
      <c r="S77" s="1730"/>
      <c r="T77" s="1730"/>
      <c r="U77" s="1730"/>
      <c r="V77" s="1730"/>
      <c r="W77" s="1730"/>
      <c r="X77" s="1903">
        <f t="shared" si="5"/>
        <v>0</v>
      </c>
      <c r="Y77" s="1733">
        <f t="shared" si="16"/>
        <v>0</v>
      </c>
      <c r="Z77" s="528"/>
      <c r="AA77" s="1560">
        <f t="shared" si="7"/>
        <v>0</v>
      </c>
      <c r="AB77" s="1561">
        <f t="shared" si="8"/>
        <v>0</v>
      </c>
      <c r="AC77" s="1561">
        <f t="shared" si="9"/>
        <v>0</v>
      </c>
      <c r="AD77" s="1561">
        <f t="shared" si="10"/>
        <v>0</v>
      </c>
      <c r="AE77" s="1585">
        <f t="shared" si="11"/>
        <v>0</v>
      </c>
      <c r="AF77" s="1596"/>
      <c r="AG77" s="1588"/>
      <c r="AH77" s="1588"/>
      <c r="AI77" s="1588"/>
      <c r="AJ77" s="1588"/>
      <c r="AK77" s="1589"/>
      <c r="AL77" s="1590"/>
      <c r="AM77" s="1590"/>
      <c r="AN77" s="1590"/>
      <c r="AO77" s="1597"/>
      <c r="AP77" s="1586">
        <f t="shared" si="12"/>
        <v>0</v>
      </c>
      <c r="AQ77" s="1581"/>
      <c r="AR77" s="1582"/>
      <c r="AS77" s="1638">
        <f t="shared" si="13"/>
        <v>0</v>
      </c>
      <c r="AT77" s="1641"/>
      <c r="AU77" s="1642"/>
      <c r="AV77" s="935"/>
      <c r="AW77" s="935"/>
      <c r="AX77" s="935"/>
      <c r="AY77" s="722"/>
      <c r="AZ77" s="722"/>
      <c r="BA77" s="722"/>
      <c r="BB77" s="722"/>
      <c r="BC77" s="722"/>
      <c r="BD77" s="722"/>
      <c r="BE77" s="706"/>
      <c r="BF77" s="706"/>
      <c r="BG77" s="694"/>
    </row>
    <row r="78" spans="1:59" ht="15.75" x14ac:dyDescent="0.25">
      <c r="A78" s="1883"/>
      <c r="B78" s="1748"/>
      <c r="C78" s="1884"/>
      <c r="D78" s="1884"/>
      <c r="E78" s="1726">
        <f t="shared" si="6"/>
        <v>0</v>
      </c>
      <c r="F78" s="1722"/>
      <c r="G78" s="1742"/>
      <c r="H78" s="1725"/>
      <c r="I78" s="1743"/>
      <c r="J78" s="1743"/>
      <c r="K78" s="1744"/>
      <c r="L78" s="1734">
        <f t="shared" si="14"/>
        <v>0</v>
      </c>
      <c r="M78" s="1735">
        <f t="shared" si="15"/>
        <v>0</v>
      </c>
      <c r="N78" s="1730"/>
      <c r="O78" s="1730"/>
      <c r="P78" s="1730"/>
      <c r="Q78" s="1730"/>
      <c r="R78" s="1730"/>
      <c r="S78" s="1730"/>
      <c r="T78" s="1730"/>
      <c r="U78" s="1730"/>
      <c r="V78" s="1730"/>
      <c r="W78" s="1730"/>
      <c r="X78" s="1903">
        <f t="shared" si="5"/>
        <v>0</v>
      </c>
      <c r="Y78" s="1733">
        <f t="shared" si="16"/>
        <v>0</v>
      </c>
      <c r="Z78" s="528"/>
      <c r="AA78" s="1560">
        <f t="shared" si="7"/>
        <v>0</v>
      </c>
      <c r="AB78" s="1561">
        <f t="shared" si="8"/>
        <v>0</v>
      </c>
      <c r="AC78" s="1561">
        <f t="shared" si="9"/>
        <v>0</v>
      </c>
      <c r="AD78" s="1561">
        <f t="shared" si="10"/>
        <v>0</v>
      </c>
      <c r="AE78" s="1585">
        <f t="shared" si="11"/>
        <v>0</v>
      </c>
      <c r="AF78" s="1596"/>
      <c r="AG78" s="1588"/>
      <c r="AH78" s="1588"/>
      <c r="AI78" s="1588"/>
      <c r="AJ78" s="1588"/>
      <c r="AK78" s="1589"/>
      <c r="AL78" s="1590"/>
      <c r="AM78" s="1590"/>
      <c r="AN78" s="1590"/>
      <c r="AO78" s="1597"/>
      <c r="AP78" s="1586">
        <f t="shared" si="12"/>
        <v>0</v>
      </c>
      <c r="AQ78" s="1581"/>
      <c r="AR78" s="1582"/>
      <c r="AS78" s="1638">
        <f t="shared" si="13"/>
        <v>0</v>
      </c>
      <c r="AT78" s="1641"/>
      <c r="AU78" s="1642"/>
      <c r="AV78" s="935"/>
      <c r="AW78" s="935"/>
      <c r="AX78" s="935"/>
      <c r="AY78" s="722"/>
      <c r="AZ78" s="722"/>
      <c r="BA78" s="722"/>
      <c r="BB78" s="722"/>
      <c r="BC78" s="722"/>
      <c r="BD78" s="722"/>
      <c r="BE78" s="706"/>
      <c r="BF78" s="706"/>
      <c r="BG78" s="694"/>
    </row>
    <row r="79" spans="1:59" ht="15.75" x14ac:dyDescent="0.25">
      <c r="A79" s="1883"/>
      <c r="B79" s="1748"/>
      <c r="C79" s="1884"/>
      <c r="D79" s="1884"/>
      <c r="E79" s="1726">
        <f t="shared" si="6"/>
        <v>0</v>
      </c>
      <c r="F79" s="1722"/>
      <c r="G79" s="1742"/>
      <c r="H79" s="1725"/>
      <c r="I79" s="1743"/>
      <c r="J79" s="1743"/>
      <c r="K79" s="1744"/>
      <c r="L79" s="1734">
        <f t="shared" si="14"/>
        <v>0</v>
      </c>
      <c r="M79" s="1735">
        <f t="shared" si="15"/>
        <v>0</v>
      </c>
      <c r="N79" s="1730"/>
      <c r="O79" s="1730"/>
      <c r="P79" s="1730"/>
      <c r="Q79" s="1730"/>
      <c r="R79" s="1730"/>
      <c r="S79" s="1730"/>
      <c r="T79" s="1730"/>
      <c r="U79" s="1730"/>
      <c r="V79" s="1730"/>
      <c r="W79" s="1730"/>
      <c r="X79" s="1903">
        <f t="shared" si="5"/>
        <v>0</v>
      </c>
      <c r="Y79" s="1733">
        <f t="shared" si="16"/>
        <v>0</v>
      </c>
      <c r="Z79" s="528"/>
      <c r="AA79" s="1560">
        <f t="shared" si="7"/>
        <v>0</v>
      </c>
      <c r="AB79" s="1561">
        <f t="shared" si="8"/>
        <v>0</v>
      </c>
      <c r="AC79" s="1561">
        <f t="shared" si="9"/>
        <v>0</v>
      </c>
      <c r="AD79" s="1561">
        <f t="shared" si="10"/>
        <v>0</v>
      </c>
      <c r="AE79" s="1585">
        <f t="shared" si="11"/>
        <v>0</v>
      </c>
      <c r="AF79" s="1596"/>
      <c r="AG79" s="1588"/>
      <c r="AH79" s="1588"/>
      <c r="AI79" s="1588"/>
      <c r="AJ79" s="1588"/>
      <c r="AK79" s="1589"/>
      <c r="AL79" s="1590"/>
      <c r="AM79" s="1590"/>
      <c r="AN79" s="1590"/>
      <c r="AO79" s="1597"/>
      <c r="AP79" s="1586">
        <f t="shared" si="12"/>
        <v>0</v>
      </c>
      <c r="AQ79" s="1581"/>
      <c r="AR79" s="1582"/>
      <c r="AS79" s="1638">
        <f t="shared" si="13"/>
        <v>0</v>
      </c>
      <c r="AT79" s="1641"/>
      <c r="AU79" s="1642"/>
      <c r="AV79" s="935"/>
      <c r="AW79" s="935"/>
      <c r="AX79" s="935"/>
      <c r="AY79" s="722"/>
      <c r="AZ79" s="722"/>
      <c r="BA79" s="722"/>
      <c r="BB79" s="722"/>
      <c r="BC79" s="722"/>
      <c r="BD79" s="722"/>
      <c r="BE79" s="706"/>
      <c r="BF79" s="706"/>
      <c r="BG79" s="694"/>
    </row>
    <row r="80" spans="1:59" ht="15.75" x14ac:dyDescent="0.25">
      <c r="A80" s="1883"/>
      <c r="B80" s="1748"/>
      <c r="C80" s="1884"/>
      <c r="D80" s="1884"/>
      <c r="E80" s="1726">
        <f t="shared" si="6"/>
        <v>0</v>
      </c>
      <c r="F80" s="1722"/>
      <c r="G80" s="1742"/>
      <c r="H80" s="1725"/>
      <c r="I80" s="1743"/>
      <c r="J80" s="1743"/>
      <c r="K80" s="1744"/>
      <c r="L80" s="1734">
        <f t="shared" si="14"/>
        <v>0</v>
      </c>
      <c r="M80" s="1735">
        <f t="shared" si="15"/>
        <v>0</v>
      </c>
      <c r="N80" s="1730"/>
      <c r="O80" s="1730"/>
      <c r="P80" s="1730"/>
      <c r="Q80" s="1730"/>
      <c r="R80" s="1730"/>
      <c r="S80" s="1730"/>
      <c r="T80" s="1730"/>
      <c r="U80" s="1730"/>
      <c r="V80" s="1730"/>
      <c r="W80" s="1730"/>
      <c r="X80" s="1903">
        <f t="shared" si="5"/>
        <v>0</v>
      </c>
      <c r="Y80" s="1733">
        <f t="shared" si="16"/>
        <v>0</v>
      </c>
      <c r="Z80" s="528"/>
      <c r="AA80" s="1560">
        <f t="shared" si="7"/>
        <v>0</v>
      </c>
      <c r="AB80" s="1561">
        <f t="shared" si="8"/>
        <v>0</v>
      </c>
      <c r="AC80" s="1561">
        <f t="shared" si="9"/>
        <v>0</v>
      </c>
      <c r="AD80" s="1561">
        <f t="shared" si="10"/>
        <v>0</v>
      </c>
      <c r="AE80" s="1585">
        <f t="shared" si="11"/>
        <v>0</v>
      </c>
      <c r="AF80" s="1596"/>
      <c r="AG80" s="1588"/>
      <c r="AH80" s="1588"/>
      <c r="AI80" s="1588"/>
      <c r="AJ80" s="1588"/>
      <c r="AK80" s="1589"/>
      <c r="AL80" s="1590"/>
      <c r="AM80" s="1590"/>
      <c r="AN80" s="1590"/>
      <c r="AO80" s="1597"/>
      <c r="AP80" s="1586">
        <f t="shared" si="12"/>
        <v>0</v>
      </c>
      <c r="AQ80" s="1581"/>
      <c r="AR80" s="1582"/>
      <c r="AS80" s="1638">
        <f t="shared" si="13"/>
        <v>0</v>
      </c>
      <c r="AT80" s="1641"/>
      <c r="AU80" s="1642"/>
      <c r="AV80" s="935"/>
      <c r="AW80" s="935"/>
      <c r="AX80" s="935"/>
      <c r="AY80" s="722"/>
      <c r="AZ80" s="722"/>
      <c r="BA80" s="722"/>
      <c r="BB80" s="722"/>
      <c r="BC80" s="722"/>
      <c r="BD80" s="722"/>
      <c r="BE80" s="706"/>
      <c r="BF80" s="706"/>
      <c r="BG80" s="694"/>
    </row>
    <row r="81" spans="1:59" ht="15.75" x14ac:dyDescent="0.25">
      <c r="A81" s="1883"/>
      <c r="B81" s="1748"/>
      <c r="C81" s="1884"/>
      <c r="D81" s="1884"/>
      <c r="E81" s="1726">
        <f t="shared" si="6"/>
        <v>0</v>
      </c>
      <c r="F81" s="1722"/>
      <c r="G81" s="1742"/>
      <c r="H81" s="1725"/>
      <c r="I81" s="1743"/>
      <c r="J81" s="1743"/>
      <c r="K81" s="1744"/>
      <c r="L81" s="1734">
        <f t="shared" si="14"/>
        <v>0</v>
      </c>
      <c r="M81" s="1735">
        <f t="shared" si="15"/>
        <v>0</v>
      </c>
      <c r="N81" s="1730"/>
      <c r="O81" s="1730"/>
      <c r="P81" s="1730"/>
      <c r="Q81" s="1730"/>
      <c r="R81" s="1730"/>
      <c r="S81" s="1730"/>
      <c r="T81" s="1730"/>
      <c r="U81" s="1730"/>
      <c r="V81" s="1730"/>
      <c r="W81" s="1730"/>
      <c r="X81" s="1903">
        <f t="shared" si="5"/>
        <v>0</v>
      </c>
      <c r="Y81" s="1733">
        <f t="shared" si="16"/>
        <v>0</v>
      </c>
      <c r="Z81" s="528"/>
      <c r="AA81" s="1560">
        <f t="shared" si="7"/>
        <v>0</v>
      </c>
      <c r="AB81" s="1561">
        <f t="shared" si="8"/>
        <v>0</v>
      </c>
      <c r="AC81" s="1561">
        <f t="shared" si="9"/>
        <v>0</v>
      </c>
      <c r="AD81" s="1561">
        <f t="shared" si="10"/>
        <v>0</v>
      </c>
      <c r="AE81" s="1585">
        <f t="shared" si="11"/>
        <v>0</v>
      </c>
      <c r="AF81" s="1596"/>
      <c r="AG81" s="1588"/>
      <c r="AH81" s="1588"/>
      <c r="AI81" s="1588"/>
      <c r="AJ81" s="1588"/>
      <c r="AK81" s="1589"/>
      <c r="AL81" s="1590"/>
      <c r="AM81" s="1590"/>
      <c r="AN81" s="1590"/>
      <c r="AO81" s="1597"/>
      <c r="AP81" s="1586">
        <f t="shared" si="12"/>
        <v>0</v>
      </c>
      <c r="AQ81" s="1581"/>
      <c r="AR81" s="1582"/>
      <c r="AS81" s="1638">
        <f t="shared" si="13"/>
        <v>0</v>
      </c>
      <c r="AT81" s="1641"/>
      <c r="AU81" s="1642"/>
      <c r="AV81" s="935"/>
      <c r="AW81" s="935"/>
      <c r="AX81" s="935"/>
      <c r="AY81" s="722"/>
      <c r="AZ81" s="722"/>
      <c r="BA81" s="722"/>
      <c r="BB81" s="722"/>
      <c r="BC81" s="722"/>
      <c r="BD81" s="722"/>
      <c r="BE81" s="706"/>
      <c r="BF81" s="706"/>
      <c r="BG81" s="694"/>
    </row>
    <row r="82" spans="1:59" ht="15.75" x14ac:dyDescent="0.25">
      <c r="A82" s="1883"/>
      <c r="B82" s="1748"/>
      <c r="C82" s="1884"/>
      <c r="D82" s="1884"/>
      <c r="E82" s="1726">
        <f t="shared" si="6"/>
        <v>0</v>
      </c>
      <c r="F82" s="1722"/>
      <c r="G82" s="1742"/>
      <c r="H82" s="1725"/>
      <c r="I82" s="1743"/>
      <c r="J82" s="1743"/>
      <c r="K82" s="1744"/>
      <c r="L82" s="1734">
        <f t="shared" si="14"/>
        <v>0</v>
      </c>
      <c r="M82" s="1735">
        <f t="shared" si="15"/>
        <v>0</v>
      </c>
      <c r="N82" s="1730"/>
      <c r="O82" s="1730"/>
      <c r="P82" s="1730"/>
      <c r="Q82" s="1730"/>
      <c r="R82" s="1730"/>
      <c r="S82" s="1730"/>
      <c r="T82" s="1730"/>
      <c r="U82" s="1730"/>
      <c r="V82" s="1730"/>
      <c r="W82" s="1730"/>
      <c r="X82" s="1903">
        <f t="shared" si="5"/>
        <v>0</v>
      </c>
      <c r="Y82" s="1733">
        <f t="shared" si="16"/>
        <v>0</v>
      </c>
      <c r="Z82" s="528"/>
      <c r="AA82" s="1560">
        <f t="shared" si="7"/>
        <v>0</v>
      </c>
      <c r="AB82" s="1561">
        <f t="shared" si="8"/>
        <v>0</v>
      </c>
      <c r="AC82" s="1561">
        <f t="shared" si="9"/>
        <v>0</v>
      </c>
      <c r="AD82" s="1561">
        <f t="shared" si="10"/>
        <v>0</v>
      </c>
      <c r="AE82" s="1585">
        <f t="shared" si="11"/>
        <v>0</v>
      </c>
      <c r="AF82" s="1596"/>
      <c r="AG82" s="1588"/>
      <c r="AH82" s="1588"/>
      <c r="AI82" s="1588"/>
      <c r="AJ82" s="1588"/>
      <c r="AK82" s="1589"/>
      <c r="AL82" s="1590"/>
      <c r="AM82" s="1590"/>
      <c r="AN82" s="1590"/>
      <c r="AO82" s="1597"/>
      <c r="AP82" s="1586">
        <f t="shared" si="12"/>
        <v>0</v>
      </c>
      <c r="AQ82" s="1581"/>
      <c r="AR82" s="1582"/>
      <c r="AS82" s="1638">
        <f t="shared" si="13"/>
        <v>0</v>
      </c>
      <c r="AT82" s="1641"/>
      <c r="AU82" s="1642"/>
      <c r="AV82" s="935"/>
      <c r="AW82" s="935"/>
      <c r="AX82" s="935"/>
      <c r="AY82" s="722"/>
      <c r="AZ82" s="722"/>
      <c r="BA82" s="722"/>
      <c r="BB82" s="722"/>
      <c r="BC82" s="722"/>
      <c r="BD82" s="722"/>
      <c r="BE82" s="706"/>
      <c r="BF82" s="706"/>
      <c r="BG82" s="694"/>
    </row>
    <row r="83" spans="1:59" ht="15.75" x14ac:dyDescent="0.25">
      <c r="A83" s="1883"/>
      <c r="B83" s="1748"/>
      <c r="C83" s="1884"/>
      <c r="D83" s="1884"/>
      <c r="E83" s="1726">
        <f t="shared" si="6"/>
        <v>0</v>
      </c>
      <c r="F83" s="1722"/>
      <c r="G83" s="1742"/>
      <c r="H83" s="1725"/>
      <c r="I83" s="1743"/>
      <c r="J83" s="1743"/>
      <c r="K83" s="1744"/>
      <c r="L83" s="1734">
        <f t="shared" si="14"/>
        <v>0</v>
      </c>
      <c r="M83" s="1735">
        <f t="shared" si="15"/>
        <v>0</v>
      </c>
      <c r="N83" s="1730"/>
      <c r="O83" s="1730"/>
      <c r="P83" s="1730"/>
      <c r="Q83" s="1730"/>
      <c r="R83" s="1730"/>
      <c r="S83" s="1730"/>
      <c r="T83" s="1730"/>
      <c r="U83" s="1730"/>
      <c r="V83" s="1730"/>
      <c r="W83" s="1730"/>
      <c r="X83" s="1903">
        <f t="shared" si="5"/>
        <v>0</v>
      </c>
      <c r="Y83" s="1733">
        <f t="shared" si="16"/>
        <v>0</v>
      </c>
      <c r="Z83" s="528"/>
      <c r="AA83" s="1560">
        <f t="shared" si="7"/>
        <v>0</v>
      </c>
      <c r="AB83" s="1561">
        <f t="shared" si="8"/>
        <v>0</v>
      </c>
      <c r="AC83" s="1561">
        <f t="shared" si="9"/>
        <v>0</v>
      </c>
      <c r="AD83" s="1561">
        <f t="shared" si="10"/>
        <v>0</v>
      </c>
      <c r="AE83" s="1585">
        <f t="shared" si="11"/>
        <v>0</v>
      </c>
      <c r="AF83" s="1596"/>
      <c r="AG83" s="1588"/>
      <c r="AH83" s="1588"/>
      <c r="AI83" s="1588"/>
      <c r="AJ83" s="1588"/>
      <c r="AK83" s="1589"/>
      <c r="AL83" s="1590"/>
      <c r="AM83" s="1590"/>
      <c r="AN83" s="1590"/>
      <c r="AO83" s="1597"/>
      <c r="AP83" s="1586">
        <f t="shared" si="12"/>
        <v>0</v>
      </c>
      <c r="AQ83" s="1581"/>
      <c r="AR83" s="1582"/>
      <c r="AS83" s="1638">
        <f t="shared" si="13"/>
        <v>0</v>
      </c>
      <c r="AT83" s="1641"/>
      <c r="AU83" s="1642"/>
      <c r="AV83" s="935"/>
      <c r="AW83" s="935"/>
      <c r="AX83" s="935"/>
      <c r="AY83" s="722"/>
      <c r="AZ83" s="722"/>
      <c r="BA83" s="722"/>
      <c r="BB83" s="722"/>
      <c r="BC83" s="722"/>
      <c r="BD83" s="722"/>
      <c r="BE83" s="706"/>
      <c r="BF83" s="706"/>
      <c r="BG83" s="694"/>
    </row>
    <row r="84" spans="1:59" ht="15.75" x14ac:dyDescent="0.25">
      <c r="A84" s="1883"/>
      <c r="B84" s="1748"/>
      <c r="C84" s="1884"/>
      <c r="D84" s="1884"/>
      <c r="E84" s="1726">
        <f t="shared" si="6"/>
        <v>0</v>
      </c>
      <c r="F84" s="1722"/>
      <c r="G84" s="1742"/>
      <c r="H84" s="1725"/>
      <c r="I84" s="1743"/>
      <c r="J84" s="1743"/>
      <c r="K84" s="1744"/>
      <c r="L84" s="1734">
        <f t="shared" si="14"/>
        <v>0</v>
      </c>
      <c r="M84" s="1735">
        <f t="shared" si="15"/>
        <v>0</v>
      </c>
      <c r="N84" s="1730"/>
      <c r="O84" s="1730"/>
      <c r="P84" s="1730"/>
      <c r="Q84" s="1730"/>
      <c r="R84" s="1730"/>
      <c r="S84" s="1730"/>
      <c r="T84" s="1730"/>
      <c r="U84" s="1730"/>
      <c r="V84" s="1730"/>
      <c r="W84" s="1730"/>
      <c r="X84" s="1903">
        <f t="shared" si="5"/>
        <v>0</v>
      </c>
      <c r="Y84" s="1733">
        <f t="shared" si="16"/>
        <v>0</v>
      </c>
      <c r="Z84" s="528"/>
      <c r="AA84" s="1560">
        <f t="shared" si="7"/>
        <v>0</v>
      </c>
      <c r="AB84" s="1561">
        <f t="shared" si="8"/>
        <v>0</v>
      </c>
      <c r="AC84" s="1561">
        <f t="shared" si="9"/>
        <v>0</v>
      </c>
      <c r="AD84" s="1561">
        <f t="shared" si="10"/>
        <v>0</v>
      </c>
      <c r="AE84" s="1585">
        <f t="shared" si="11"/>
        <v>0</v>
      </c>
      <c r="AF84" s="1596"/>
      <c r="AG84" s="1588"/>
      <c r="AH84" s="1588"/>
      <c r="AI84" s="1588"/>
      <c r="AJ84" s="1588"/>
      <c r="AK84" s="1589"/>
      <c r="AL84" s="1590"/>
      <c r="AM84" s="1590"/>
      <c r="AN84" s="1590"/>
      <c r="AO84" s="1597"/>
      <c r="AP84" s="1586">
        <f t="shared" si="12"/>
        <v>0</v>
      </c>
      <c r="AQ84" s="1581"/>
      <c r="AR84" s="1582"/>
      <c r="AS84" s="1638">
        <f t="shared" si="13"/>
        <v>0</v>
      </c>
      <c r="AT84" s="1641"/>
      <c r="AU84" s="1642"/>
      <c r="AV84" s="935"/>
      <c r="AW84" s="935"/>
      <c r="AX84" s="935"/>
      <c r="AY84" s="722"/>
      <c r="AZ84" s="722"/>
      <c r="BA84" s="722"/>
      <c r="BB84" s="722"/>
      <c r="BC84" s="722"/>
      <c r="BD84" s="722"/>
      <c r="BE84" s="706"/>
      <c r="BF84" s="706"/>
      <c r="BG84" s="694"/>
    </row>
    <row r="85" spans="1:59" ht="15.75" x14ac:dyDescent="0.25">
      <c r="A85" s="1883"/>
      <c r="B85" s="1748"/>
      <c r="C85" s="1884"/>
      <c r="D85" s="1884"/>
      <c r="E85" s="1726">
        <f t="shared" si="6"/>
        <v>0</v>
      </c>
      <c r="F85" s="1722"/>
      <c r="G85" s="1742"/>
      <c r="H85" s="1725"/>
      <c r="I85" s="1743"/>
      <c r="J85" s="1743"/>
      <c r="K85" s="1744"/>
      <c r="L85" s="1734">
        <f t="shared" si="14"/>
        <v>0</v>
      </c>
      <c r="M85" s="1735">
        <f t="shared" si="15"/>
        <v>0</v>
      </c>
      <c r="N85" s="1730"/>
      <c r="O85" s="1730"/>
      <c r="P85" s="1730"/>
      <c r="Q85" s="1730"/>
      <c r="R85" s="1730"/>
      <c r="S85" s="1730"/>
      <c r="T85" s="1730"/>
      <c r="U85" s="1730"/>
      <c r="V85" s="1730"/>
      <c r="W85" s="1730"/>
      <c r="X85" s="1903">
        <f t="shared" si="5"/>
        <v>0</v>
      </c>
      <c r="Y85" s="1733">
        <f t="shared" si="16"/>
        <v>0</v>
      </c>
      <c r="Z85" s="528"/>
      <c r="AA85" s="1560">
        <f t="shared" si="7"/>
        <v>0</v>
      </c>
      <c r="AB85" s="1561">
        <f t="shared" si="8"/>
        <v>0</v>
      </c>
      <c r="AC85" s="1561">
        <f t="shared" si="9"/>
        <v>0</v>
      </c>
      <c r="AD85" s="1561">
        <f t="shared" si="10"/>
        <v>0</v>
      </c>
      <c r="AE85" s="1585">
        <f t="shared" si="11"/>
        <v>0</v>
      </c>
      <c r="AF85" s="1596"/>
      <c r="AG85" s="1588"/>
      <c r="AH85" s="1588"/>
      <c r="AI85" s="1588"/>
      <c r="AJ85" s="1588"/>
      <c r="AK85" s="1589"/>
      <c r="AL85" s="1590"/>
      <c r="AM85" s="1590"/>
      <c r="AN85" s="1590"/>
      <c r="AO85" s="1597"/>
      <c r="AP85" s="1586">
        <f t="shared" si="12"/>
        <v>0</v>
      </c>
      <c r="AQ85" s="1581"/>
      <c r="AR85" s="1582"/>
      <c r="AS85" s="1638">
        <f t="shared" si="13"/>
        <v>0</v>
      </c>
      <c r="AT85" s="1641"/>
      <c r="AU85" s="1642"/>
      <c r="AV85" s="935"/>
      <c r="AW85" s="935"/>
      <c r="AX85" s="935"/>
      <c r="AY85" s="722"/>
      <c r="AZ85" s="722"/>
      <c r="BA85" s="722"/>
      <c r="BB85" s="722"/>
      <c r="BC85" s="722"/>
      <c r="BD85" s="722"/>
      <c r="BE85" s="706"/>
      <c r="BF85" s="706"/>
      <c r="BG85" s="694"/>
    </row>
    <row r="86" spans="1:59" ht="15.75" x14ac:dyDescent="0.25">
      <c r="A86" s="1883"/>
      <c r="B86" s="1748"/>
      <c r="C86" s="1884"/>
      <c r="D86" s="1884"/>
      <c r="E86" s="1726">
        <f t="shared" si="6"/>
        <v>0</v>
      </c>
      <c r="F86" s="1722"/>
      <c r="G86" s="1742"/>
      <c r="H86" s="1725"/>
      <c r="I86" s="1743"/>
      <c r="J86" s="1743"/>
      <c r="K86" s="1744"/>
      <c r="L86" s="1734">
        <f t="shared" si="14"/>
        <v>0</v>
      </c>
      <c r="M86" s="1735">
        <f t="shared" si="15"/>
        <v>0</v>
      </c>
      <c r="N86" s="1730"/>
      <c r="O86" s="1730"/>
      <c r="P86" s="1730"/>
      <c r="Q86" s="1730"/>
      <c r="R86" s="1730"/>
      <c r="S86" s="1730"/>
      <c r="T86" s="1730"/>
      <c r="U86" s="1730"/>
      <c r="V86" s="1730"/>
      <c r="W86" s="1730"/>
      <c r="X86" s="1903">
        <f t="shared" si="5"/>
        <v>0</v>
      </c>
      <c r="Y86" s="1733">
        <f t="shared" si="16"/>
        <v>0</v>
      </c>
      <c r="Z86" s="528"/>
      <c r="AA86" s="1560">
        <f t="shared" si="7"/>
        <v>0</v>
      </c>
      <c r="AB86" s="1561">
        <f t="shared" si="8"/>
        <v>0</v>
      </c>
      <c r="AC86" s="1561">
        <f t="shared" si="9"/>
        <v>0</v>
      </c>
      <c r="AD86" s="1561">
        <f t="shared" si="10"/>
        <v>0</v>
      </c>
      <c r="AE86" s="1585">
        <f t="shared" si="11"/>
        <v>0</v>
      </c>
      <c r="AF86" s="1596"/>
      <c r="AG86" s="1588"/>
      <c r="AH86" s="1588"/>
      <c r="AI86" s="1588"/>
      <c r="AJ86" s="1588"/>
      <c r="AK86" s="1589"/>
      <c r="AL86" s="1590"/>
      <c r="AM86" s="1590"/>
      <c r="AN86" s="1590"/>
      <c r="AO86" s="1597"/>
      <c r="AP86" s="1586">
        <f t="shared" si="12"/>
        <v>0</v>
      </c>
      <c r="AQ86" s="1581"/>
      <c r="AR86" s="1582"/>
      <c r="AS86" s="1638">
        <f t="shared" si="13"/>
        <v>0</v>
      </c>
      <c r="AT86" s="1641"/>
      <c r="AU86" s="1642"/>
      <c r="AV86" s="935"/>
      <c r="AW86" s="935"/>
      <c r="AX86" s="935"/>
      <c r="AY86" s="722"/>
      <c r="AZ86" s="722"/>
      <c r="BA86" s="722"/>
      <c r="BB86" s="722"/>
      <c r="BC86" s="722"/>
      <c r="BD86" s="722"/>
      <c r="BE86" s="706"/>
      <c r="BF86" s="706"/>
      <c r="BG86" s="694"/>
    </row>
    <row r="87" spans="1:59" ht="15.75" x14ac:dyDescent="0.25">
      <c r="A87" s="1883"/>
      <c r="B87" s="1748"/>
      <c r="C87" s="1884"/>
      <c r="D87" s="1884"/>
      <c r="E87" s="1726">
        <f t="shared" si="6"/>
        <v>0</v>
      </c>
      <c r="F87" s="1722"/>
      <c r="G87" s="1742"/>
      <c r="H87" s="1725"/>
      <c r="I87" s="1743"/>
      <c r="J87" s="1743"/>
      <c r="K87" s="1744"/>
      <c r="L87" s="1734">
        <f t="shared" si="14"/>
        <v>0</v>
      </c>
      <c r="M87" s="1735">
        <f t="shared" si="15"/>
        <v>0</v>
      </c>
      <c r="N87" s="1730"/>
      <c r="O87" s="1730"/>
      <c r="P87" s="1730"/>
      <c r="Q87" s="1730"/>
      <c r="R87" s="1730"/>
      <c r="S87" s="1730"/>
      <c r="T87" s="1730"/>
      <c r="U87" s="1730"/>
      <c r="V87" s="1730"/>
      <c r="W87" s="1730"/>
      <c r="X87" s="1903">
        <f t="shared" si="5"/>
        <v>0</v>
      </c>
      <c r="Y87" s="1733">
        <f t="shared" si="16"/>
        <v>0</v>
      </c>
      <c r="Z87" s="528"/>
      <c r="AA87" s="1560">
        <f t="shared" si="7"/>
        <v>0</v>
      </c>
      <c r="AB87" s="1561">
        <f t="shared" si="8"/>
        <v>0</v>
      </c>
      <c r="AC87" s="1561">
        <f t="shared" si="9"/>
        <v>0</v>
      </c>
      <c r="AD87" s="1561">
        <f t="shared" si="10"/>
        <v>0</v>
      </c>
      <c r="AE87" s="1585">
        <f t="shared" si="11"/>
        <v>0</v>
      </c>
      <c r="AF87" s="1596"/>
      <c r="AG87" s="1588"/>
      <c r="AH87" s="1588"/>
      <c r="AI87" s="1588"/>
      <c r="AJ87" s="1588"/>
      <c r="AK87" s="1589"/>
      <c r="AL87" s="1590"/>
      <c r="AM87" s="1590"/>
      <c r="AN87" s="1590"/>
      <c r="AO87" s="1597"/>
      <c r="AP87" s="1586">
        <f t="shared" si="12"/>
        <v>0</v>
      </c>
      <c r="AQ87" s="1581"/>
      <c r="AR87" s="1582"/>
      <c r="AS87" s="1638">
        <f t="shared" si="13"/>
        <v>0</v>
      </c>
      <c r="AT87" s="1641"/>
      <c r="AU87" s="1642"/>
      <c r="AV87" s="935"/>
      <c r="AW87" s="935"/>
      <c r="AX87" s="935"/>
      <c r="AY87" s="722"/>
      <c r="AZ87" s="722"/>
      <c r="BA87" s="722"/>
      <c r="BB87" s="722"/>
      <c r="BC87" s="722"/>
      <c r="BD87" s="722"/>
      <c r="BE87" s="706"/>
      <c r="BF87" s="706"/>
      <c r="BG87" s="694"/>
    </row>
    <row r="88" spans="1:59" ht="15.75" x14ac:dyDescent="0.25">
      <c r="A88" s="1883"/>
      <c r="B88" s="1748"/>
      <c r="C88" s="1884"/>
      <c r="D88" s="1884"/>
      <c r="E88" s="1726">
        <f t="shared" si="6"/>
        <v>0</v>
      </c>
      <c r="F88" s="1722"/>
      <c r="G88" s="1742"/>
      <c r="H88" s="1725"/>
      <c r="I88" s="1743"/>
      <c r="J88" s="1743"/>
      <c r="K88" s="1744"/>
      <c r="L88" s="1734">
        <f t="shared" si="14"/>
        <v>0</v>
      </c>
      <c r="M88" s="1735">
        <f t="shared" si="15"/>
        <v>0</v>
      </c>
      <c r="N88" s="1730"/>
      <c r="O88" s="1730"/>
      <c r="P88" s="1730"/>
      <c r="Q88" s="1730"/>
      <c r="R88" s="1730"/>
      <c r="S88" s="1730"/>
      <c r="T88" s="1730"/>
      <c r="U88" s="1730"/>
      <c r="V88" s="1730"/>
      <c r="W88" s="1730"/>
      <c r="X88" s="1903">
        <f t="shared" si="5"/>
        <v>0</v>
      </c>
      <c r="Y88" s="1733">
        <f t="shared" si="16"/>
        <v>0</v>
      </c>
      <c r="Z88" s="528"/>
      <c r="AA88" s="1560">
        <f t="shared" si="7"/>
        <v>0</v>
      </c>
      <c r="AB88" s="1561">
        <f t="shared" si="8"/>
        <v>0</v>
      </c>
      <c r="AC88" s="1561">
        <f t="shared" si="9"/>
        <v>0</v>
      </c>
      <c r="AD88" s="1561">
        <f t="shared" si="10"/>
        <v>0</v>
      </c>
      <c r="AE88" s="1585">
        <f t="shared" si="11"/>
        <v>0</v>
      </c>
      <c r="AF88" s="1596"/>
      <c r="AG88" s="1588"/>
      <c r="AH88" s="1588"/>
      <c r="AI88" s="1588"/>
      <c r="AJ88" s="1588"/>
      <c r="AK88" s="1589"/>
      <c r="AL88" s="1590"/>
      <c r="AM88" s="1590"/>
      <c r="AN88" s="1590"/>
      <c r="AO88" s="1597"/>
      <c r="AP88" s="1586">
        <f t="shared" si="12"/>
        <v>0</v>
      </c>
      <c r="AQ88" s="1581"/>
      <c r="AR88" s="1582"/>
      <c r="AS88" s="1638">
        <f t="shared" si="13"/>
        <v>0</v>
      </c>
      <c r="AT88" s="1641"/>
      <c r="AU88" s="1642"/>
      <c r="AV88" s="935"/>
      <c r="AW88" s="935"/>
      <c r="AX88" s="935"/>
      <c r="AY88" s="722"/>
      <c r="AZ88" s="722"/>
      <c r="BA88" s="722"/>
      <c r="BB88" s="722"/>
      <c r="BC88" s="722"/>
      <c r="BD88" s="722"/>
      <c r="BE88" s="706"/>
      <c r="BF88" s="706"/>
      <c r="BG88" s="694"/>
    </row>
    <row r="89" spans="1:59" ht="15.75" x14ac:dyDescent="0.25">
      <c r="A89" s="1883"/>
      <c r="B89" s="1748"/>
      <c r="C89" s="1884"/>
      <c r="D89" s="1884"/>
      <c r="E89" s="1726">
        <f t="shared" si="6"/>
        <v>0</v>
      </c>
      <c r="F89" s="1722"/>
      <c r="G89" s="1742"/>
      <c r="H89" s="1725"/>
      <c r="I89" s="1743"/>
      <c r="J89" s="1743"/>
      <c r="K89" s="1744"/>
      <c r="L89" s="1734">
        <f t="shared" si="14"/>
        <v>0</v>
      </c>
      <c r="M89" s="1735">
        <f t="shared" si="15"/>
        <v>0</v>
      </c>
      <c r="N89" s="1730"/>
      <c r="O89" s="1730"/>
      <c r="P89" s="1730"/>
      <c r="Q89" s="1730"/>
      <c r="R89" s="1730"/>
      <c r="S89" s="1730"/>
      <c r="T89" s="1730"/>
      <c r="U89" s="1730"/>
      <c r="V89" s="1730"/>
      <c r="W89" s="1730"/>
      <c r="X89" s="1903">
        <f t="shared" si="5"/>
        <v>0</v>
      </c>
      <c r="Y89" s="1733">
        <f t="shared" si="16"/>
        <v>0</v>
      </c>
      <c r="Z89" s="528"/>
      <c r="AA89" s="1560">
        <f t="shared" si="7"/>
        <v>0</v>
      </c>
      <c r="AB89" s="1561">
        <f t="shared" si="8"/>
        <v>0</v>
      </c>
      <c r="AC89" s="1561">
        <f t="shared" si="9"/>
        <v>0</v>
      </c>
      <c r="AD89" s="1561">
        <f t="shared" si="10"/>
        <v>0</v>
      </c>
      <c r="AE89" s="1585">
        <f t="shared" si="11"/>
        <v>0</v>
      </c>
      <c r="AF89" s="1596"/>
      <c r="AG89" s="1588"/>
      <c r="AH89" s="1588"/>
      <c r="AI89" s="1588"/>
      <c r="AJ89" s="1588"/>
      <c r="AK89" s="1589"/>
      <c r="AL89" s="1590"/>
      <c r="AM89" s="1590"/>
      <c r="AN89" s="1590"/>
      <c r="AO89" s="1597"/>
      <c r="AP89" s="1586">
        <f t="shared" si="12"/>
        <v>0</v>
      </c>
      <c r="AQ89" s="1581"/>
      <c r="AR89" s="1582"/>
      <c r="AS89" s="1638">
        <f t="shared" si="13"/>
        <v>0</v>
      </c>
      <c r="AT89" s="1641"/>
      <c r="AU89" s="1642"/>
      <c r="AV89" s="935"/>
      <c r="AW89" s="935"/>
      <c r="AX89" s="935"/>
      <c r="AY89" s="722"/>
      <c r="AZ89" s="722"/>
      <c r="BA89" s="722"/>
      <c r="BB89" s="722"/>
      <c r="BC89" s="722"/>
      <c r="BD89" s="722"/>
      <c r="BE89" s="706"/>
      <c r="BF89" s="706"/>
      <c r="BG89" s="694"/>
    </row>
    <row r="90" spans="1:59" ht="15.75" x14ac:dyDescent="0.25">
      <c r="A90" s="1883"/>
      <c r="B90" s="1748"/>
      <c r="C90" s="1884"/>
      <c r="D90" s="1884"/>
      <c r="E90" s="1726">
        <f t="shared" si="6"/>
        <v>0</v>
      </c>
      <c r="F90" s="1722"/>
      <c r="G90" s="1742"/>
      <c r="H90" s="1725"/>
      <c r="I90" s="1743"/>
      <c r="J90" s="1743"/>
      <c r="K90" s="1744"/>
      <c r="L90" s="1734">
        <f t="shared" si="14"/>
        <v>0</v>
      </c>
      <c r="M90" s="1735">
        <f t="shared" si="15"/>
        <v>0</v>
      </c>
      <c r="N90" s="1730"/>
      <c r="O90" s="1730"/>
      <c r="P90" s="1730"/>
      <c r="Q90" s="1730"/>
      <c r="R90" s="1730"/>
      <c r="S90" s="1730"/>
      <c r="T90" s="1730"/>
      <c r="U90" s="1730"/>
      <c r="V90" s="1730"/>
      <c r="W90" s="1730"/>
      <c r="X90" s="1903">
        <f t="shared" si="5"/>
        <v>0</v>
      </c>
      <c r="Y90" s="1733">
        <f t="shared" si="16"/>
        <v>0</v>
      </c>
      <c r="Z90" s="528"/>
      <c r="AA90" s="1560">
        <f t="shared" si="7"/>
        <v>0</v>
      </c>
      <c r="AB90" s="1561">
        <f t="shared" si="8"/>
        <v>0</v>
      </c>
      <c r="AC90" s="1561">
        <f t="shared" si="9"/>
        <v>0</v>
      </c>
      <c r="AD90" s="1561">
        <f t="shared" si="10"/>
        <v>0</v>
      </c>
      <c r="AE90" s="1585">
        <f t="shared" si="11"/>
        <v>0</v>
      </c>
      <c r="AF90" s="1596"/>
      <c r="AG90" s="1588"/>
      <c r="AH90" s="1588"/>
      <c r="AI90" s="1588"/>
      <c r="AJ90" s="1588"/>
      <c r="AK90" s="1589"/>
      <c r="AL90" s="1590"/>
      <c r="AM90" s="1590"/>
      <c r="AN90" s="1590"/>
      <c r="AO90" s="1597"/>
      <c r="AP90" s="1586">
        <f t="shared" si="12"/>
        <v>0</v>
      </c>
      <c r="AQ90" s="1581"/>
      <c r="AR90" s="1582"/>
      <c r="AS90" s="1638">
        <f t="shared" si="13"/>
        <v>0</v>
      </c>
      <c r="AT90" s="1641"/>
      <c r="AU90" s="1642"/>
      <c r="AV90" s="935"/>
      <c r="AW90" s="935"/>
      <c r="AX90" s="935"/>
      <c r="AY90" s="722"/>
      <c r="AZ90" s="722"/>
      <c r="BA90" s="722"/>
      <c r="BB90" s="722"/>
      <c r="BC90" s="722"/>
      <c r="BD90" s="722"/>
      <c r="BE90" s="706"/>
      <c r="BF90" s="706"/>
      <c r="BG90" s="694"/>
    </row>
    <row r="91" spans="1:59" ht="15.75" x14ac:dyDescent="0.25">
      <c r="A91" s="1883"/>
      <c r="B91" s="1748"/>
      <c r="C91" s="1884"/>
      <c r="D91" s="1884"/>
      <c r="E91" s="1726">
        <f t="shared" si="6"/>
        <v>0</v>
      </c>
      <c r="F91" s="1722"/>
      <c r="G91" s="1742"/>
      <c r="H91" s="1725"/>
      <c r="I91" s="1743"/>
      <c r="J91" s="1743"/>
      <c r="K91" s="1744"/>
      <c r="L91" s="1734">
        <f t="shared" si="14"/>
        <v>0</v>
      </c>
      <c r="M91" s="1735">
        <f t="shared" si="15"/>
        <v>0</v>
      </c>
      <c r="N91" s="1730"/>
      <c r="O91" s="1730"/>
      <c r="P91" s="1730"/>
      <c r="Q91" s="1730"/>
      <c r="R91" s="1730"/>
      <c r="S91" s="1730"/>
      <c r="T91" s="1730"/>
      <c r="U91" s="1730"/>
      <c r="V91" s="1730"/>
      <c r="W91" s="1730"/>
      <c r="X91" s="1903">
        <f t="shared" si="5"/>
        <v>0</v>
      </c>
      <c r="Y91" s="1733">
        <f t="shared" si="16"/>
        <v>0</v>
      </c>
      <c r="Z91" s="528"/>
      <c r="AA91" s="1560">
        <f t="shared" si="7"/>
        <v>0</v>
      </c>
      <c r="AB91" s="1561">
        <f t="shared" si="8"/>
        <v>0</v>
      </c>
      <c r="AC91" s="1561">
        <f t="shared" si="9"/>
        <v>0</v>
      </c>
      <c r="AD91" s="1561">
        <f t="shared" si="10"/>
        <v>0</v>
      </c>
      <c r="AE91" s="1585">
        <f t="shared" si="11"/>
        <v>0</v>
      </c>
      <c r="AF91" s="1596"/>
      <c r="AG91" s="1588"/>
      <c r="AH91" s="1588"/>
      <c r="AI91" s="1588"/>
      <c r="AJ91" s="1588"/>
      <c r="AK91" s="1589"/>
      <c r="AL91" s="1590"/>
      <c r="AM91" s="1590"/>
      <c r="AN91" s="1590"/>
      <c r="AO91" s="1597"/>
      <c r="AP91" s="1586">
        <f t="shared" si="12"/>
        <v>0</v>
      </c>
      <c r="AQ91" s="1581"/>
      <c r="AR91" s="1582"/>
      <c r="AS91" s="1638">
        <f t="shared" si="13"/>
        <v>0</v>
      </c>
      <c r="AT91" s="1641"/>
      <c r="AU91" s="1642"/>
      <c r="AV91" s="935"/>
      <c r="AW91" s="935"/>
      <c r="AX91" s="935"/>
      <c r="AY91" s="722"/>
      <c r="AZ91" s="722"/>
      <c r="BA91" s="722"/>
      <c r="BB91" s="722"/>
      <c r="BC91" s="722"/>
      <c r="BD91" s="722"/>
      <c r="BE91" s="706"/>
      <c r="BF91" s="706"/>
      <c r="BG91" s="694"/>
    </row>
    <row r="92" spans="1:59" ht="15.75" x14ac:dyDescent="0.25">
      <c r="A92" s="1883"/>
      <c r="B92" s="1748"/>
      <c r="C92" s="1884"/>
      <c r="D92" s="1884"/>
      <c r="E92" s="1726">
        <f t="shared" si="6"/>
        <v>0</v>
      </c>
      <c r="F92" s="1722"/>
      <c r="G92" s="1742"/>
      <c r="H92" s="1725"/>
      <c r="I92" s="1743"/>
      <c r="J92" s="1743"/>
      <c r="K92" s="1744"/>
      <c r="L92" s="1734">
        <f t="shared" si="14"/>
        <v>0</v>
      </c>
      <c r="M92" s="1735">
        <f t="shared" si="15"/>
        <v>0</v>
      </c>
      <c r="N92" s="1730"/>
      <c r="O92" s="1730"/>
      <c r="P92" s="1730"/>
      <c r="Q92" s="1730"/>
      <c r="R92" s="1730"/>
      <c r="S92" s="1730"/>
      <c r="T92" s="1730"/>
      <c r="U92" s="1730"/>
      <c r="V92" s="1730"/>
      <c r="W92" s="1730"/>
      <c r="X92" s="1903">
        <f t="shared" si="5"/>
        <v>0</v>
      </c>
      <c r="Y92" s="1733">
        <f t="shared" si="16"/>
        <v>0</v>
      </c>
      <c r="Z92" s="528"/>
      <c r="AA92" s="1560">
        <f t="shared" si="7"/>
        <v>0</v>
      </c>
      <c r="AB92" s="1561">
        <f t="shared" si="8"/>
        <v>0</v>
      </c>
      <c r="AC92" s="1561">
        <f t="shared" si="9"/>
        <v>0</v>
      </c>
      <c r="AD92" s="1561">
        <f t="shared" si="10"/>
        <v>0</v>
      </c>
      <c r="AE92" s="1585">
        <f t="shared" si="11"/>
        <v>0</v>
      </c>
      <c r="AF92" s="1596"/>
      <c r="AG92" s="1588"/>
      <c r="AH92" s="1588"/>
      <c r="AI92" s="1588"/>
      <c r="AJ92" s="1588"/>
      <c r="AK92" s="1589"/>
      <c r="AL92" s="1590"/>
      <c r="AM92" s="1590"/>
      <c r="AN92" s="1590"/>
      <c r="AO92" s="1597"/>
      <c r="AP92" s="1586">
        <f t="shared" si="12"/>
        <v>0</v>
      </c>
      <c r="AQ92" s="1581"/>
      <c r="AR92" s="1582"/>
      <c r="AS92" s="1638">
        <f t="shared" si="13"/>
        <v>0</v>
      </c>
      <c r="AT92" s="1641"/>
      <c r="AU92" s="1642"/>
      <c r="AV92" s="935"/>
      <c r="AW92" s="935"/>
      <c r="AX92" s="935"/>
      <c r="AY92" s="722"/>
      <c r="AZ92" s="722"/>
      <c r="BA92" s="722"/>
      <c r="BB92" s="722"/>
      <c r="BC92" s="722"/>
      <c r="BD92" s="722"/>
      <c r="BE92" s="706"/>
      <c r="BF92" s="706"/>
      <c r="BG92" s="694"/>
    </row>
    <row r="93" spans="1:59" ht="15.75" x14ac:dyDescent="0.25">
      <c r="A93" s="1883"/>
      <c r="B93" s="1748"/>
      <c r="C93" s="1884"/>
      <c r="D93" s="1884"/>
      <c r="E93" s="1726">
        <f t="shared" si="6"/>
        <v>0</v>
      </c>
      <c r="F93" s="1722"/>
      <c r="G93" s="1742"/>
      <c r="H93" s="1725"/>
      <c r="I93" s="1743"/>
      <c r="J93" s="1743"/>
      <c r="K93" s="1744"/>
      <c r="L93" s="1734">
        <f t="shared" si="14"/>
        <v>0</v>
      </c>
      <c r="M93" s="1735">
        <f t="shared" si="15"/>
        <v>0</v>
      </c>
      <c r="N93" s="1730"/>
      <c r="O93" s="1730"/>
      <c r="P93" s="1730"/>
      <c r="Q93" s="1730"/>
      <c r="R93" s="1730"/>
      <c r="S93" s="1730"/>
      <c r="T93" s="1730"/>
      <c r="U93" s="1730"/>
      <c r="V93" s="1730"/>
      <c r="W93" s="1730"/>
      <c r="X93" s="1903">
        <f t="shared" si="5"/>
        <v>0</v>
      </c>
      <c r="Y93" s="1733">
        <f t="shared" si="16"/>
        <v>0</v>
      </c>
      <c r="Z93" s="528"/>
      <c r="AA93" s="1560">
        <f t="shared" si="7"/>
        <v>0</v>
      </c>
      <c r="AB93" s="1561">
        <f t="shared" si="8"/>
        <v>0</v>
      </c>
      <c r="AC93" s="1561">
        <f t="shared" si="9"/>
        <v>0</v>
      </c>
      <c r="AD93" s="1561">
        <f t="shared" si="10"/>
        <v>0</v>
      </c>
      <c r="AE93" s="1585">
        <f t="shared" si="11"/>
        <v>0</v>
      </c>
      <c r="AF93" s="1596"/>
      <c r="AG93" s="1588"/>
      <c r="AH93" s="1588"/>
      <c r="AI93" s="1588"/>
      <c r="AJ93" s="1588"/>
      <c r="AK93" s="1589"/>
      <c r="AL93" s="1590"/>
      <c r="AM93" s="1590"/>
      <c r="AN93" s="1590"/>
      <c r="AO93" s="1597"/>
      <c r="AP93" s="1586">
        <f t="shared" si="12"/>
        <v>0</v>
      </c>
      <c r="AQ93" s="1581"/>
      <c r="AR93" s="1582"/>
      <c r="AS93" s="1638">
        <f t="shared" si="13"/>
        <v>0</v>
      </c>
      <c r="AT93" s="1641"/>
      <c r="AU93" s="1642"/>
      <c r="AV93" s="935"/>
      <c r="AW93" s="935"/>
      <c r="AX93" s="935"/>
      <c r="AY93" s="722"/>
      <c r="AZ93" s="722"/>
      <c r="BA93" s="722"/>
      <c r="BB93" s="722"/>
      <c r="BC93" s="722"/>
      <c r="BD93" s="722"/>
      <c r="BE93" s="706"/>
      <c r="BF93" s="706"/>
      <c r="BG93" s="694"/>
    </row>
    <row r="94" spans="1:59" ht="15.75" x14ac:dyDescent="0.25">
      <c r="A94" s="1883"/>
      <c r="B94" s="1748"/>
      <c r="C94" s="1884"/>
      <c r="D94" s="1884"/>
      <c r="E94" s="1726">
        <f t="shared" si="6"/>
        <v>0</v>
      </c>
      <c r="F94" s="1722"/>
      <c r="G94" s="1742"/>
      <c r="H94" s="1725"/>
      <c r="I94" s="1743"/>
      <c r="J94" s="1743"/>
      <c r="K94" s="1744"/>
      <c r="L94" s="1734">
        <f t="shared" si="14"/>
        <v>0</v>
      </c>
      <c r="M94" s="1735">
        <f t="shared" si="15"/>
        <v>0</v>
      </c>
      <c r="N94" s="1730"/>
      <c r="O94" s="1730"/>
      <c r="P94" s="1730"/>
      <c r="Q94" s="1730"/>
      <c r="R94" s="1730"/>
      <c r="S94" s="1730"/>
      <c r="T94" s="1730"/>
      <c r="U94" s="1730"/>
      <c r="V94" s="1730"/>
      <c r="W94" s="1730"/>
      <c r="X94" s="1903">
        <f t="shared" si="5"/>
        <v>0</v>
      </c>
      <c r="Y94" s="1733">
        <f t="shared" si="16"/>
        <v>0</v>
      </c>
      <c r="Z94" s="528"/>
      <c r="AA94" s="1560">
        <f t="shared" si="7"/>
        <v>0</v>
      </c>
      <c r="AB94" s="1561">
        <f t="shared" si="8"/>
        <v>0</v>
      </c>
      <c r="AC94" s="1561">
        <f t="shared" si="9"/>
        <v>0</v>
      </c>
      <c r="AD94" s="1561">
        <f t="shared" si="10"/>
        <v>0</v>
      </c>
      <c r="AE94" s="1585">
        <f t="shared" si="11"/>
        <v>0</v>
      </c>
      <c r="AF94" s="1596"/>
      <c r="AG94" s="1588"/>
      <c r="AH94" s="1588"/>
      <c r="AI94" s="1588"/>
      <c r="AJ94" s="1588"/>
      <c r="AK94" s="1589"/>
      <c r="AL94" s="1590"/>
      <c r="AM94" s="1590"/>
      <c r="AN94" s="1590"/>
      <c r="AO94" s="1597"/>
      <c r="AP94" s="1586">
        <f t="shared" si="12"/>
        <v>0</v>
      </c>
      <c r="AQ94" s="1581"/>
      <c r="AR94" s="1582"/>
      <c r="AS94" s="1638">
        <f t="shared" si="13"/>
        <v>0</v>
      </c>
      <c r="AT94" s="1641"/>
      <c r="AU94" s="1642"/>
      <c r="AV94" s="935"/>
      <c r="AW94" s="935"/>
      <c r="AX94" s="935"/>
      <c r="AY94" s="722"/>
      <c r="AZ94" s="722"/>
      <c r="BA94" s="722"/>
      <c r="BB94" s="722"/>
      <c r="BC94" s="722"/>
      <c r="BD94" s="722"/>
      <c r="BE94" s="706"/>
      <c r="BF94" s="706"/>
      <c r="BG94" s="694"/>
    </row>
    <row r="95" spans="1:59" ht="15.75" x14ac:dyDescent="0.25">
      <c r="A95" s="1883"/>
      <c r="B95" s="1748"/>
      <c r="C95" s="1884"/>
      <c r="D95" s="1884"/>
      <c r="E95" s="1726">
        <f t="shared" si="6"/>
        <v>0</v>
      </c>
      <c r="F95" s="1722"/>
      <c r="G95" s="1742"/>
      <c r="H95" s="1725"/>
      <c r="I95" s="1743"/>
      <c r="J95" s="1743"/>
      <c r="K95" s="1744"/>
      <c r="L95" s="1734">
        <f t="shared" si="14"/>
        <v>0</v>
      </c>
      <c r="M95" s="1735">
        <f t="shared" si="15"/>
        <v>0</v>
      </c>
      <c r="N95" s="1730"/>
      <c r="O95" s="1730"/>
      <c r="P95" s="1730"/>
      <c r="Q95" s="1730"/>
      <c r="R95" s="1730"/>
      <c r="S95" s="1730"/>
      <c r="T95" s="1730"/>
      <c r="U95" s="1730"/>
      <c r="V95" s="1730"/>
      <c r="W95" s="1730"/>
      <c r="X95" s="1903">
        <f t="shared" si="5"/>
        <v>0</v>
      </c>
      <c r="Y95" s="1733">
        <f t="shared" si="16"/>
        <v>0</v>
      </c>
      <c r="Z95" s="528"/>
      <c r="AA95" s="1560">
        <f t="shared" si="7"/>
        <v>0</v>
      </c>
      <c r="AB95" s="1561">
        <f t="shared" si="8"/>
        <v>0</v>
      </c>
      <c r="AC95" s="1561">
        <f t="shared" si="9"/>
        <v>0</v>
      </c>
      <c r="AD95" s="1561">
        <f t="shared" si="10"/>
        <v>0</v>
      </c>
      <c r="AE95" s="1585">
        <f t="shared" si="11"/>
        <v>0</v>
      </c>
      <c r="AF95" s="1596"/>
      <c r="AG95" s="1588"/>
      <c r="AH95" s="1588"/>
      <c r="AI95" s="1588"/>
      <c r="AJ95" s="1588"/>
      <c r="AK95" s="1589"/>
      <c r="AL95" s="1590"/>
      <c r="AM95" s="1590"/>
      <c r="AN95" s="1590"/>
      <c r="AO95" s="1597"/>
      <c r="AP95" s="1586">
        <f t="shared" si="12"/>
        <v>0</v>
      </c>
      <c r="AQ95" s="1581"/>
      <c r="AR95" s="1582"/>
      <c r="AS95" s="1638">
        <f t="shared" si="13"/>
        <v>0</v>
      </c>
      <c r="AT95" s="1641"/>
      <c r="AU95" s="1642"/>
      <c r="AV95" s="935"/>
      <c r="AW95" s="935"/>
      <c r="AX95" s="935"/>
      <c r="AY95" s="722"/>
      <c r="AZ95" s="722"/>
      <c r="BA95" s="722"/>
      <c r="BB95" s="722"/>
      <c r="BC95" s="722"/>
      <c r="BD95" s="722"/>
      <c r="BE95" s="706"/>
      <c r="BF95" s="706"/>
      <c r="BG95" s="694"/>
    </row>
    <row r="96" spans="1:59" ht="15.75" x14ac:dyDescent="0.25">
      <c r="A96" s="1883"/>
      <c r="B96" s="1748"/>
      <c r="C96" s="1884"/>
      <c r="D96" s="1884"/>
      <c r="E96" s="1726">
        <f t="shared" si="6"/>
        <v>0</v>
      </c>
      <c r="F96" s="1722"/>
      <c r="G96" s="1742"/>
      <c r="H96" s="1725"/>
      <c r="I96" s="1743"/>
      <c r="J96" s="1743"/>
      <c r="K96" s="1744"/>
      <c r="L96" s="1734">
        <f t="shared" si="14"/>
        <v>0</v>
      </c>
      <c r="M96" s="1735">
        <f t="shared" si="15"/>
        <v>0</v>
      </c>
      <c r="N96" s="1730"/>
      <c r="O96" s="1730"/>
      <c r="P96" s="1730"/>
      <c r="Q96" s="1730"/>
      <c r="R96" s="1730"/>
      <c r="S96" s="1730"/>
      <c r="T96" s="1730"/>
      <c r="U96" s="1730"/>
      <c r="V96" s="1730"/>
      <c r="W96" s="1730"/>
      <c r="X96" s="1903">
        <f t="shared" si="5"/>
        <v>0</v>
      </c>
      <c r="Y96" s="1733">
        <f t="shared" si="16"/>
        <v>0</v>
      </c>
      <c r="Z96" s="528"/>
      <c r="AA96" s="1560">
        <f t="shared" si="7"/>
        <v>0</v>
      </c>
      <c r="AB96" s="1561">
        <f t="shared" si="8"/>
        <v>0</v>
      </c>
      <c r="AC96" s="1561">
        <f t="shared" si="9"/>
        <v>0</v>
      </c>
      <c r="AD96" s="1561">
        <f t="shared" si="10"/>
        <v>0</v>
      </c>
      <c r="AE96" s="1585">
        <f t="shared" si="11"/>
        <v>0</v>
      </c>
      <c r="AF96" s="1596"/>
      <c r="AG96" s="1588"/>
      <c r="AH96" s="1588"/>
      <c r="AI96" s="1588"/>
      <c r="AJ96" s="1588"/>
      <c r="AK96" s="1589"/>
      <c r="AL96" s="1590"/>
      <c r="AM96" s="1590"/>
      <c r="AN96" s="1590"/>
      <c r="AO96" s="1597"/>
      <c r="AP96" s="1586">
        <f t="shared" si="12"/>
        <v>0</v>
      </c>
      <c r="AQ96" s="1581"/>
      <c r="AR96" s="1582"/>
      <c r="AS96" s="1638">
        <f t="shared" si="13"/>
        <v>0</v>
      </c>
      <c r="AT96" s="1641"/>
      <c r="AU96" s="1642"/>
      <c r="AV96" s="935"/>
      <c r="AW96" s="935"/>
      <c r="AX96" s="935"/>
      <c r="AY96" s="722"/>
      <c r="AZ96" s="722"/>
      <c r="BA96" s="722"/>
      <c r="BB96" s="722"/>
      <c r="BC96" s="722"/>
      <c r="BD96" s="722"/>
      <c r="BE96" s="706"/>
      <c r="BF96" s="706"/>
      <c r="BG96" s="694"/>
    </row>
    <row r="97" spans="1:65" ht="15.75" x14ac:dyDescent="0.25">
      <c r="A97" s="1883"/>
      <c r="B97" s="1748"/>
      <c r="C97" s="1884"/>
      <c r="D97" s="1884"/>
      <c r="E97" s="1726">
        <f t="shared" si="6"/>
        <v>0</v>
      </c>
      <c r="F97" s="1722"/>
      <c r="G97" s="1742"/>
      <c r="H97" s="1725"/>
      <c r="I97" s="1743"/>
      <c r="J97" s="1743"/>
      <c r="K97" s="1744"/>
      <c r="L97" s="1734">
        <f t="shared" si="14"/>
        <v>0</v>
      </c>
      <c r="M97" s="1735">
        <f t="shared" si="15"/>
        <v>0</v>
      </c>
      <c r="N97" s="1730"/>
      <c r="O97" s="1730"/>
      <c r="P97" s="1730"/>
      <c r="Q97" s="1730"/>
      <c r="R97" s="1730"/>
      <c r="S97" s="1730"/>
      <c r="T97" s="1730"/>
      <c r="U97" s="1730"/>
      <c r="V97" s="1730"/>
      <c r="W97" s="1730"/>
      <c r="X97" s="1903">
        <f t="shared" si="5"/>
        <v>0</v>
      </c>
      <c r="Y97" s="1733">
        <f t="shared" si="16"/>
        <v>0</v>
      </c>
      <c r="Z97" s="528"/>
      <c r="AA97" s="1560">
        <f t="shared" si="7"/>
        <v>0</v>
      </c>
      <c r="AB97" s="1561">
        <f t="shared" si="8"/>
        <v>0</v>
      </c>
      <c r="AC97" s="1561">
        <f t="shared" si="9"/>
        <v>0</v>
      </c>
      <c r="AD97" s="1561">
        <f t="shared" si="10"/>
        <v>0</v>
      </c>
      <c r="AE97" s="1585">
        <f t="shared" si="11"/>
        <v>0</v>
      </c>
      <c r="AF97" s="1596"/>
      <c r="AG97" s="1588"/>
      <c r="AH97" s="1588"/>
      <c r="AI97" s="1588"/>
      <c r="AJ97" s="1588"/>
      <c r="AK97" s="1589"/>
      <c r="AL97" s="1590"/>
      <c r="AM97" s="1590"/>
      <c r="AN97" s="1590"/>
      <c r="AO97" s="1597"/>
      <c r="AP97" s="1586">
        <f t="shared" si="12"/>
        <v>0</v>
      </c>
      <c r="AQ97" s="1581"/>
      <c r="AR97" s="1582"/>
      <c r="AS97" s="1638">
        <f t="shared" si="13"/>
        <v>0</v>
      </c>
      <c r="AT97" s="1641"/>
      <c r="AU97" s="1642"/>
      <c r="AV97" s="935"/>
      <c r="AW97" s="935"/>
      <c r="AX97" s="935"/>
      <c r="AY97" s="722"/>
      <c r="AZ97" s="722"/>
      <c r="BA97" s="722"/>
      <c r="BB97" s="722"/>
      <c r="BC97" s="722"/>
      <c r="BD97" s="722"/>
      <c r="BE97" s="706"/>
      <c r="BF97" s="706"/>
      <c r="BG97" s="694"/>
    </row>
    <row r="98" spans="1:65" ht="15.75" x14ac:dyDescent="0.25">
      <c r="A98" s="1883"/>
      <c r="B98" s="1748"/>
      <c r="C98" s="1884"/>
      <c r="D98" s="1884"/>
      <c r="E98" s="1726">
        <f t="shared" si="6"/>
        <v>0</v>
      </c>
      <c r="F98" s="1722"/>
      <c r="G98" s="1742"/>
      <c r="H98" s="1725"/>
      <c r="I98" s="1743"/>
      <c r="J98" s="1743"/>
      <c r="K98" s="1744"/>
      <c r="L98" s="1734">
        <f t="shared" si="14"/>
        <v>0</v>
      </c>
      <c r="M98" s="1735">
        <f t="shared" si="15"/>
        <v>0</v>
      </c>
      <c r="N98" s="1730"/>
      <c r="O98" s="1730"/>
      <c r="P98" s="1730"/>
      <c r="Q98" s="1730"/>
      <c r="R98" s="1730"/>
      <c r="S98" s="1730"/>
      <c r="T98" s="1730"/>
      <c r="U98" s="1730"/>
      <c r="V98" s="1730"/>
      <c r="W98" s="1730"/>
      <c r="X98" s="1903">
        <f t="shared" si="5"/>
        <v>0</v>
      </c>
      <c r="Y98" s="1733">
        <f t="shared" si="16"/>
        <v>0</v>
      </c>
      <c r="Z98" s="528"/>
      <c r="AA98" s="1560">
        <f t="shared" si="7"/>
        <v>0</v>
      </c>
      <c r="AB98" s="1561">
        <f t="shared" si="8"/>
        <v>0</v>
      </c>
      <c r="AC98" s="1561">
        <f t="shared" si="9"/>
        <v>0</v>
      </c>
      <c r="AD98" s="1561">
        <f t="shared" si="10"/>
        <v>0</v>
      </c>
      <c r="AE98" s="1585">
        <f t="shared" si="11"/>
        <v>0</v>
      </c>
      <c r="AF98" s="1596"/>
      <c r="AG98" s="1588"/>
      <c r="AH98" s="1588"/>
      <c r="AI98" s="1588"/>
      <c r="AJ98" s="1588"/>
      <c r="AK98" s="1589"/>
      <c r="AL98" s="1590"/>
      <c r="AM98" s="1590"/>
      <c r="AN98" s="1590"/>
      <c r="AO98" s="1597"/>
      <c r="AP98" s="1586">
        <f t="shared" si="12"/>
        <v>0</v>
      </c>
      <c r="AQ98" s="1581"/>
      <c r="AR98" s="1582"/>
      <c r="AS98" s="1638">
        <f t="shared" si="13"/>
        <v>0</v>
      </c>
      <c r="AT98" s="1641"/>
      <c r="AU98" s="1642"/>
      <c r="AV98" s="935"/>
      <c r="AW98" s="935"/>
      <c r="AX98" s="935"/>
      <c r="AY98" s="722"/>
      <c r="AZ98" s="722"/>
      <c r="BA98" s="722"/>
      <c r="BB98" s="722"/>
      <c r="BC98" s="722"/>
      <c r="BD98" s="722"/>
      <c r="BE98" s="706"/>
      <c r="BF98" s="706"/>
      <c r="BG98" s="694"/>
    </row>
    <row r="99" spans="1:65" ht="15.75" x14ac:dyDescent="0.25">
      <c r="A99" s="1883"/>
      <c r="B99" s="1748"/>
      <c r="C99" s="1884"/>
      <c r="D99" s="1884"/>
      <c r="E99" s="1726">
        <f t="shared" si="6"/>
        <v>0</v>
      </c>
      <c r="F99" s="1722"/>
      <c r="G99" s="1742"/>
      <c r="H99" s="1725"/>
      <c r="I99" s="1743"/>
      <c r="J99" s="1743"/>
      <c r="K99" s="1744"/>
      <c r="L99" s="1734">
        <f t="shared" si="14"/>
        <v>0</v>
      </c>
      <c r="M99" s="1735">
        <f t="shared" si="15"/>
        <v>0</v>
      </c>
      <c r="N99" s="1730"/>
      <c r="O99" s="1730"/>
      <c r="P99" s="1730"/>
      <c r="Q99" s="1730"/>
      <c r="R99" s="1730"/>
      <c r="S99" s="1730"/>
      <c r="T99" s="1730"/>
      <c r="U99" s="1730"/>
      <c r="V99" s="1730"/>
      <c r="W99" s="1730"/>
      <c r="X99" s="1903">
        <f t="shared" si="5"/>
        <v>0</v>
      </c>
      <c r="Y99" s="1733">
        <f t="shared" si="16"/>
        <v>0</v>
      </c>
      <c r="Z99" s="528"/>
      <c r="AA99" s="1560">
        <f t="shared" si="7"/>
        <v>0</v>
      </c>
      <c r="AB99" s="1561">
        <f t="shared" si="8"/>
        <v>0</v>
      </c>
      <c r="AC99" s="1561">
        <f t="shared" si="9"/>
        <v>0</v>
      </c>
      <c r="AD99" s="1561">
        <f t="shared" si="10"/>
        <v>0</v>
      </c>
      <c r="AE99" s="1585">
        <f t="shared" si="11"/>
        <v>0</v>
      </c>
      <c r="AF99" s="1596"/>
      <c r="AG99" s="1588"/>
      <c r="AH99" s="1588"/>
      <c r="AI99" s="1588"/>
      <c r="AJ99" s="1588"/>
      <c r="AK99" s="1589"/>
      <c r="AL99" s="1590"/>
      <c r="AM99" s="1590"/>
      <c r="AN99" s="1590"/>
      <c r="AO99" s="1597"/>
      <c r="AP99" s="1586">
        <f t="shared" si="12"/>
        <v>0</v>
      </c>
      <c r="AQ99" s="1581"/>
      <c r="AR99" s="1582"/>
      <c r="AS99" s="1638">
        <f t="shared" si="13"/>
        <v>0</v>
      </c>
      <c r="AT99" s="1641"/>
      <c r="AU99" s="1642"/>
      <c r="AV99" s="935"/>
      <c r="AW99" s="935"/>
      <c r="AX99" s="935"/>
      <c r="AY99" s="722"/>
      <c r="AZ99" s="722"/>
      <c r="BA99" s="722"/>
      <c r="BB99" s="722"/>
      <c r="BC99" s="722"/>
      <c r="BD99" s="722"/>
      <c r="BE99" s="706"/>
      <c r="BF99" s="706"/>
      <c r="BG99" s="694"/>
    </row>
    <row r="100" spans="1:65" ht="15.75" x14ac:dyDescent="0.25">
      <c r="A100" s="1883"/>
      <c r="B100" s="1748"/>
      <c r="C100" s="1884"/>
      <c r="D100" s="1884"/>
      <c r="E100" s="1726">
        <f t="shared" si="6"/>
        <v>0</v>
      </c>
      <c r="F100" s="1722"/>
      <c r="G100" s="1742"/>
      <c r="H100" s="1725"/>
      <c r="I100" s="1743"/>
      <c r="J100" s="1743"/>
      <c r="K100" s="1744"/>
      <c r="L100" s="1734">
        <f t="shared" si="14"/>
        <v>0</v>
      </c>
      <c r="M100" s="1735">
        <f t="shared" si="15"/>
        <v>0</v>
      </c>
      <c r="N100" s="1730"/>
      <c r="O100" s="1730"/>
      <c r="P100" s="1730"/>
      <c r="Q100" s="1730"/>
      <c r="R100" s="1730"/>
      <c r="S100" s="1730"/>
      <c r="T100" s="1730"/>
      <c r="U100" s="1730"/>
      <c r="V100" s="1730"/>
      <c r="W100" s="1730"/>
      <c r="X100" s="1903">
        <f t="shared" si="5"/>
        <v>0</v>
      </c>
      <c r="Y100" s="1733">
        <f t="shared" si="16"/>
        <v>0</v>
      </c>
      <c r="Z100" s="528"/>
      <c r="AA100" s="1560">
        <f t="shared" si="7"/>
        <v>0</v>
      </c>
      <c r="AB100" s="1561">
        <f t="shared" si="8"/>
        <v>0</v>
      </c>
      <c r="AC100" s="1561">
        <f t="shared" si="9"/>
        <v>0</v>
      </c>
      <c r="AD100" s="1561">
        <f t="shared" si="10"/>
        <v>0</v>
      </c>
      <c r="AE100" s="1585">
        <f t="shared" si="11"/>
        <v>0</v>
      </c>
      <c r="AF100" s="1596"/>
      <c r="AG100" s="1588"/>
      <c r="AH100" s="1588"/>
      <c r="AI100" s="1588"/>
      <c r="AJ100" s="1588"/>
      <c r="AK100" s="1589"/>
      <c r="AL100" s="1590"/>
      <c r="AM100" s="1590"/>
      <c r="AN100" s="1590"/>
      <c r="AO100" s="1597"/>
      <c r="AP100" s="1586">
        <f t="shared" si="12"/>
        <v>0</v>
      </c>
      <c r="AQ100" s="1581"/>
      <c r="AR100" s="1582"/>
      <c r="AS100" s="1638">
        <f t="shared" si="13"/>
        <v>0</v>
      </c>
      <c r="AT100" s="1641"/>
      <c r="AU100" s="1642"/>
      <c r="AV100" s="935"/>
      <c r="AW100" s="935"/>
      <c r="AX100" s="935"/>
      <c r="AY100" s="722"/>
      <c r="AZ100" s="722"/>
      <c r="BA100" s="722"/>
      <c r="BB100" s="722"/>
      <c r="BC100" s="722"/>
      <c r="BD100" s="722"/>
      <c r="BE100" s="706"/>
      <c r="BF100" s="706"/>
      <c r="BG100" s="694"/>
    </row>
    <row r="101" spans="1:65" ht="15.75" x14ac:dyDescent="0.25">
      <c r="A101" s="1883"/>
      <c r="B101" s="1748"/>
      <c r="C101" s="1884"/>
      <c r="D101" s="1884"/>
      <c r="E101" s="1726">
        <f t="shared" si="6"/>
        <v>0</v>
      </c>
      <c r="F101" s="1722"/>
      <c r="G101" s="1742"/>
      <c r="H101" s="1725"/>
      <c r="I101" s="1743"/>
      <c r="J101" s="1743"/>
      <c r="K101" s="1744"/>
      <c r="L101" s="1734">
        <f t="shared" si="14"/>
        <v>0</v>
      </c>
      <c r="M101" s="1735">
        <f t="shared" si="15"/>
        <v>0</v>
      </c>
      <c r="N101" s="1730"/>
      <c r="O101" s="1730"/>
      <c r="P101" s="1730"/>
      <c r="Q101" s="1730"/>
      <c r="R101" s="1730"/>
      <c r="S101" s="1730"/>
      <c r="T101" s="1730"/>
      <c r="U101" s="1730"/>
      <c r="V101" s="1730"/>
      <c r="W101" s="1730"/>
      <c r="X101" s="1903">
        <f t="shared" si="5"/>
        <v>0</v>
      </c>
      <c r="Y101" s="1733">
        <f t="shared" si="16"/>
        <v>0</v>
      </c>
      <c r="Z101" s="528"/>
      <c r="AA101" s="1560">
        <f t="shared" si="7"/>
        <v>0</v>
      </c>
      <c r="AB101" s="1561">
        <f t="shared" si="8"/>
        <v>0</v>
      </c>
      <c r="AC101" s="1561">
        <f t="shared" si="9"/>
        <v>0</v>
      </c>
      <c r="AD101" s="1561">
        <f t="shared" si="10"/>
        <v>0</v>
      </c>
      <c r="AE101" s="1585">
        <f t="shared" si="11"/>
        <v>0</v>
      </c>
      <c r="AF101" s="1596"/>
      <c r="AG101" s="1588"/>
      <c r="AH101" s="1588"/>
      <c r="AI101" s="1588"/>
      <c r="AJ101" s="1588"/>
      <c r="AK101" s="1589"/>
      <c r="AL101" s="1590"/>
      <c r="AM101" s="1590"/>
      <c r="AN101" s="1590"/>
      <c r="AO101" s="1597"/>
      <c r="AP101" s="1586">
        <f t="shared" si="12"/>
        <v>0</v>
      </c>
      <c r="AQ101" s="1581"/>
      <c r="AR101" s="1582"/>
      <c r="AS101" s="1638">
        <f t="shared" si="13"/>
        <v>0</v>
      </c>
      <c r="AT101" s="1641"/>
      <c r="AU101" s="1642"/>
      <c r="AV101" s="935"/>
      <c r="AW101" s="935"/>
      <c r="AX101" s="935"/>
      <c r="AY101" s="722"/>
      <c r="AZ101" s="722"/>
      <c r="BA101" s="722"/>
      <c r="BB101" s="722"/>
      <c r="BC101" s="722"/>
      <c r="BD101" s="722"/>
      <c r="BE101" s="706"/>
      <c r="BF101" s="706"/>
      <c r="BG101" s="694"/>
    </row>
    <row r="102" spans="1:65" ht="15.75" x14ac:dyDescent="0.25">
      <c r="A102" s="1883"/>
      <c r="B102" s="1748"/>
      <c r="C102" s="1884"/>
      <c r="D102" s="1884"/>
      <c r="E102" s="1726">
        <f t="shared" si="6"/>
        <v>0</v>
      </c>
      <c r="F102" s="1722"/>
      <c r="G102" s="1742"/>
      <c r="H102" s="1725"/>
      <c r="I102" s="1743"/>
      <c r="J102" s="1743"/>
      <c r="K102" s="1744"/>
      <c r="L102" s="1734">
        <f t="shared" si="14"/>
        <v>0</v>
      </c>
      <c r="M102" s="1735">
        <f t="shared" si="15"/>
        <v>0</v>
      </c>
      <c r="N102" s="1730"/>
      <c r="O102" s="1730"/>
      <c r="P102" s="1730"/>
      <c r="Q102" s="1730"/>
      <c r="R102" s="1730"/>
      <c r="S102" s="1730"/>
      <c r="T102" s="1730"/>
      <c r="U102" s="1730"/>
      <c r="V102" s="1730"/>
      <c r="W102" s="1730"/>
      <c r="X102" s="1903">
        <f t="shared" si="5"/>
        <v>0</v>
      </c>
      <c r="Y102" s="1733">
        <f t="shared" si="16"/>
        <v>0</v>
      </c>
      <c r="Z102" s="528"/>
      <c r="AA102" s="1560">
        <f t="shared" si="7"/>
        <v>0</v>
      </c>
      <c r="AB102" s="1561">
        <f t="shared" si="8"/>
        <v>0</v>
      </c>
      <c r="AC102" s="1561">
        <f t="shared" si="9"/>
        <v>0</v>
      </c>
      <c r="AD102" s="1561">
        <f t="shared" si="10"/>
        <v>0</v>
      </c>
      <c r="AE102" s="1585">
        <f t="shared" si="11"/>
        <v>0</v>
      </c>
      <c r="AF102" s="1596"/>
      <c r="AG102" s="1588"/>
      <c r="AH102" s="1588"/>
      <c r="AI102" s="1588"/>
      <c r="AJ102" s="1588"/>
      <c r="AK102" s="1589"/>
      <c r="AL102" s="1590"/>
      <c r="AM102" s="1590"/>
      <c r="AN102" s="1590"/>
      <c r="AO102" s="1597"/>
      <c r="AP102" s="1586">
        <f t="shared" si="12"/>
        <v>0</v>
      </c>
      <c r="AQ102" s="1581"/>
      <c r="AR102" s="1582"/>
      <c r="AS102" s="1638">
        <f t="shared" si="13"/>
        <v>0</v>
      </c>
      <c r="AT102" s="1641"/>
      <c r="AU102" s="1642"/>
      <c r="AV102" s="935"/>
      <c r="AW102" s="935"/>
      <c r="AX102" s="935"/>
      <c r="AY102" s="722"/>
      <c r="AZ102" s="722"/>
      <c r="BA102" s="722"/>
      <c r="BB102" s="722"/>
      <c r="BC102" s="722"/>
      <c r="BD102" s="722"/>
      <c r="BE102" s="706"/>
      <c r="BF102" s="706"/>
      <c r="BG102" s="694"/>
      <c r="BM102" s="54"/>
    </row>
    <row r="103" spans="1:65" ht="15.75" x14ac:dyDescent="0.25">
      <c r="A103" s="1883"/>
      <c r="B103" s="1748"/>
      <c r="C103" s="1884"/>
      <c r="D103" s="1884"/>
      <c r="E103" s="1726">
        <f t="shared" si="6"/>
        <v>0</v>
      </c>
      <c r="F103" s="1722"/>
      <c r="G103" s="1742"/>
      <c r="H103" s="1725"/>
      <c r="I103" s="1743"/>
      <c r="J103" s="1743"/>
      <c r="K103" s="1744"/>
      <c r="L103" s="1734">
        <f t="shared" si="14"/>
        <v>0</v>
      </c>
      <c r="M103" s="1735">
        <f t="shared" si="15"/>
        <v>0</v>
      </c>
      <c r="N103" s="1730"/>
      <c r="O103" s="1730"/>
      <c r="P103" s="1730"/>
      <c r="Q103" s="1730"/>
      <c r="R103" s="1730"/>
      <c r="S103" s="1730"/>
      <c r="T103" s="1730"/>
      <c r="U103" s="1730"/>
      <c r="V103" s="1730"/>
      <c r="W103" s="1730"/>
      <c r="X103" s="1903">
        <f t="shared" si="5"/>
        <v>0</v>
      </c>
      <c r="Y103" s="1733">
        <f t="shared" si="16"/>
        <v>0</v>
      </c>
      <c r="Z103" s="528"/>
      <c r="AA103" s="1560">
        <f t="shared" si="7"/>
        <v>0</v>
      </c>
      <c r="AB103" s="1561">
        <f t="shared" si="8"/>
        <v>0</v>
      </c>
      <c r="AC103" s="1561">
        <f t="shared" si="9"/>
        <v>0</v>
      </c>
      <c r="AD103" s="1561">
        <f t="shared" si="10"/>
        <v>0</v>
      </c>
      <c r="AE103" s="1585">
        <f t="shared" si="11"/>
        <v>0</v>
      </c>
      <c r="AF103" s="1596"/>
      <c r="AG103" s="1588"/>
      <c r="AH103" s="1588"/>
      <c r="AI103" s="1588"/>
      <c r="AJ103" s="1588"/>
      <c r="AK103" s="1589"/>
      <c r="AL103" s="1590"/>
      <c r="AM103" s="1590"/>
      <c r="AN103" s="1590"/>
      <c r="AO103" s="1597"/>
      <c r="AP103" s="1586">
        <f t="shared" si="12"/>
        <v>0</v>
      </c>
      <c r="AQ103" s="1581"/>
      <c r="AR103" s="1582"/>
      <c r="AS103" s="1638">
        <f t="shared" si="13"/>
        <v>0</v>
      </c>
      <c r="AT103" s="1641"/>
      <c r="AU103" s="1642"/>
      <c r="AV103" s="935"/>
      <c r="AW103" s="935"/>
      <c r="AX103" s="935"/>
      <c r="AY103" s="722"/>
      <c r="AZ103" s="722"/>
      <c r="BA103" s="722"/>
      <c r="BB103" s="722"/>
      <c r="BC103" s="722"/>
      <c r="BD103" s="722"/>
      <c r="BE103" s="706"/>
      <c r="BF103" s="706"/>
      <c r="BG103" s="694"/>
    </row>
    <row r="104" spans="1:65" ht="15.75" x14ac:dyDescent="0.25">
      <c r="A104" s="1883"/>
      <c r="B104" s="1748"/>
      <c r="C104" s="1884"/>
      <c r="D104" s="1884"/>
      <c r="E104" s="1726">
        <f t="shared" si="6"/>
        <v>0</v>
      </c>
      <c r="F104" s="1722"/>
      <c r="G104" s="1742"/>
      <c r="H104" s="1725"/>
      <c r="I104" s="1743"/>
      <c r="J104" s="1743"/>
      <c r="K104" s="1744"/>
      <c r="L104" s="1734">
        <f t="shared" si="14"/>
        <v>0</v>
      </c>
      <c r="M104" s="1735">
        <f t="shared" si="15"/>
        <v>0</v>
      </c>
      <c r="N104" s="1730"/>
      <c r="O104" s="1730"/>
      <c r="P104" s="1730"/>
      <c r="Q104" s="1730"/>
      <c r="R104" s="1730"/>
      <c r="S104" s="1730"/>
      <c r="T104" s="1730"/>
      <c r="U104" s="1730"/>
      <c r="V104" s="1730"/>
      <c r="W104" s="1730"/>
      <c r="X104" s="1903">
        <f t="shared" si="5"/>
        <v>0</v>
      </c>
      <c r="Y104" s="1733">
        <f t="shared" si="16"/>
        <v>0</v>
      </c>
      <c r="Z104" s="528"/>
      <c r="AA104" s="1560">
        <f t="shared" si="7"/>
        <v>0</v>
      </c>
      <c r="AB104" s="1561">
        <f t="shared" si="8"/>
        <v>0</v>
      </c>
      <c r="AC104" s="1561">
        <f t="shared" si="9"/>
        <v>0</v>
      </c>
      <c r="AD104" s="1561">
        <f t="shared" si="10"/>
        <v>0</v>
      </c>
      <c r="AE104" s="1585">
        <f t="shared" si="11"/>
        <v>0</v>
      </c>
      <c r="AF104" s="1596"/>
      <c r="AG104" s="1588"/>
      <c r="AH104" s="1588"/>
      <c r="AI104" s="1588"/>
      <c r="AJ104" s="1588"/>
      <c r="AK104" s="1589"/>
      <c r="AL104" s="1590"/>
      <c r="AM104" s="1590"/>
      <c r="AN104" s="1590"/>
      <c r="AO104" s="1597"/>
      <c r="AP104" s="1586">
        <f t="shared" si="12"/>
        <v>0</v>
      </c>
      <c r="AQ104" s="1581"/>
      <c r="AR104" s="1582"/>
      <c r="AS104" s="1638">
        <f t="shared" si="13"/>
        <v>0</v>
      </c>
      <c r="AT104" s="1641"/>
      <c r="AU104" s="1642"/>
      <c r="AV104" s="935"/>
      <c r="AW104" s="935"/>
      <c r="AX104" s="935"/>
      <c r="AY104" s="722"/>
      <c r="AZ104" s="722"/>
      <c r="BA104" s="722"/>
      <c r="BB104" s="722"/>
      <c r="BC104" s="722"/>
      <c r="BD104" s="722"/>
      <c r="BE104" s="706"/>
      <c r="BF104" s="706"/>
      <c r="BG104" s="694"/>
      <c r="BM104" s="54"/>
    </row>
    <row r="105" spans="1:65" ht="15.75" x14ac:dyDescent="0.25">
      <c r="A105" s="1883"/>
      <c r="B105" s="1748"/>
      <c r="C105" s="1884"/>
      <c r="D105" s="1884"/>
      <c r="E105" s="1726">
        <f t="shared" si="6"/>
        <v>0</v>
      </c>
      <c r="F105" s="1722"/>
      <c r="G105" s="1742"/>
      <c r="H105" s="1725"/>
      <c r="I105" s="1743"/>
      <c r="J105" s="1743"/>
      <c r="K105" s="1744"/>
      <c r="L105" s="1734">
        <f t="shared" si="14"/>
        <v>0</v>
      </c>
      <c r="M105" s="1735">
        <f t="shared" si="15"/>
        <v>0</v>
      </c>
      <c r="N105" s="1730"/>
      <c r="O105" s="1730"/>
      <c r="P105" s="1730"/>
      <c r="Q105" s="1730"/>
      <c r="R105" s="1730"/>
      <c r="S105" s="1730"/>
      <c r="T105" s="1730"/>
      <c r="U105" s="1730"/>
      <c r="V105" s="1730"/>
      <c r="W105" s="1730"/>
      <c r="X105" s="1903">
        <f t="shared" si="5"/>
        <v>0</v>
      </c>
      <c r="Y105" s="1733">
        <f t="shared" si="16"/>
        <v>0</v>
      </c>
      <c r="Z105" s="528"/>
      <c r="AA105" s="1560">
        <f t="shared" si="7"/>
        <v>0</v>
      </c>
      <c r="AB105" s="1561">
        <f t="shared" si="8"/>
        <v>0</v>
      </c>
      <c r="AC105" s="1561">
        <f t="shared" si="9"/>
        <v>0</v>
      </c>
      <c r="AD105" s="1561">
        <f t="shared" si="10"/>
        <v>0</v>
      </c>
      <c r="AE105" s="1585">
        <f t="shared" si="11"/>
        <v>0</v>
      </c>
      <c r="AF105" s="1596"/>
      <c r="AG105" s="1588"/>
      <c r="AH105" s="1588"/>
      <c r="AI105" s="1588"/>
      <c r="AJ105" s="1588"/>
      <c r="AK105" s="1589"/>
      <c r="AL105" s="1590"/>
      <c r="AM105" s="1590"/>
      <c r="AN105" s="1590"/>
      <c r="AO105" s="1597"/>
      <c r="AP105" s="1586">
        <f t="shared" si="12"/>
        <v>0</v>
      </c>
      <c r="AQ105" s="1581"/>
      <c r="AR105" s="1582"/>
      <c r="AS105" s="1638">
        <f t="shared" si="13"/>
        <v>0</v>
      </c>
      <c r="AT105" s="1641"/>
      <c r="AU105" s="1642"/>
      <c r="AV105" s="935"/>
      <c r="AW105" s="935"/>
      <c r="AX105" s="935"/>
      <c r="AY105" s="722"/>
      <c r="AZ105" s="722"/>
      <c r="BA105" s="722"/>
      <c r="BB105" s="722"/>
      <c r="BC105" s="722"/>
      <c r="BD105" s="722"/>
      <c r="BE105" s="706"/>
      <c r="BF105" s="706"/>
      <c r="BG105" s="694"/>
    </row>
    <row r="106" spans="1:65" ht="15.75" x14ac:dyDescent="0.25">
      <c r="A106" s="1883"/>
      <c r="B106" s="1748"/>
      <c r="C106" s="1884"/>
      <c r="D106" s="1884"/>
      <c r="E106" s="1726">
        <f t="shared" si="6"/>
        <v>0</v>
      </c>
      <c r="F106" s="1722"/>
      <c r="G106" s="1742"/>
      <c r="H106" s="1725"/>
      <c r="I106" s="1743"/>
      <c r="J106" s="1743"/>
      <c r="K106" s="1744"/>
      <c r="L106" s="1734">
        <f t="shared" si="14"/>
        <v>0</v>
      </c>
      <c r="M106" s="1735">
        <f t="shared" si="15"/>
        <v>0</v>
      </c>
      <c r="N106" s="1730"/>
      <c r="O106" s="1730"/>
      <c r="P106" s="1730"/>
      <c r="Q106" s="1730"/>
      <c r="R106" s="1730"/>
      <c r="S106" s="1730"/>
      <c r="T106" s="1730"/>
      <c r="U106" s="1730"/>
      <c r="V106" s="1730"/>
      <c r="W106" s="1730"/>
      <c r="X106" s="1903">
        <f t="shared" si="5"/>
        <v>0</v>
      </c>
      <c r="Y106" s="1733">
        <f t="shared" si="16"/>
        <v>0</v>
      </c>
      <c r="Z106" s="528"/>
      <c r="AA106" s="1560">
        <f t="shared" si="7"/>
        <v>0</v>
      </c>
      <c r="AB106" s="1561">
        <f t="shared" si="8"/>
        <v>0</v>
      </c>
      <c r="AC106" s="1561">
        <f t="shared" si="9"/>
        <v>0</v>
      </c>
      <c r="AD106" s="1561">
        <f t="shared" si="10"/>
        <v>0</v>
      </c>
      <c r="AE106" s="1585">
        <f t="shared" si="11"/>
        <v>0</v>
      </c>
      <c r="AF106" s="1596"/>
      <c r="AG106" s="1588"/>
      <c r="AH106" s="1588"/>
      <c r="AI106" s="1588"/>
      <c r="AJ106" s="1588"/>
      <c r="AK106" s="1589"/>
      <c r="AL106" s="1590"/>
      <c r="AM106" s="1590"/>
      <c r="AN106" s="1590"/>
      <c r="AO106" s="1597"/>
      <c r="AP106" s="1586">
        <f t="shared" si="12"/>
        <v>0</v>
      </c>
      <c r="AQ106" s="1581"/>
      <c r="AR106" s="1582"/>
      <c r="AS106" s="1638">
        <f t="shared" si="13"/>
        <v>0</v>
      </c>
      <c r="AT106" s="1641"/>
      <c r="AU106" s="1642"/>
      <c r="AV106" s="935"/>
      <c r="AW106" s="935"/>
      <c r="AX106" s="935"/>
      <c r="AY106" s="722"/>
      <c r="AZ106" s="722"/>
      <c r="BA106" s="722"/>
      <c r="BB106" s="722"/>
      <c r="BC106" s="722"/>
      <c r="BD106" s="722"/>
      <c r="BE106" s="706"/>
      <c r="BF106" s="706"/>
      <c r="BG106" s="694"/>
    </row>
    <row r="107" spans="1:65" ht="15.75" x14ac:dyDescent="0.25">
      <c r="A107" s="1883"/>
      <c r="B107" s="1748"/>
      <c r="C107" s="1884"/>
      <c r="D107" s="1884"/>
      <c r="E107" s="1726">
        <f t="shared" si="6"/>
        <v>0</v>
      </c>
      <c r="F107" s="1722"/>
      <c r="G107" s="1742"/>
      <c r="H107" s="1725"/>
      <c r="I107" s="1743"/>
      <c r="J107" s="1743"/>
      <c r="K107" s="1744"/>
      <c r="L107" s="1734">
        <f t="shared" si="14"/>
        <v>0</v>
      </c>
      <c r="M107" s="1735">
        <f t="shared" si="15"/>
        <v>0</v>
      </c>
      <c r="N107" s="1730"/>
      <c r="O107" s="1730"/>
      <c r="P107" s="1730"/>
      <c r="Q107" s="1730"/>
      <c r="R107" s="1730"/>
      <c r="S107" s="1730"/>
      <c r="T107" s="1730"/>
      <c r="U107" s="1730"/>
      <c r="V107" s="1730"/>
      <c r="W107" s="1730"/>
      <c r="X107" s="1903">
        <f t="shared" si="5"/>
        <v>0</v>
      </c>
      <c r="Y107" s="1733">
        <f t="shared" si="16"/>
        <v>0</v>
      </c>
      <c r="Z107" s="528"/>
      <c r="AA107" s="1560">
        <f t="shared" si="7"/>
        <v>0</v>
      </c>
      <c r="AB107" s="1561">
        <f t="shared" si="8"/>
        <v>0</v>
      </c>
      <c r="AC107" s="1561">
        <f t="shared" si="9"/>
        <v>0</v>
      </c>
      <c r="AD107" s="1561">
        <f t="shared" si="10"/>
        <v>0</v>
      </c>
      <c r="AE107" s="1585">
        <f t="shared" si="11"/>
        <v>0</v>
      </c>
      <c r="AF107" s="1596"/>
      <c r="AG107" s="1588"/>
      <c r="AH107" s="1588"/>
      <c r="AI107" s="1588"/>
      <c r="AJ107" s="1588"/>
      <c r="AK107" s="1589"/>
      <c r="AL107" s="1590"/>
      <c r="AM107" s="1590"/>
      <c r="AN107" s="1590"/>
      <c r="AO107" s="1597"/>
      <c r="AP107" s="1586">
        <f t="shared" si="12"/>
        <v>0</v>
      </c>
      <c r="AQ107" s="1581"/>
      <c r="AR107" s="1582"/>
      <c r="AS107" s="1638">
        <f t="shared" si="13"/>
        <v>0</v>
      </c>
      <c r="AT107" s="1641"/>
      <c r="AU107" s="1642"/>
      <c r="AV107" s="935"/>
      <c r="AW107" s="935"/>
      <c r="AX107" s="935"/>
      <c r="AY107" s="722"/>
      <c r="AZ107" s="722"/>
      <c r="BA107" s="722"/>
      <c r="BB107" s="722"/>
      <c r="BC107" s="722"/>
      <c r="BD107" s="722"/>
      <c r="BE107" s="706"/>
      <c r="BF107" s="706"/>
      <c r="BG107" s="694"/>
    </row>
    <row r="108" spans="1:65" ht="15.75" x14ac:dyDescent="0.25">
      <c r="A108" s="1883"/>
      <c r="B108" s="1748"/>
      <c r="C108" s="1884"/>
      <c r="D108" s="1884"/>
      <c r="E108" s="1726">
        <f t="shared" si="6"/>
        <v>0</v>
      </c>
      <c r="F108" s="1722"/>
      <c r="G108" s="1742"/>
      <c r="H108" s="1725"/>
      <c r="I108" s="1743"/>
      <c r="J108" s="1743"/>
      <c r="K108" s="1744"/>
      <c r="L108" s="1734">
        <f t="shared" si="14"/>
        <v>0</v>
      </c>
      <c r="M108" s="1735">
        <f t="shared" si="15"/>
        <v>0</v>
      </c>
      <c r="N108" s="1730"/>
      <c r="O108" s="1730"/>
      <c r="P108" s="1730"/>
      <c r="Q108" s="1730"/>
      <c r="R108" s="1730"/>
      <c r="S108" s="1730"/>
      <c r="T108" s="1730"/>
      <c r="U108" s="1730"/>
      <c r="V108" s="1730"/>
      <c r="W108" s="1730"/>
      <c r="X108" s="1903">
        <f t="shared" si="5"/>
        <v>0</v>
      </c>
      <c r="Y108" s="1733">
        <f t="shared" si="16"/>
        <v>0</v>
      </c>
      <c r="Z108" s="528"/>
      <c r="AA108" s="1560">
        <f t="shared" si="7"/>
        <v>0</v>
      </c>
      <c r="AB108" s="1561">
        <f t="shared" si="8"/>
        <v>0</v>
      </c>
      <c r="AC108" s="1561">
        <f t="shared" si="9"/>
        <v>0</v>
      </c>
      <c r="AD108" s="1561">
        <f t="shared" si="10"/>
        <v>0</v>
      </c>
      <c r="AE108" s="1585">
        <f t="shared" si="11"/>
        <v>0</v>
      </c>
      <c r="AF108" s="1596"/>
      <c r="AG108" s="1588"/>
      <c r="AH108" s="1588"/>
      <c r="AI108" s="1588"/>
      <c r="AJ108" s="1588"/>
      <c r="AK108" s="1589"/>
      <c r="AL108" s="1590"/>
      <c r="AM108" s="1590"/>
      <c r="AN108" s="1590"/>
      <c r="AO108" s="1597"/>
      <c r="AP108" s="1586">
        <f t="shared" si="12"/>
        <v>0</v>
      </c>
      <c r="AQ108" s="1581"/>
      <c r="AR108" s="1582"/>
      <c r="AS108" s="1638">
        <f t="shared" si="13"/>
        <v>0</v>
      </c>
      <c r="AT108" s="1641"/>
      <c r="AU108" s="1642"/>
      <c r="AV108" s="935"/>
      <c r="AW108" s="935"/>
      <c r="AX108" s="935"/>
      <c r="AY108" s="722"/>
      <c r="AZ108" s="722"/>
      <c r="BA108" s="722"/>
      <c r="BB108" s="722"/>
      <c r="BC108" s="722"/>
      <c r="BD108" s="722"/>
      <c r="BE108" s="706"/>
      <c r="BF108" s="706"/>
      <c r="BG108" s="694"/>
    </row>
    <row r="109" spans="1:65" ht="15.75" x14ac:dyDescent="0.25">
      <c r="A109" s="1883"/>
      <c r="B109" s="1748"/>
      <c r="C109" s="1884"/>
      <c r="D109" s="1884"/>
      <c r="E109" s="1726">
        <f t="shared" si="6"/>
        <v>0</v>
      </c>
      <c r="F109" s="1722"/>
      <c r="G109" s="1742"/>
      <c r="H109" s="1725"/>
      <c r="I109" s="1743"/>
      <c r="J109" s="1743"/>
      <c r="K109" s="1744"/>
      <c r="L109" s="1734">
        <f t="shared" si="14"/>
        <v>0</v>
      </c>
      <c r="M109" s="1735">
        <f t="shared" si="15"/>
        <v>0</v>
      </c>
      <c r="N109" s="1730"/>
      <c r="O109" s="1730"/>
      <c r="P109" s="1730"/>
      <c r="Q109" s="1730"/>
      <c r="R109" s="1730"/>
      <c r="S109" s="1730"/>
      <c r="T109" s="1730"/>
      <c r="U109" s="1730"/>
      <c r="V109" s="1730"/>
      <c r="W109" s="1730"/>
      <c r="X109" s="1903">
        <f t="shared" si="5"/>
        <v>0</v>
      </c>
      <c r="Y109" s="1733">
        <f t="shared" si="16"/>
        <v>0</v>
      </c>
      <c r="Z109" s="528"/>
      <c r="AA109" s="1560">
        <f t="shared" si="7"/>
        <v>0</v>
      </c>
      <c r="AB109" s="1561">
        <f t="shared" si="8"/>
        <v>0</v>
      </c>
      <c r="AC109" s="1561">
        <f t="shared" si="9"/>
        <v>0</v>
      </c>
      <c r="AD109" s="1561">
        <f t="shared" si="10"/>
        <v>0</v>
      </c>
      <c r="AE109" s="1585">
        <f t="shared" si="11"/>
        <v>0</v>
      </c>
      <c r="AF109" s="1596"/>
      <c r="AG109" s="1588"/>
      <c r="AH109" s="1588"/>
      <c r="AI109" s="1588"/>
      <c r="AJ109" s="1588"/>
      <c r="AK109" s="1589"/>
      <c r="AL109" s="1590"/>
      <c r="AM109" s="1590"/>
      <c r="AN109" s="1590"/>
      <c r="AO109" s="1597"/>
      <c r="AP109" s="1586">
        <f t="shared" si="12"/>
        <v>0</v>
      </c>
      <c r="AQ109" s="1581"/>
      <c r="AR109" s="1582"/>
      <c r="AS109" s="1638">
        <f t="shared" si="13"/>
        <v>0</v>
      </c>
      <c r="AT109" s="1641"/>
      <c r="AU109" s="1642"/>
      <c r="AV109" s="935"/>
      <c r="AW109" s="935"/>
      <c r="AX109" s="935"/>
      <c r="AY109" s="722"/>
      <c r="AZ109" s="722"/>
      <c r="BA109" s="722"/>
      <c r="BB109" s="722"/>
      <c r="BC109" s="722"/>
      <c r="BD109" s="722"/>
      <c r="BE109" s="706"/>
      <c r="BF109" s="706"/>
      <c r="BG109" s="694"/>
    </row>
    <row r="110" spans="1:65" ht="15.75" x14ac:dyDescent="0.25">
      <c r="A110" s="1883"/>
      <c r="B110" s="1748"/>
      <c r="C110" s="1884"/>
      <c r="D110" s="1884"/>
      <c r="E110" s="1726">
        <f t="shared" si="6"/>
        <v>0</v>
      </c>
      <c r="F110" s="1722"/>
      <c r="G110" s="1742"/>
      <c r="H110" s="1725"/>
      <c r="I110" s="1743"/>
      <c r="J110" s="1743"/>
      <c r="K110" s="1744"/>
      <c r="L110" s="1734">
        <f t="shared" si="14"/>
        <v>0</v>
      </c>
      <c r="M110" s="1735">
        <f t="shared" si="15"/>
        <v>0</v>
      </c>
      <c r="N110" s="1730"/>
      <c r="O110" s="1730"/>
      <c r="P110" s="1730"/>
      <c r="Q110" s="1730"/>
      <c r="R110" s="1730"/>
      <c r="S110" s="1730"/>
      <c r="T110" s="1730"/>
      <c r="U110" s="1730"/>
      <c r="V110" s="1730"/>
      <c r="W110" s="1730"/>
      <c r="X110" s="1903">
        <f t="shared" si="5"/>
        <v>0</v>
      </c>
      <c r="Y110" s="1733">
        <f t="shared" si="16"/>
        <v>0</v>
      </c>
      <c r="Z110" s="528"/>
      <c r="AA110" s="1560">
        <f t="shared" si="7"/>
        <v>0</v>
      </c>
      <c r="AB110" s="1561">
        <f t="shared" si="8"/>
        <v>0</v>
      </c>
      <c r="AC110" s="1561">
        <f t="shared" si="9"/>
        <v>0</v>
      </c>
      <c r="AD110" s="1561">
        <f t="shared" si="10"/>
        <v>0</v>
      </c>
      <c r="AE110" s="1585">
        <f t="shared" si="11"/>
        <v>0</v>
      </c>
      <c r="AF110" s="1596"/>
      <c r="AG110" s="1588"/>
      <c r="AH110" s="1588"/>
      <c r="AI110" s="1588"/>
      <c r="AJ110" s="1588"/>
      <c r="AK110" s="1589"/>
      <c r="AL110" s="1590"/>
      <c r="AM110" s="1590"/>
      <c r="AN110" s="1590"/>
      <c r="AO110" s="1597"/>
      <c r="AP110" s="1586">
        <f t="shared" si="12"/>
        <v>0</v>
      </c>
      <c r="AQ110" s="1581"/>
      <c r="AR110" s="1582"/>
      <c r="AS110" s="1638">
        <f t="shared" si="13"/>
        <v>0</v>
      </c>
      <c r="AT110" s="1641"/>
      <c r="AU110" s="1642"/>
      <c r="AV110" s="935"/>
      <c r="AW110" s="935"/>
      <c r="AX110" s="935"/>
      <c r="AY110" s="722"/>
      <c r="AZ110" s="722"/>
      <c r="BA110" s="722"/>
      <c r="BB110" s="722"/>
      <c r="BC110" s="722"/>
      <c r="BD110" s="722"/>
      <c r="BE110" s="706"/>
      <c r="BF110" s="706"/>
      <c r="BG110" s="694"/>
    </row>
    <row r="111" spans="1:65" ht="15.75" x14ac:dyDescent="0.25">
      <c r="A111" s="1883"/>
      <c r="B111" s="1748"/>
      <c r="C111" s="1884"/>
      <c r="D111" s="1884"/>
      <c r="E111" s="1726">
        <f t="shared" si="6"/>
        <v>0</v>
      </c>
      <c r="F111" s="1722"/>
      <c r="G111" s="1742"/>
      <c r="H111" s="1725"/>
      <c r="I111" s="1743"/>
      <c r="J111" s="1743"/>
      <c r="K111" s="1744"/>
      <c r="L111" s="1734">
        <f t="shared" si="14"/>
        <v>0</v>
      </c>
      <c r="M111" s="1735">
        <f t="shared" si="15"/>
        <v>0</v>
      </c>
      <c r="N111" s="1730"/>
      <c r="O111" s="1730"/>
      <c r="P111" s="1730"/>
      <c r="Q111" s="1730"/>
      <c r="R111" s="1730"/>
      <c r="S111" s="1730"/>
      <c r="T111" s="1730"/>
      <c r="U111" s="1730"/>
      <c r="V111" s="1730"/>
      <c r="W111" s="1730"/>
      <c r="X111" s="1903">
        <f t="shared" si="5"/>
        <v>0</v>
      </c>
      <c r="Y111" s="1733">
        <f t="shared" si="16"/>
        <v>0</v>
      </c>
      <c r="Z111" s="528"/>
      <c r="AA111" s="1560">
        <f t="shared" si="7"/>
        <v>0</v>
      </c>
      <c r="AB111" s="1561">
        <f t="shared" si="8"/>
        <v>0</v>
      </c>
      <c r="AC111" s="1561">
        <f t="shared" si="9"/>
        <v>0</v>
      </c>
      <c r="AD111" s="1561">
        <f t="shared" si="10"/>
        <v>0</v>
      </c>
      <c r="AE111" s="1585">
        <f t="shared" si="11"/>
        <v>0</v>
      </c>
      <c r="AF111" s="1596"/>
      <c r="AG111" s="1588"/>
      <c r="AH111" s="1588"/>
      <c r="AI111" s="1588"/>
      <c r="AJ111" s="1588"/>
      <c r="AK111" s="1589"/>
      <c r="AL111" s="1590"/>
      <c r="AM111" s="1590"/>
      <c r="AN111" s="1590"/>
      <c r="AO111" s="1597"/>
      <c r="AP111" s="1586">
        <f t="shared" si="12"/>
        <v>0</v>
      </c>
      <c r="AQ111" s="1581"/>
      <c r="AR111" s="1582"/>
      <c r="AS111" s="1638">
        <f t="shared" si="13"/>
        <v>0</v>
      </c>
      <c r="AT111" s="1641"/>
      <c r="AU111" s="1642"/>
      <c r="AV111" s="935"/>
      <c r="AW111" s="935"/>
      <c r="AX111" s="935"/>
      <c r="AY111" s="722"/>
      <c r="AZ111" s="722"/>
      <c r="BA111" s="722"/>
      <c r="BB111" s="722"/>
      <c r="BC111" s="722"/>
      <c r="BD111" s="722"/>
      <c r="BE111" s="706"/>
      <c r="BF111" s="706"/>
      <c r="BG111" s="694"/>
    </row>
    <row r="112" spans="1:65" ht="15.75" x14ac:dyDescent="0.25">
      <c r="A112" s="1883"/>
      <c r="B112" s="1748"/>
      <c r="C112" s="1884"/>
      <c r="D112" s="1884"/>
      <c r="E112" s="1726">
        <f t="shared" si="6"/>
        <v>0</v>
      </c>
      <c r="F112" s="1722"/>
      <c r="G112" s="1742"/>
      <c r="H112" s="1725"/>
      <c r="I112" s="1743"/>
      <c r="J112" s="1743"/>
      <c r="K112" s="1744"/>
      <c r="L112" s="1734">
        <f t="shared" si="14"/>
        <v>0</v>
      </c>
      <c r="M112" s="1735">
        <f t="shared" si="15"/>
        <v>0</v>
      </c>
      <c r="N112" s="1730"/>
      <c r="O112" s="1730"/>
      <c r="P112" s="1730"/>
      <c r="Q112" s="1730"/>
      <c r="R112" s="1730"/>
      <c r="S112" s="1730"/>
      <c r="T112" s="1730"/>
      <c r="U112" s="1730"/>
      <c r="V112" s="1730"/>
      <c r="W112" s="1730"/>
      <c r="X112" s="1903">
        <f t="shared" si="5"/>
        <v>0</v>
      </c>
      <c r="Y112" s="1733">
        <f t="shared" si="16"/>
        <v>0</v>
      </c>
      <c r="Z112" s="528"/>
      <c r="AA112" s="1560">
        <f t="shared" si="7"/>
        <v>0</v>
      </c>
      <c r="AB112" s="1561">
        <f t="shared" si="8"/>
        <v>0</v>
      </c>
      <c r="AC112" s="1561">
        <f t="shared" si="9"/>
        <v>0</v>
      </c>
      <c r="AD112" s="1561">
        <f t="shared" si="10"/>
        <v>0</v>
      </c>
      <c r="AE112" s="1585">
        <f t="shared" si="11"/>
        <v>0</v>
      </c>
      <c r="AF112" s="1596"/>
      <c r="AG112" s="1588"/>
      <c r="AH112" s="1588"/>
      <c r="AI112" s="1588"/>
      <c r="AJ112" s="1588"/>
      <c r="AK112" s="1589"/>
      <c r="AL112" s="1590"/>
      <c r="AM112" s="1590"/>
      <c r="AN112" s="1590"/>
      <c r="AO112" s="1597"/>
      <c r="AP112" s="1586">
        <f t="shared" si="12"/>
        <v>0</v>
      </c>
      <c r="AQ112" s="1581"/>
      <c r="AR112" s="1582"/>
      <c r="AS112" s="1638">
        <f t="shared" si="13"/>
        <v>0</v>
      </c>
      <c r="AT112" s="1641"/>
      <c r="AU112" s="1642"/>
      <c r="AV112" s="935"/>
      <c r="AW112" s="935"/>
      <c r="AX112" s="935"/>
      <c r="AY112" s="722"/>
      <c r="AZ112" s="722"/>
      <c r="BA112" s="722"/>
      <c r="BB112" s="722"/>
      <c r="BC112" s="722"/>
      <c r="BD112" s="722"/>
      <c r="BE112" s="706"/>
      <c r="BF112" s="706"/>
      <c r="BG112" s="694"/>
    </row>
    <row r="113" spans="1:59" ht="15.75" x14ac:dyDescent="0.25">
      <c r="A113" s="1883"/>
      <c r="B113" s="1748"/>
      <c r="C113" s="1884"/>
      <c r="D113" s="1884"/>
      <c r="E113" s="1726">
        <f t="shared" si="6"/>
        <v>0</v>
      </c>
      <c r="F113" s="1722"/>
      <c r="G113" s="1742"/>
      <c r="H113" s="1725"/>
      <c r="I113" s="1743"/>
      <c r="J113" s="1743"/>
      <c r="K113" s="1744"/>
      <c r="L113" s="1734">
        <f t="shared" si="14"/>
        <v>0</v>
      </c>
      <c r="M113" s="1735">
        <f t="shared" si="15"/>
        <v>0</v>
      </c>
      <c r="N113" s="1730"/>
      <c r="O113" s="1730"/>
      <c r="P113" s="1730"/>
      <c r="Q113" s="1730"/>
      <c r="R113" s="1730"/>
      <c r="S113" s="1730"/>
      <c r="T113" s="1730"/>
      <c r="U113" s="1730"/>
      <c r="V113" s="1730"/>
      <c r="W113" s="1730"/>
      <c r="X113" s="1903">
        <f t="shared" si="5"/>
        <v>0</v>
      </c>
      <c r="Y113" s="1733">
        <f t="shared" si="16"/>
        <v>0</v>
      </c>
      <c r="Z113" s="528"/>
      <c r="AA113" s="1560">
        <f t="shared" si="7"/>
        <v>0</v>
      </c>
      <c r="AB113" s="1561">
        <f t="shared" si="8"/>
        <v>0</v>
      </c>
      <c r="AC113" s="1561">
        <f t="shared" si="9"/>
        <v>0</v>
      </c>
      <c r="AD113" s="1561">
        <f t="shared" si="10"/>
        <v>0</v>
      </c>
      <c r="AE113" s="1585">
        <f t="shared" si="11"/>
        <v>0</v>
      </c>
      <c r="AF113" s="1596"/>
      <c r="AG113" s="1588"/>
      <c r="AH113" s="1588"/>
      <c r="AI113" s="1588"/>
      <c r="AJ113" s="1588"/>
      <c r="AK113" s="1589"/>
      <c r="AL113" s="1590"/>
      <c r="AM113" s="1590"/>
      <c r="AN113" s="1590"/>
      <c r="AO113" s="1597"/>
      <c r="AP113" s="1586">
        <f t="shared" si="12"/>
        <v>0</v>
      </c>
      <c r="AQ113" s="1581"/>
      <c r="AR113" s="1582"/>
      <c r="AS113" s="1638">
        <f t="shared" si="13"/>
        <v>0</v>
      </c>
      <c r="AT113" s="1641"/>
      <c r="AU113" s="1642"/>
      <c r="AV113" s="935"/>
      <c r="AW113" s="935"/>
      <c r="AX113" s="935"/>
      <c r="AY113" s="722"/>
      <c r="AZ113" s="722"/>
      <c r="BA113" s="722"/>
      <c r="BB113" s="722"/>
      <c r="BC113" s="722"/>
      <c r="BD113" s="722"/>
      <c r="BE113" s="706"/>
      <c r="BF113" s="706"/>
      <c r="BG113" s="694"/>
    </row>
    <row r="114" spans="1:59" ht="15.75" x14ac:dyDescent="0.25">
      <c r="A114" s="1883"/>
      <c r="B114" s="1748"/>
      <c r="C114" s="1884"/>
      <c r="D114" s="1884"/>
      <c r="E114" s="1726">
        <f t="shared" si="6"/>
        <v>0</v>
      </c>
      <c r="F114" s="1722"/>
      <c r="G114" s="1742"/>
      <c r="H114" s="1725"/>
      <c r="I114" s="1743"/>
      <c r="J114" s="1743"/>
      <c r="K114" s="1744"/>
      <c r="L114" s="1734">
        <f t="shared" si="14"/>
        <v>0</v>
      </c>
      <c r="M114" s="1735">
        <f t="shared" si="15"/>
        <v>0</v>
      </c>
      <c r="N114" s="1730"/>
      <c r="O114" s="1730"/>
      <c r="P114" s="1730"/>
      <c r="Q114" s="1730"/>
      <c r="R114" s="1730"/>
      <c r="S114" s="1730"/>
      <c r="T114" s="1730"/>
      <c r="U114" s="1730"/>
      <c r="V114" s="1730"/>
      <c r="W114" s="1730"/>
      <c r="X114" s="1903">
        <f t="shared" si="5"/>
        <v>0</v>
      </c>
      <c r="Y114" s="1733">
        <f t="shared" si="16"/>
        <v>0</v>
      </c>
      <c r="Z114" s="528"/>
      <c r="AA114" s="1560">
        <f t="shared" si="7"/>
        <v>0</v>
      </c>
      <c r="AB114" s="1561">
        <f t="shared" si="8"/>
        <v>0</v>
      </c>
      <c r="AC114" s="1561">
        <f t="shared" si="9"/>
        <v>0</v>
      </c>
      <c r="AD114" s="1561">
        <f t="shared" si="10"/>
        <v>0</v>
      </c>
      <c r="AE114" s="1585">
        <f t="shared" si="11"/>
        <v>0</v>
      </c>
      <c r="AF114" s="1596"/>
      <c r="AG114" s="1588"/>
      <c r="AH114" s="1588"/>
      <c r="AI114" s="1588"/>
      <c r="AJ114" s="1588"/>
      <c r="AK114" s="1589"/>
      <c r="AL114" s="1590"/>
      <c r="AM114" s="1590"/>
      <c r="AN114" s="1590"/>
      <c r="AO114" s="1597"/>
      <c r="AP114" s="1586">
        <f t="shared" si="12"/>
        <v>0</v>
      </c>
      <c r="AQ114" s="1581"/>
      <c r="AR114" s="1582"/>
      <c r="AS114" s="1638">
        <f t="shared" si="13"/>
        <v>0</v>
      </c>
      <c r="AT114" s="1641"/>
      <c r="AU114" s="1642"/>
      <c r="AV114" s="935"/>
      <c r="AW114" s="935"/>
      <c r="AX114" s="935"/>
      <c r="AY114" s="722"/>
      <c r="AZ114" s="722"/>
      <c r="BA114" s="722"/>
      <c r="BB114" s="722"/>
      <c r="BC114" s="722"/>
      <c r="BD114" s="722"/>
      <c r="BE114" s="706"/>
      <c r="BF114" s="706"/>
      <c r="BG114" s="694"/>
    </row>
    <row r="115" spans="1:59" ht="15.75" x14ac:dyDescent="0.25">
      <c r="A115" s="1883"/>
      <c r="B115" s="1748"/>
      <c r="C115" s="1884"/>
      <c r="D115" s="1884"/>
      <c r="E115" s="1726">
        <f t="shared" si="6"/>
        <v>0</v>
      </c>
      <c r="F115" s="1722"/>
      <c r="G115" s="1742"/>
      <c r="H115" s="1725"/>
      <c r="I115" s="1743"/>
      <c r="J115" s="1743"/>
      <c r="K115" s="1744"/>
      <c r="L115" s="1734">
        <f t="shared" si="14"/>
        <v>0</v>
      </c>
      <c r="M115" s="1735">
        <f t="shared" si="15"/>
        <v>0</v>
      </c>
      <c r="N115" s="1730"/>
      <c r="O115" s="1730"/>
      <c r="P115" s="1730"/>
      <c r="Q115" s="1730"/>
      <c r="R115" s="1730"/>
      <c r="S115" s="1730"/>
      <c r="T115" s="1730"/>
      <c r="U115" s="1730"/>
      <c r="V115" s="1730"/>
      <c r="W115" s="1730"/>
      <c r="X115" s="1903">
        <f t="shared" ref="X115:X145" si="17">IF(AND(H115&gt;0,F115&lt;&gt;"GfB"),(SUM(M115:P115,R115,V115,Q115)*12+(T115+U115))*(100+$P$17+$P$18)%+((S115+W115)*12),IF(AND(H115&gt;0,F115="GfB"),(SUM(M115:P115,R115,V115,Q115)*12+(T115+U115))*(100+$P$20+$P$18)%+((S115+W115)*12),0))</f>
        <v>0</v>
      </c>
      <c r="Y115" s="1733">
        <f t="shared" si="16"/>
        <v>0</v>
      </c>
      <c r="Z115" s="528"/>
      <c r="AA115" s="1560">
        <f t="shared" si="7"/>
        <v>0</v>
      </c>
      <c r="AB115" s="1561">
        <f t="shared" si="8"/>
        <v>0</v>
      </c>
      <c r="AC115" s="1561">
        <f t="shared" si="9"/>
        <v>0</v>
      </c>
      <c r="AD115" s="1561">
        <f t="shared" si="10"/>
        <v>0</v>
      </c>
      <c r="AE115" s="1585">
        <f t="shared" si="11"/>
        <v>0</v>
      </c>
      <c r="AF115" s="1596"/>
      <c r="AG115" s="1588"/>
      <c r="AH115" s="1588"/>
      <c r="AI115" s="1588"/>
      <c r="AJ115" s="1588"/>
      <c r="AK115" s="1589"/>
      <c r="AL115" s="1590"/>
      <c r="AM115" s="1590"/>
      <c r="AN115" s="1590"/>
      <c r="AO115" s="1597"/>
      <c r="AP115" s="1586">
        <f t="shared" si="12"/>
        <v>0</v>
      </c>
      <c r="AQ115" s="1581"/>
      <c r="AR115" s="1582"/>
      <c r="AS115" s="1638">
        <f t="shared" si="13"/>
        <v>0</v>
      </c>
      <c r="AT115" s="1641"/>
      <c r="AU115" s="1642"/>
      <c r="AV115" s="935"/>
      <c r="AW115" s="935"/>
      <c r="AX115" s="935"/>
      <c r="AY115" s="722"/>
      <c r="AZ115" s="722"/>
      <c r="BA115" s="722"/>
      <c r="BB115" s="722"/>
      <c r="BC115" s="722"/>
      <c r="BD115" s="722"/>
      <c r="BE115" s="706"/>
      <c r="BF115" s="706"/>
      <c r="BG115" s="694"/>
    </row>
    <row r="116" spans="1:59" ht="15.75" x14ac:dyDescent="0.25">
      <c r="A116" s="1883"/>
      <c r="B116" s="1748"/>
      <c r="C116" s="1884"/>
      <c r="D116" s="1884"/>
      <c r="E116" s="1726">
        <f t="shared" ref="E116:E150" si="18">IFERROR(D116/B116,0)</f>
        <v>0</v>
      </c>
      <c r="F116" s="1722"/>
      <c r="G116" s="1742"/>
      <c r="H116" s="1725"/>
      <c r="I116" s="1743"/>
      <c r="J116" s="1743"/>
      <c r="K116" s="1744"/>
      <c r="L116" s="1734">
        <f t="shared" si="14"/>
        <v>0</v>
      </c>
      <c r="M116" s="1735">
        <f t="shared" si="15"/>
        <v>0</v>
      </c>
      <c r="N116" s="1730"/>
      <c r="O116" s="1730"/>
      <c r="P116" s="1730"/>
      <c r="Q116" s="1730"/>
      <c r="R116" s="1730"/>
      <c r="S116" s="1730"/>
      <c r="T116" s="1730"/>
      <c r="U116" s="1730"/>
      <c r="V116" s="1730"/>
      <c r="W116" s="1730"/>
      <c r="X116" s="1903">
        <f t="shared" si="17"/>
        <v>0</v>
      </c>
      <c r="Y116" s="1733">
        <f t="shared" si="16"/>
        <v>0</v>
      </c>
      <c r="Z116" s="528"/>
      <c r="AA116" s="1560">
        <f t="shared" ref="AA116:AA145" si="19">IF(OR(G116="PDL",G116="stellv. PDL"),0,(IF(AND($H116&gt;0,$K116&gt;0),($M116+$N116),0)))</f>
        <v>0</v>
      </c>
      <c r="AB116" s="1561">
        <f t="shared" ref="AB116:AB145" si="20">IF(OR(G116="PDL",G116="stellv. PDL"),0,(IF(AND($H116&gt;0,$K116&gt;0),$O116,0)))</f>
        <v>0</v>
      </c>
      <c r="AC116" s="1561">
        <f t="shared" ref="AC116:AC145" si="21">IF(OR(G116="PDL",G116="stellv. PDL"),0,(IF(AND($H116&gt;0,$K116&gt;0),($P116),0)))</f>
        <v>0</v>
      </c>
      <c r="AD116" s="1561">
        <f t="shared" ref="AD116:AD145" si="22">IF(OR(G116="PDL",G116="stellv. PDL"),0,(IF(AND($H116&gt;0,$K116&gt;0),$Q116,0)))</f>
        <v>0</v>
      </c>
      <c r="AE116" s="1585">
        <f t="shared" ref="AE116:AE145" si="23">IF(OR(G116="PDL",G116="stellv. PDL"),0,(IF(AND($H116&gt;0,$K116&gt;0),(($T116+$U116)/12),0)))</f>
        <v>0</v>
      </c>
      <c r="AF116" s="1596"/>
      <c r="AG116" s="1588"/>
      <c r="AH116" s="1588"/>
      <c r="AI116" s="1588"/>
      <c r="AJ116" s="1588"/>
      <c r="AK116" s="1589"/>
      <c r="AL116" s="1590"/>
      <c r="AM116" s="1590"/>
      <c r="AN116" s="1590"/>
      <c r="AO116" s="1597"/>
      <c r="AP116" s="1586">
        <f t="shared" ref="AP116:AP145" si="24">IF(OR(G116="PDL",G116="stellv. PDL"),0,IF(AND($H116&gt;0,$K116&gt;0),$H116,0))</f>
        <v>0</v>
      </c>
      <c r="AQ116" s="1581"/>
      <c r="AR116" s="1582"/>
      <c r="AS116" s="1638">
        <f t="shared" ref="AS116:AS145" si="25">IF(OR(G116="PDL",G116="stellv. PDL"),0,IF(AND($H116&gt;0,$K116&gt;0),$X116,0))</f>
        <v>0</v>
      </c>
      <c r="AT116" s="1641"/>
      <c r="AU116" s="1642"/>
      <c r="AV116" s="935"/>
      <c r="AW116" s="935"/>
      <c r="AX116" s="935"/>
      <c r="AY116" s="722"/>
      <c r="AZ116" s="722"/>
      <c r="BA116" s="722"/>
      <c r="BB116" s="722"/>
      <c r="BC116" s="722"/>
      <c r="BD116" s="722"/>
      <c r="BE116" s="706"/>
      <c r="BF116" s="706"/>
      <c r="BG116" s="694"/>
    </row>
    <row r="117" spans="1:59" ht="15.75" x14ac:dyDescent="0.25">
      <c r="A117" s="1883"/>
      <c r="B117" s="1748"/>
      <c r="C117" s="1884"/>
      <c r="D117" s="1884"/>
      <c r="E117" s="1726">
        <f t="shared" si="18"/>
        <v>0</v>
      </c>
      <c r="F117" s="1722"/>
      <c r="G117" s="1742"/>
      <c r="H117" s="1725"/>
      <c r="I117" s="1743"/>
      <c r="J117" s="1743"/>
      <c r="K117" s="1744"/>
      <c r="L117" s="1734">
        <f t="shared" ref="L117:L145" si="26">IFERROR(IF($K$24="VK",K117,K117/H117),0)</f>
        <v>0</v>
      </c>
      <c r="M117" s="1735">
        <f t="shared" ref="M117:M144" si="27">IFERROR(L117*H117,"")</f>
        <v>0</v>
      </c>
      <c r="N117" s="1730"/>
      <c r="O117" s="1730"/>
      <c r="P117" s="1730"/>
      <c r="Q117" s="1730"/>
      <c r="R117" s="1730"/>
      <c r="S117" s="1730"/>
      <c r="T117" s="1730"/>
      <c r="U117" s="1730"/>
      <c r="V117" s="1730"/>
      <c r="W117" s="1730"/>
      <c r="X117" s="1903">
        <f t="shared" si="17"/>
        <v>0</v>
      </c>
      <c r="Y117" s="1733">
        <f t="shared" ref="Y117:Y145" si="28">IF(ISERROR(X117/H117),0,(X117/H117))</f>
        <v>0</v>
      </c>
      <c r="Z117" s="528"/>
      <c r="AA117" s="1560">
        <f t="shared" si="19"/>
        <v>0</v>
      </c>
      <c r="AB117" s="1561">
        <f t="shared" si="20"/>
        <v>0</v>
      </c>
      <c r="AC117" s="1561">
        <f t="shared" si="21"/>
        <v>0</v>
      </c>
      <c r="AD117" s="1561">
        <f t="shared" si="22"/>
        <v>0</v>
      </c>
      <c r="AE117" s="1585">
        <f t="shared" si="23"/>
        <v>0</v>
      </c>
      <c r="AF117" s="1596"/>
      <c r="AG117" s="1588"/>
      <c r="AH117" s="1588"/>
      <c r="AI117" s="1588"/>
      <c r="AJ117" s="1588"/>
      <c r="AK117" s="1589"/>
      <c r="AL117" s="1590"/>
      <c r="AM117" s="1590"/>
      <c r="AN117" s="1590"/>
      <c r="AO117" s="1597"/>
      <c r="AP117" s="1586">
        <f t="shared" si="24"/>
        <v>0</v>
      </c>
      <c r="AQ117" s="1581"/>
      <c r="AR117" s="1582"/>
      <c r="AS117" s="1638">
        <f t="shared" si="25"/>
        <v>0</v>
      </c>
      <c r="AT117" s="1641"/>
      <c r="AU117" s="1642"/>
      <c r="AV117" s="935"/>
      <c r="AW117" s="935"/>
      <c r="AX117" s="935"/>
      <c r="AY117" s="722"/>
      <c r="AZ117" s="722"/>
      <c r="BA117" s="722"/>
      <c r="BB117" s="722"/>
      <c r="BC117" s="722"/>
      <c r="BD117" s="722"/>
      <c r="BE117" s="706"/>
      <c r="BF117" s="706"/>
      <c r="BG117" s="694"/>
    </row>
    <row r="118" spans="1:59" ht="15.75" x14ac:dyDescent="0.25">
      <c r="A118" s="1883"/>
      <c r="B118" s="1748"/>
      <c r="C118" s="1884"/>
      <c r="D118" s="1884"/>
      <c r="E118" s="1726">
        <f t="shared" si="18"/>
        <v>0</v>
      </c>
      <c r="F118" s="1722"/>
      <c r="G118" s="1742"/>
      <c r="H118" s="1725"/>
      <c r="I118" s="1743"/>
      <c r="J118" s="1743"/>
      <c r="K118" s="1744"/>
      <c r="L118" s="1734">
        <f t="shared" si="26"/>
        <v>0</v>
      </c>
      <c r="M118" s="1735">
        <f t="shared" si="27"/>
        <v>0</v>
      </c>
      <c r="N118" s="1730"/>
      <c r="O118" s="1730"/>
      <c r="P118" s="1730"/>
      <c r="Q118" s="1730"/>
      <c r="R118" s="1730"/>
      <c r="S118" s="1730"/>
      <c r="T118" s="1730"/>
      <c r="U118" s="1730"/>
      <c r="V118" s="1730"/>
      <c r="W118" s="1730"/>
      <c r="X118" s="1903">
        <f t="shared" si="17"/>
        <v>0</v>
      </c>
      <c r="Y118" s="1733">
        <f t="shared" si="28"/>
        <v>0</v>
      </c>
      <c r="Z118" s="528"/>
      <c r="AA118" s="1560">
        <f t="shared" si="19"/>
        <v>0</v>
      </c>
      <c r="AB118" s="1561">
        <f t="shared" si="20"/>
        <v>0</v>
      </c>
      <c r="AC118" s="1561">
        <f t="shared" si="21"/>
        <v>0</v>
      </c>
      <c r="AD118" s="1561">
        <f t="shared" si="22"/>
        <v>0</v>
      </c>
      <c r="AE118" s="1585">
        <f t="shared" si="23"/>
        <v>0</v>
      </c>
      <c r="AF118" s="1596"/>
      <c r="AG118" s="1588"/>
      <c r="AH118" s="1588"/>
      <c r="AI118" s="1588"/>
      <c r="AJ118" s="1588"/>
      <c r="AK118" s="1589"/>
      <c r="AL118" s="1590"/>
      <c r="AM118" s="1590"/>
      <c r="AN118" s="1590"/>
      <c r="AO118" s="1597"/>
      <c r="AP118" s="1586">
        <f t="shared" si="24"/>
        <v>0</v>
      </c>
      <c r="AQ118" s="1581"/>
      <c r="AR118" s="1582"/>
      <c r="AS118" s="1638">
        <f t="shared" si="25"/>
        <v>0</v>
      </c>
      <c r="AT118" s="1641"/>
      <c r="AU118" s="1642"/>
      <c r="AV118" s="935"/>
      <c r="AW118" s="935"/>
      <c r="AX118" s="935"/>
      <c r="AY118" s="722"/>
      <c r="AZ118" s="722"/>
      <c r="BA118" s="722"/>
      <c r="BB118" s="722"/>
      <c r="BC118" s="722"/>
      <c r="BD118" s="722"/>
      <c r="BE118" s="706"/>
      <c r="BF118" s="706"/>
      <c r="BG118" s="694"/>
    </row>
    <row r="119" spans="1:59" ht="15.75" x14ac:dyDescent="0.25">
      <c r="A119" s="1883"/>
      <c r="B119" s="1748"/>
      <c r="C119" s="1884"/>
      <c r="D119" s="1884"/>
      <c r="E119" s="1726">
        <f t="shared" si="18"/>
        <v>0</v>
      </c>
      <c r="F119" s="1722"/>
      <c r="G119" s="1742"/>
      <c r="H119" s="1725"/>
      <c r="I119" s="1743"/>
      <c r="J119" s="1743"/>
      <c r="K119" s="1744"/>
      <c r="L119" s="1734">
        <f t="shared" si="26"/>
        <v>0</v>
      </c>
      <c r="M119" s="1735">
        <f t="shared" si="27"/>
        <v>0</v>
      </c>
      <c r="N119" s="1730"/>
      <c r="O119" s="1730"/>
      <c r="P119" s="1730"/>
      <c r="Q119" s="1730"/>
      <c r="R119" s="1730"/>
      <c r="S119" s="1730"/>
      <c r="T119" s="1730"/>
      <c r="U119" s="1730"/>
      <c r="V119" s="1730"/>
      <c r="W119" s="1730"/>
      <c r="X119" s="1903">
        <f t="shared" si="17"/>
        <v>0</v>
      </c>
      <c r="Y119" s="1733">
        <f t="shared" si="28"/>
        <v>0</v>
      </c>
      <c r="Z119" s="528"/>
      <c r="AA119" s="1560">
        <f t="shared" si="19"/>
        <v>0</v>
      </c>
      <c r="AB119" s="1561">
        <f t="shared" si="20"/>
        <v>0</v>
      </c>
      <c r="AC119" s="1561">
        <f t="shared" si="21"/>
        <v>0</v>
      </c>
      <c r="AD119" s="1561">
        <f t="shared" si="22"/>
        <v>0</v>
      </c>
      <c r="AE119" s="1585">
        <f t="shared" si="23"/>
        <v>0</v>
      </c>
      <c r="AF119" s="1596"/>
      <c r="AG119" s="1588"/>
      <c r="AH119" s="1588"/>
      <c r="AI119" s="1588"/>
      <c r="AJ119" s="1588"/>
      <c r="AK119" s="1589"/>
      <c r="AL119" s="1590"/>
      <c r="AM119" s="1590"/>
      <c r="AN119" s="1590"/>
      <c r="AO119" s="1597"/>
      <c r="AP119" s="1586">
        <f t="shared" si="24"/>
        <v>0</v>
      </c>
      <c r="AQ119" s="1581"/>
      <c r="AR119" s="1582"/>
      <c r="AS119" s="1638">
        <f t="shared" si="25"/>
        <v>0</v>
      </c>
      <c r="AT119" s="1641"/>
      <c r="AU119" s="1642"/>
      <c r="AV119" s="935"/>
      <c r="AW119" s="935"/>
      <c r="AX119" s="935"/>
      <c r="AY119" s="722"/>
      <c r="AZ119" s="722"/>
      <c r="BA119" s="722"/>
      <c r="BB119" s="722"/>
      <c r="BC119" s="722"/>
      <c r="BD119" s="722"/>
      <c r="BE119" s="706"/>
      <c r="BF119" s="706"/>
      <c r="BG119" s="694"/>
    </row>
    <row r="120" spans="1:59" ht="15.75" x14ac:dyDescent="0.25">
      <c r="A120" s="1883"/>
      <c r="B120" s="1748"/>
      <c r="C120" s="1884"/>
      <c r="D120" s="1884"/>
      <c r="E120" s="1726">
        <f t="shared" si="18"/>
        <v>0</v>
      </c>
      <c r="F120" s="1722"/>
      <c r="G120" s="1742"/>
      <c r="H120" s="1725"/>
      <c r="I120" s="1743"/>
      <c r="J120" s="1743"/>
      <c r="K120" s="1744"/>
      <c r="L120" s="1734">
        <f t="shared" si="26"/>
        <v>0</v>
      </c>
      <c r="M120" s="1735">
        <f t="shared" si="27"/>
        <v>0</v>
      </c>
      <c r="N120" s="1730"/>
      <c r="O120" s="1730"/>
      <c r="P120" s="1730"/>
      <c r="Q120" s="1730"/>
      <c r="R120" s="1730"/>
      <c r="S120" s="1730"/>
      <c r="T120" s="1730"/>
      <c r="U120" s="1730"/>
      <c r="V120" s="1730"/>
      <c r="W120" s="1730"/>
      <c r="X120" s="1903">
        <f t="shared" si="17"/>
        <v>0</v>
      </c>
      <c r="Y120" s="1733">
        <f t="shared" si="28"/>
        <v>0</v>
      </c>
      <c r="Z120" s="528"/>
      <c r="AA120" s="1560">
        <f t="shared" si="19"/>
        <v>0</v>
      </c>
      <c r="AB120" s="1561">
        <f t="shared" si="20"/>
        <v>0</v>
      </c>
      <c r="AC120" s="1561">
        <f t="shared" si="21"/>
        <v>0</v>
      </c>
      <c r="AD120" s="1561">
        <f t="shared" si="22"/>
        <v>0</v>
      </c>
      <c r="AE120" s="1585">
        <f t="shared" si="23"/>
        <v>0</v>
      </c>
      <c r="AF120" s="1596"/>
      <c r="AG120" s="1588"/>
      <c r="AH120" s="1588"/>
      <c r="AI120" s="1588"/>
      <c r="AJ120" s="1588"/>
      <c r="AK120" s="1589"/>
      <c r="AL120" s="1590"/>
      <c r="AM120" s="1590"/>
      <c r="AN120" s="1590"/>
      <c r="AO120" s="1597"/>
      <c r="AP120" s="1586">
        <f t="shared" si="24"/>
        <v>0</v>
      </c>
      <c r="AQ120" s="1581"/>
      <c r="AR120" s="1582"/>
      <c r="AS120" s="1638">
        <f t="shared" si="25"/>
        <v>0</v>
      </c>
      <c r="AT120" s="1641"/>
      <c r="AU120" s="1642"/>
      <c r="AV120" s="935"/>
      <c r="AW120" s="935"/>
      <c r="AX120" s="935"/>
      <c r="AY120" s="722"/>
      <c r="AZ120" s="722"/>
      <c r="BA120" s="722"/>
      <c r="BB120" s="722"/>
      <c r="BC120" s="722"/>
      <c r="BD120" s="722"/>
      <c r="BE120" s="706"/>
      <c r="BF120" s="706"/>
      <c r="BG120" s="694"/>
    </row>
    <row r="121" spans="1:59" ht="15.75" x14ac:dyDescent="0.25">
      <c r="A121" s="1883"/>
      <c r="B121" s="1748"/>
      <c r="C121" s="1884"/>
      <c r="D121" s="1884"/>
      <c r="E121" s="1726">
        <f t="shared" si="18"/>
        <v>0</v>
      </c>
      <c r="F121" s="1722"/>
      <c r="G121" s="1742"/>
      <c r="H121" s="1725"/>
      <c r="I121" s="1743"/>
      <c r="J121" s="1743"/>
      <c r="K121" s="1744"/>
      <c r="L121" s="1734">
        <f t="shared" si="26"/>
        <v>0</v>
      </c>
      <c r="M121" s="1735">
        <f t="shared" si="27"/>
        <v>0</v>
      </c>
      <c r="N121" s="1730"/>
      <c r="O121" s="1730"/>
      <c r="P121" s="1730"/>
      <c r="Q121" s="1730"/>
      <c r="R121" s="1730"/>
      <c r="S121" s="1730"/>
      <c r="T121" s="1730"/>
      <c r="U121" s="1730"/>
      <c r="V121" s="1730"/>
      <c r="W121" s="1730"/>
      <c r="X121" s="1903">
        <f t="shared" si="17"/>
        <v>0</v>
      </c>
      <c r="Y121" s="1733">
        <f t="shared" si="28"/>
        <v>0</v>
      </c>
      <c r="Z121" s="528"/>
      <c r="AA121" s="1560">
        <f t="shared" si="19"/>
        <v>0</v>
      </c>
      <c r="AB121" s="1561">
        <f t="shared" si="20"/>
        <v>0</v>
      </c>
      <c r="AC121" s="1561">
        <f t="shared" si="21"/>
        <v>0</v>
      </c>
      <c r="AD121" s="1561">
        <f t="shared" si="22"/>
        <v>0</v>
      </c>
      <c r="AE121" s="1585">
        <f t="shared" si="23"/>
        <v>0</v>
      </c>
      <c r="AF121" s="1596"/>
      <c r="AG121" s="1588"/>
      <c r="AH121" s="1588"/>
      <c r="AI121" s="1588"/>
      <c r="AJ121" s="1588"/>
      <c r="AK121" s="1589"/>
      <c r="AL121" s="1590"/>
      <c r="AM121" s="1590"/>
      <c r="AN121" s="1590"/>
      <c r="AO121" s="1597"/>
      <c r="AP121" s="1586">
        <f t="shared" si="24"/>
        <v>0</v>
      </c>
      <c r="AQ121" s="1581"/>
      <c r="AR121" s="1582"/>
      <c r="AS121" s="1638">
        <f t="shared" si="25"/>
        <v>0</v>
      </c>
      <c r="AT121" s="1641"/>
      <c r="AU121" s="1642"/>
      <c r="AV121" s="935"/>
      <c r="AW121" s="935"/>
      <c r="AX121" s="935"/>
      <c r="AY121" s="722"/>
      <c r="AZ121" s="722"/>
      <c r="BA121" s="722"/>
      <c r="BB121" s="722"/>
      <c r="BC121" s="722"/>
      <c r="BD121" s="722"/>
      <c r="BE121" s="706"/>
      <c r="BF121" s="706"/>
      <c r="BG121" s="694"/>
    </row>
    <row r="122" spans="1:59" ht="15.75" x14ac:dyDescent="0.25">
      <c r="A122" s="1883"/>
      <c r="B122" s="1748"/>
      <c r="C122" s="1884"/>
      <c r="D122" s="1884"/>
      <c r="E122" s="1726">
        <f t="shared" si="18"/>
        <v>0</v>
      </c>
      <c r="F122" s="1722"/>
      <c r="G122" s="1742"/>
      <c r="H122" s="1725"/>
      <c r="I122" s="1743"/>
      <c r="J122" s="1743"/>
      <c r="K122" s="1744"/>
      <c r="L122" s="1734">
        <f t="shared" si="26"/>
        <v>0</v>
      </c>
      <c r="M122" s="1735">
        <f t="shared" si="27"/>
        <v>0</v>
      </c>
      <c r="N122" s="1730"/>
      <c r="O122" s="1730"/>
      <c r="P122" s="1730"/>
      <c r="Q122" s="1730"/>
      <c r="R122" s="1730"/>
      <c r="S122" s="1730"/>
      <c r="T122" s="1730"/>
      <c r="U122" s="1730"/>
      <c r="V122" s="1730"/>
      <c r="W122" s="1730"/>
      <c r="X122" s="1903">
        <f t="shared" si="17"/>
        <v>0</v>
      </c>
      <c r="Y122" s="1733">
        <f t="shared" si="28"/>
        <v>0</v>
      </c>
      <c r="Z122" s="528"/>
      <c r="AA122" s="1560">
        <f t="shared" si="19"/>
        <v>0</v>
      </c>
      <c r="AB122" s="1561">
        <f t="shared" si="20"/>
        <v>0</v>
      </c>
      <c r="AC122" s="1561">
        <f t="shared" si="21"/>
        <v>0</v>
      </c>
      <c r="AD122" s="1561">
        <f t="shared" si="22"/>
        <v>0</v>
      </c>
      <c r="AE122" s="1585">
        <f t="shared" si="23"/>
        <v>0</v>
      </c>
      <c r="AF122" s="1596"/>
      <c r="AG122" s="1588"/>
      <c r="AH122" s="1588"/>
      <c r="AI122" s="1588"/>
      <c r="AJ122" s="1588"/>
      <c r="AK122" s="1589"/>
      <c r="AL122" s="1590"/>
      <c r="AM122" s="1590"/>
      <c r="AN122" s="1590"/>
      <c r="AO122" s="1597"/>
      <c r="AP122" s="1586">
        <f t="shared" si="24"/>
        <v>0</v>
      </c>
      <c r="AQ122" s="1581"/>
      <c r="AR122" s="1582"/>
      <c r="AS122" s="1638">
        <f t="shared" si="25"/>
        <v>0</v>
      </c>
      <c r="AT122" s="1641"/>
      <c r="AU122" s="1642"/>
      <c r="AV122" s="935"/>
      <c r="AW122" s="935"/>
      <c r="AX122" s="935"/>
      <c r="AY122" s="722"/>
      <c r="AZ122" s="722"/>
      <c r="BA122" s="722"/>
      <c r="BB122" s="722"/>
      <c r="BC122" s="722"/>
      <c r="BD122" s="722"/>
      <c r="BE122" s="706"/>
      <c r="BF122" s="706"/>
      <c r="BG122" s="694"/>
    </row>
    <row r="123" spans="1:59" ht="15.75" x14ac:dyDescent="0.25">
      <c r="A123" s="1883"/>
      <c r="B123" s="1748"/>
      <c r="C123" s="1884"/>
      <c r="D123" s="1884"/>
      <c r="E123" s="1726">
        <f t="shared" si="18"/>
        <v>0</v>
      </c>
      <c r="F123" s="1722"/>
      <c r="G123" s="1742"/>
      <c r="H123" s="1725"/>
      <c r="I123" s="1743"/>
      <c r="J123" s="1743"/>
      <c r="K123" s="1744"/>
      <c r="L123" s="1734">
        <f t="shared" si="26"/>
        <v>0</v>
      </c>
      <c r="M123" s="1735">
        <f t="shared" si="27"/>
        <v>0</v>
      </c>
      <c r="N123" s="1730"/>
      <c r="O123" s="1730"/>
      <c r="P123" s="1730"/>
      <c r="Q123" s="1730"/>
      <c r="R123" s="1730"/>
      <c r="S123" s="1730"/>
      <c r="T123" s="1730"/>
      <c r="U123" s="1730"/>
      <c r="V123" s="1730"/>
      <c r="W123" s="1730"/>
      <c r="X123" s="1903">
        <f t="shared" si="17"/>
        <v>0</v>
      </c>
      <c r="Y123" s="1733">
        <f t="shared" si="28"/>
        <v>0</v>
      </c>
      <c r="Z123" s="528"/>
      <c r="AA123" s="1560">
        <f t="shared" si="19"/>
        <v>0</v>
      </c>
      <c r="AB123" s="1561">
        <f t="shared" si="20"/>
        <v>0</v>
      </c>
      <c r="AC123" s="1561">
        <f t="shared" si="21"/>
        <v>0</v>
      </c>
      <c r="AD123" s="1561">
        <f t="shared" si="22"/>
        <v>0</v>
      </c>
      <c r="AE123" s="1585">
        <f t="shared" si="23"/>
        <v>0</v>
      </c>
      <c r="AF123" s="1596"/>
      <c r="AG123" s="1588"/>
      <c r="AH123" s="1588"/>
      <c r="AI123" s="1588"/>
      <c r="AJ123" s="1588"/>
      <c r="AK123" s="1589"/>
      <c r="AL123" s="1590"/>
      <c r="AM123" s="1590"/>
      <c r="AN123" s="1590"/>
      <c r="AO123" s="1597"/>
      <c r="AP123" s="1586">
        <f t="shared" si="24"/>
        <v>0</v>
      </c>
      <c r="AQ123" s="1581"/>
      <c r="AR123" s="1582"/>
      <c r="AS123" s="1638">
        <f t="shared" si="25"/>
        <v>0</v>
      </c>
      <c r="AT123" s="1641"/>
      <c r="AU123" s="1642"/>
      <c r="AV123" s="935"/>
      <c r="AW123" s="935"/>
      <c r="AX123" s="935"/>
      <c r="AY123" s="722"/>
      <c r="AZ123" s="722"/>
      <c r="BA123" s="722"/>
      <c r="BB123" s="722"/>
      <c r="BC123" s="722"/>
      <c r="BD123" s="722"/>
      <c r="BE123" s="706"/>
      <c r="BF123" s="706"/>
      <c r="BG123" s="694"/>
    </row>
    <row r="124" spans="1:59" ht="15.75" x14ac:dyDescent="0.25">
      <c r="A124" s="1883"/>
      <c r="B124" s="1748"/>
      <c r="C124" s="1884"/>
      <c r="D124" s="1884"/>
      <c r="E124" s="1726">
        <f t="shared" si="18"/>
        <v>0</v>
      </c>
      <c r="F124" s="1722"/>
      <c r="G124" s="1742"/>
      <c r="H124" s="1725"/>
      <c r="I124" s="1743"/>
      <c r="J124" s="1743"/>
      <c r="K124" s="1744"/>
      <c r="L124" s="1734">
        <f t="shared" si="26"/>
        <v>0</v>
      </c>
      <c r="M124" s="1735">
        <f t="shared" si="27"/>
        <v>0</v>
      </c>
      <c r="N124" s="1730"/>
      <c r="O124" s="1730"/>
      <c r="P124" s="1730"/>
      <c r="Q124" s="1730"/>
      <c r="R124" s="1730"/>
      <c r="S124" s="1730"/>
      <c r="T124" s="1730"/>
      <c r="U124" s="1730"/>
      <c r="V124" s="1730"/>
      <c r="W124" s="1730"/>
      <c r="X124" s="1903">
        <f t="shared" si="17"/>
        <v>0</v>
      </c>
      <c r="Y124" s="1733">
        <f t="shared" si="28"/>
        <v>0</v>
      </c>
      <c r="Z124" s="528"/>
      <c r="AA124" s="1560">
        <f t="shared" si="19"/>
        <v>0</v>
      </c>
      <c r="AB124" s="1561">
        <f t="shared" si="20"/>
        <v>0</v>
      </c>
      <c r="AC124" s="1561">
        <f t="shared" si="21"/>
        <v>0</v>
      </c>
      <c r="AD124" s="1561">
        <f t="shared" si="22"/>
        <v>0</v>
      </c>
      <c r="AE124" s="1585">
        <f t="shared" si="23"/>
        <v>0</v>
      </c>
      <c r="AF124" s="1596"/>
      <c r="AG124" s="1588"/>
      <c r="AH124" s="1588"/>
      <c r="AI124" s="1588"/>
      <c r="AJ124" s="1588"/>
      <c r="AK124" s="1589"/>
      <c r="AL124" s="1590"/>
      <c r="AM124" s="1590"/>
      <c r="AN124" s="1590"/>
      <c r="AO124" s="1597"/>
      <c r="AP124" s="1586">
        <f t="shared" si="24"/>
        <v>0</v>
      </c>
      <c r="AQ124" s="1581"/>
      <c r="AR124" s="1582"/>
      <c r="AS124" s="1638">
        <f t="shared" si="25"/>
        <v>0</v>
      </c>
      <c r="AT124" s="1641"/>
      <c r="AU124" s="1642"/>
      <c r="AV124" s="935"/>
      <c r="AW124" s="935"/>
      <c r="AX124" s="935"/>
      <c r="AY124" s="722"/>
      <c r="AZ124" s="722"/>
      <c r="BA124" s="722"/>
      <c r="BB124" s="722"/>
      <c r="BC124" s="722"/>
      <c r="BD124" s="722"/>
      <c r="BE124" s="706"/>
      <c r="BF124" s="706"/>
      <c r="BG124" s="694"/>
    </row>
    <row r="125" spans="1:59" ht="15.75" x14ac:dyDescent="0.25">
      <c r="A125" s="1883"/>
      <c r="B125" s="1748"/>
      <c r="C125" s="1884"/>
      <c r="D125" s="1884"/>
      <c r="E125" s="1726">
        <f t="shared" si="18"/>
        <v>0</v>
      </c>
      <c r="F125" s="1722"/>
      <c r="G125" s="1742"/>
      <c r="H125" s="1725"/>
      <c r="I125" s="1743"/>
      <c r="J125" s="1743"/>
      <c r="K125" s="1744"/>
      <c r="L125" s="1734">
        <f t="shared" si="26"/>
        <v>0</v>
      </c>
      <c r="M125" s="1735">
        <f t="shared" si="27"/>
        <v>0</v>
      </c>
      <c r="N125" s="1730"/>
      <c r="O125" s="1730"/>
      <c r="P125" s="1730"/>
      <c r="Q125" s="1730"/>
      <c r="R125" s="1730"/>
      <c r="S125" s="1730"/>
      <c r="T125" s="1730"/>
      <c r="U125" s="1730"/>
      <c r="V125" s="1730"/>
      <c r="W125" s="1730"/>
      <c r="X125" s="1903">
        <f t="shared" si="17"/>
        <v>0</v>
      </c>
      <c r="Y125" s="1733">
        <f t="shared" si="28"/>
        <v>0</v>
      </c>
      <c r="Z125" s="528"/>
      <c r="AA125" s="1560">
        <f t="shared" si="19"/>
        <v>0</v>
      </c>
      <c r="AB125" s="1561">
        <f t="shared" si="20"/>
        <v>0</v>
      </c>
      <c r="AC125" s="1561">
        <f t="shared" si="21"/>
        <v>0</v>
      </c>
      <c r="AD125" s="1561">
        <f t="shared" si="22"/>
        <v>0</v>
      </c>
      <c r="AE125" s="1585">
        <f t="shared" si="23"/>
        <v>0</v>
      </c>
      <c r="AF125" s="1596"/>
      <c r="AG125" s="1588"/>
      <c r="AH125" s="1588"/>
      <c r="AI125" s="1588"/>
      <c r="AJ125" s="1588"/>
      <c r="AK125" s="1589"/>
      <c r="AL125" s="1590"/>
      <c r="AM125" s="1590"/>
      <c r="AN125" s="1590"/>
      <c r="AO125" s="1597"/>
      <c r="AP125" s="1586">
        <f t="shared" si="24"/>
        <v>0</v>
      </c>
      <c r="AQ125" s="1581"/>
      <c r="AR125" s="1582"/>
      <c r="AS125" s="1638">
        <f t="shared" si="25"/>
        <v>0</v>
      </c>
      <c r="AT125" s="1641"/>
      <c r="AU125" s="1642"/>
      <c r="AV125" s="935"/>
      <c r="AW125" s="935"/>
      <c r="AX125" s="935"/>
      <c r="AY125" s="722"/>
      <c r="AZ125" s="722"/>
      <c r="BA125" s="722"/>
      <c r="BB125" s="722"/>
      <c r="BC125" s="722"/>
      <c r="BD125" s="722"/>
      <c r="BE125" s="706"/>
      <c r="BF125" s="706"/>
      <c r="BG125" s="694"/>
    </row>
    <row r="126" spans="1:59" ht="15.75" x14ac:dyDescent="0.25">
      <c r="A126" s="1883"/>
      <c r="B126" s="1748"/>
      <c r="C126" s="1884"/>
      <c r="D126" s="1884"/>
      <c r="E126" s="1726">
        <f t="shared" si="18"/>
        <v>0</v>
      </c>
      <c r="F126" s="1722"/>
      <c r="G126" s="1742"/>
      <c r="H126" s="1725"/>
      <c r="I126" s="1743"/>
      <c r="J126" s="1743"/>
      <c r="K126" s="1744"/>
      <c r="L126" s="1734">
        <f t="shared" si="26"/>
        <v>0</v>
      </c>
      <c r="M126" s="1735">
        <f t="shared" si="27"/>
        <v>0</v>
      </c>
      <c r="N126" s="1730"/>
      <c r="O126" s="1730"/>
      <c r="P126" s="1730"/>
      <c r="Q126" s="1730"/>
      <c r="R126" s="1730"/>
      <c r="S126" s="1730"/>
      <c r="T126" s="1730"/>
      <c r="U126" s="1730"/>
      <c r="V126" s="1730"/>
      <c r="W126" s="1730"/>
      <c r="X126" s="1903">
        <f t="shared" si="17"/>
        <v>0</v>
      </c>
      <c r="Y126" s="1733">
        <f t="shared" si="28"/>
        <v>0</v>
      </c>
      <c r="Z126" s="528"/>
      <c r="AA126" s="1560">
        <f t="shared" si="19"/>
        <v>0</v>
      </c>
      <c r="AB126" s="1561">
        <f t="shared" si="20"/>
        <v>0</v>
      </c>
      <c r="AC126" s="1561">
        <f t="shared" si="21"/>
        <v>0</v>
      </c>
      <c r="AD126" s="1561">
        <f t="shared" si="22"/>
        <v>0</v>
      </c>
      <c r="AE126" s="1585">
        <f t="shared" si="23"/>
        <v>0</v>
      </c>
      <c r="AF126" s="1596"/>
      <c r="AG126" s="1588"/>
      <c r="AH126" s="1588"/>
      <c r="AI126" s="1588"/>
      <c r="AJ126" s="1588"/>
      <c r="AK126" s="1589"/>
      <c r="AL126" s="1590"/>
      <c r="AM126" s="1590"/>
      <c r="AN126" s="1590"/>
      <c r="AO126" s="1597"/>
      <c r="AP126" s="1586">
        <f t="shared" si="24"/>
        <v>0</v>
      </c>
      <c r="AQ126" s="1581"/>
      <c r="AR126" s="1582"/>
      <c r="AS126" s="1638">
        <f t="shared" si="25"/>
        <v>0</v>
      </c>
      <c r="AT126" s="1641"/>
      <c r="AU126" s="1642"/>
      <c r="AV126" s="935"/>
      <c r="AW126" s="935"/>
      <c r="AX126" s="935"/>
      <c r="AY126" s="722"/>
      <c r="AZ126" s="722"/>
      <c r="BA126" s="722"/>
      <c r="BB126" s="722"/>
      <c r="BC126" s="722"/>
      <c r="BD126" s="722"/>
      <c r="BE126" s="706"/>
      <c r="BF126" s="706"/>
      <c r="BG126" s="694"/>
    </row>
    <row r="127" spans="1:59" ht="15.75" x14ac:dyDescent="0.25">
      <c r="A127" s="1883"/>
      <c r="B127" s="1748"/>
      <c r="C127" s="1884"/>
      <c r="D127" s="1884"/>
      <c r="E127" s="1726">
        <f t="shared" si="18"/>
        <v>0</v>
      </c>
      <c r="F127" s="1722"/>
      <c r="G127" s="1742"/>
      <c r="H127" s="1725"/>
      <c r="I127" s="1743"/>
      <c r="J127" s="1743"/>
      <c r="K127" s="1744"/>
      <c r="L127" s="1734">
        <f t="shared" si="26"/>
        <v>0</v>
      </c>
      <c r="M127" s="1735">
        <f t="shared" si="27"/>
        <v>0</v>
      </c>
      <c r="N127" s="1730"/>
      <c r="O127" s="1730"/>
      <c r="P127" s="1730"/>
      <c r="Q127" s="1730"/>
      <c r="R127" s="1730"/>
      <c r="S127" s="1730"/>
      <c r="T127" s="1730"/>
      <c r="U127" s="1730"/>
      <c r="V127" s="1730"/>
      <c r="W127" s="1730"/>
      <c r="X127" s="1903">
        <f t="shared" si="17"/>
        <v>0</v>
      </c>
      <c r="Y127" s="1733">
        <f t="shared" si="28"/>
        <v>0</v>
      </c>
      <c r="Z127" s="528"/>
      <c r="AA127" s="1560">
        <f t="shared" si="19"/>
        <v>0</v>
      </c>
      <c r="AB127" s="1561">
        <f t="shared" si="20"/>
        <v>0</v>
      </c>
      <c r="AC127" s="1561">
        <f t="shared" si="21"/>
        <v>0</v>
      </c>
      <c r="AD127" s="1561">
        <f t="shared" si="22"/>
        <v>0</v>
      </c>
      <c r="AE127" s="1585">
        <f t="shared" si="23"/>
        <v>0</v>
      </c>
      <c r="AF127" s="1596"/>
      <c r="AG127" s="1588"/>
      <c r="AH127" s="1588"/>
      <c r="AI127" s="1588"/>
      <c r="AJ127" s="1588"/>
      <c r="AK127" s="1589"/>
      <c r="AL127" s="1590"/>
      <c r="AM127" s="1590"/>
      <c r="AN127" s="1590"/>
      <c r="AO127" s="1597"/>
      <c r="AP127" s="1586">
        <f t="shared" si="24"/>
        <v>0</v>
      </c>
      <c r="AQ127" s="1581"/>
      <c r="AR127" s="1582"/>
      <c r="AS127" s="1638">
        <f t="shared" si="25"/>
        <v>0</v>
      </c>
      <c r="AT127" s="1641"/>
      <c r="AU127" s="1642"/>
      <c r="AV127" s="935"/>
      <c r="AW127" s="935"/>
      <c r="AX127" s="935"/>
      <c r="AY127" s="722"/>
      <c r="AZ127" s="722"/>
      <c r="BA127" s="722"/>
      <c r="BB127" s="722"/>
      <c r="BC127" s="722"/>
      <c r="BD127" s="722"/>
      <c r="BE127" s="706"/>
      <c r="BF127" s="706"/>
      <c r="BG127" s="694"/>
    </row>
    <row r="128" spans="1:59" ht="15.75" x14ac:dyDescent="0.25">
      <c r="A128" s="1883"/>
      <c r="B128" s="1748"/>
      <c r="C128" s="1884"/>
      <c r="D128" s="1884"/>
      <c r="E128" s="1726">
        <f t="shared" si="18"/>
        <v>0</v>
      </c>
      <c r="F128" s="1722"/>
      <c r="G128" s="1742"/>
      <c r="H128" s="1725"/>
      <c r="I128" s="1743"/>
      <c r="J128" s="1743"/>
      <c r="K128" s="1744"/>
      <c r="L128" s="1734">
        <f t="shared" si="26"/>
        <v>0</v>
      </c>
      <c r="M128" s="1735">
        <f t="shared" si="27"/>
        <v>0</v>
      </c>
      <c r="N128" s="1730"/>
      <c r="O128" s="1730"/>
      <c r="P128" s="1730"/>
      <c r="Q128" s="1730"/>
      <c r="R128" s="1730"/>
      <c r="S128" s="1730"/>
      <c r="T128" s="1730"/>
      <c r="U128" s="1730"/>
      <c r="V128" s="1730"/>
      <c r="W128" s="1730"/>
      <c r="X128" s="1903">
        <f t="shared" si="17"/>
        <v>0</v>
      </c>
      <c r="Y128" s="1733">
        <f t="shared" si="28"/>
        <v>0</v>
      </c>
      <c r="Z128" s="528"/>
      <c r="AA128" s="1560">
        <f t="shared" si="19"/>
        <v>0</v>
      </c>
      <c r="AB128" s="1561">
        <f t="shared" si="20"/>
        <v>0</v>
      </c>
      <c r="AC128" s="1561">
        <f t="shared" si="21"/>
        <v>0</v>
      </c>
      <c r="AD128" s="1561">
        <f t="shared" si="22"/>
        <v>0</v>
      </c>
      <c r="AE128" s="1585">
        <f t="shared" si="23"/>
        <v>0</v>
      </c>
      <c r="AF128" s="1596"/>
      <c r="AG128" s="1588"/>
      <c r="AH128" s="1588"/>
      <c r="AI128" s="1588"/>
      <c r="AJ128" s="1588"/>
      <c r="AK128" s="1589"/>
      <c r="AL128" s="1590"/>
      <c r="AM128" s="1590"/>
      <c r="AN128" s="1590"/>
      <c r="AO128" s="1597"/>
      <c r="AP128" s="1586">
        <f t="shared" si="24"/>
        <v>0</v>
      </c>
      <c r="AQ128" s="1581"/>
      <c r="AR128" s="1582"/>
      <c r="AS128" s="1638">
        <f t="shared" si="25"/>
        <v>0</v>
      </c>
      <c r="AT128" s="1641"/>
      <c r="AU128" s="1642"/>
      <c r="AV128" s="935"/>
      <c r="AW128" s="935"/>
      <c r="AX128" s="935"/>
      <c r="AY128" s="722"/>
      <c r="AZ128" s="722"/>
      <c r="BA128" s="722"/>
      <c r="BB128" s="722"/>
      <c r="BC128" s="722"/>
      <c r="BD128" s="722"/>
      <c r="BE128" s="706"/>
      <c r="BF128" s="706"/>
      <c r="BG128" s="694"/>
    </row>
    <row r="129" spans="1:64" ht="15.75" x14ac:dyDescent="0.25">
      <c r="A129" s="1883"/>
      <c r="B129" s="1748"/>
      <c r="C129" s="1884"/>
      <c r="D129" s="1884"/>
      <c r="E129" s="1726">
        <f t="shared" si="18"/>
        <v>0</v>
      </c>
      <c r="F129" s="1722"/>
      <c r="G129" s="1742"/>
      <c r="H129" s="1725"/>
      <c r="I129" s="1743"/>
      <c r="J129" s="1743"/>
      <c r="K129" s="1744"/>
      <c r="L129" s="1734">
        <f t="shared" si="26"/>
        <v>0</v>
      </c>
      <c r="M129" s="1735">
        <f t="shared" si="27"/>
        <v>0</v>
      </c>
      <c r="N129" s="1730"/>
      <c r="O129" s="1730"/>
      <c r="P129" s="1730"/>
      <c r="Q129" s="1730"/>
      <c r="R129" s="1730"/>
      <c r="S129" s="1730"/>
      <c r="T129" s="1730"/>
      <c r="U129" s="1730"/>
      <c r="V129" s="1730"/>
      <c r="W129" s="1730"/>
      <c r="X129" s="1903">
        <f t="shared" si="17"/>
        <v>0</v>
      </c>
      <c r="Y129" s="1733">
        <f t="shared" si="28"/>
        <v>0</v>
      </c>
      <c r="Z129" s="528"/>
      <c r="AA129" s="1560">
        <f t="shared" si="19"/>
        <v>0</v>
      </c>
      <c r="AB129" s="1561">
        <f t="shared" si="20"/>
        <v>0</v>
      </c>
      <c r="AC129" s="1561">
        <f t="shared" si="21"/>
        <v>0</v>
      </c>
      <c r="AD129" s="1561">
        <f t="shared" si="22"/>
        <v>0</v>
      </c>
      <c r="AE129" s="1585">
        <f t="shared" si="23"/>
        <v>0</v>
      </c>
      <c r="AF129" s="1596"/>
      <c r="AG129" s="1588"/>
      <c r="AH129" s="1588"/>
      <c r="AI129" s="1588"/>
      <c r="AJ129" s="1588"/>
      <c r="AK129" s="1589"/>
      <c r="AL129" s="1590"/>
      <c r="AM129" s="1590"/>
      <c r="AN129" s="1590"/>
      <c r="AO129" s="1597"/>
      <c r="AP129" s="1586">
        <f t="shared" si="24"/>
        <v>0</v>
      </c>
      <c r="AQ129" s="1581"/>
      <c r="AR129" s="1582"/>
      <c r="AS129" s="1638">
        <f t="shared" si="25"/>
        <v>0</v>
      </c>
      <c r="AT129" s="1641"/>
      <c r="AU129" s="1642"/>
      <c r="AV129" s="935"/>
      <c r="AW129" s="935"/>
      <c r="AX129" s="935"/>
      <c r="AY129" s="722"/>
      <c r="AZ129" s="722"/>
      <c r="BA129" s="722"/>
      <c r="BB129" s="722"/>
      <c r="BC129" s="722"/>
      <c r="BD129" s="722"/>
      <c r="BE129" s="706"/>
      <c r="BF129" s="706"/>
      <c r="BG129" s="694"/>
    </row>
    <row r="130" spans="1:64" ht="15.75" x14ac:dyDescent="0.25">
      <c r="A130" s="1883"/>
      <c r="B130" s="1748"/>
      <c r="C130" s="1884"/>
      <c r="D130" s="1884"/>
      <c r="E130" s="1726">
        <f t="shared" si="18"/>
        <v>0</v>
      </c>
      <c r="F130" s="1722"/>
      <c r="G130" s="1742"/>
      <c r="H130" s="1725"/>
      <c r="I130" s="1743"/>
      <c r="J130" s="1743"/>
      <c r="K130" s="1744"/>
      <c r="L130" s="1734">
        <f t="shared" si="26"/>
        <v>0</v>
      </c>
      <c r="M130" s="1735">
        <f t="shared" si="27"/>
        <v>0</v>
      </c>
      <c r="N130" s="1730"/>
      <c r="O130" s="1730"/>
      <c r="P130" s="1730"/>
      <c r="Q130" s="1730"/>
      <c r="R130" s="1730"/>
      <c r="S130" s="1730"/>
      <c r="T130" s="1730"/>
      <c r="U130" s="1730"/>
      <c r="V130" s="1730"/>
      <c r="W130" s="1730"/>
      <c r="X130" s="1903">
        <f t="shared" si="17"/>
        <v>0</v>
      </c>
      <c r="Y130" s="1733">
        <f t="shared" si="28"/>
        <v>0</v>
      </c>
      <c r="Z130" s="528"/>
      <c r="AA130" s="1560">
        <f t="shared" si="19"/>
        <v>0</v>
      </c>
      <c r="AB130" s="1561">
        <f t="shared" si="20"/>
        <v>0</v>
      </c>
      <c r="AC130" s="1561">
        <f t="shared" si="21"/>
        <v>0</v>
      </c>
      <c r="AD130" s="1561">
        <f t="shared" si="22"/>
        <v>0</v>
      </c>
      <c r="AE130" s="1585">
        <f t="shared" si="23"/>
        <v>0</v>
      </c>
      <c r="AF130" s="1596"/>
      <c r="AG130" s="1588"/>
      <c r="AH130" s="1588"/>
      <c r="AI130" s="1588"/>
      <c r="AJ130" s="1588"/>
      <c r="AK130" s="1589"/>
      <c r="AL130" s="1590"/>
      <c r="AM130" s="1590"/>
      <c r="AN130" s="1590"/>
      <c r="AO130" s="1597"/>
      <c r="AP130" s="1586">
        <f t="shared" si="24"/>
        <v>0</v>
      </c>
      <c r="AQ130" s="1581"/>
      <c r="AR130" s="1582"/>
      <c r="AS130" s="1638">
        <f t="shared" si="25"/>
        <v>0</v>
      </c>
      <c r="AT130" s="1641"/>
      <c r="AU130" s="1642"/>
      <c r="AV130" s="935"/>
      <c r="AW130" s="935"/>
      <c r="AX130" s="935"/>
      <c r="AY130" s="722"/>
      <c r="AZ130" s="722"/>
      <c r="BA130" s="722"/>
      <c r="BB130" s="722"/>
      <c r="BC130" s="722"/>
      <c r="BD130" s="722"/>
      <c r="BE130" s="706"/>
      <c r="BF130" s="706"/>
      <c r="BG130" s="694"/>
    </row>
    <row r="131" spans="1:64" ht="15.75" x14ac:dyDescent="0.25">
      <c r="A131" s="1883"/>
      <c r="B131" s="1748"/>
      <c r="C131" s="1884"/>
      <c r="D131" s="1884"/>
      <c r="E131" s="1726">
        <f t="shared" si="18"/>
        <v>0</v>
      </c>
      <c r="F131" s="1722"/>
      <c r="G131" s="1742"/>
      <c r="H131" s="1725"/>
      <c r="I131" s="1743"/>
      <c r="J131" s="1743"/>
      <c r="K131" s="1744"/>
      <c r="L131" s="1734">
        <f t="shared" si="26"/>
        <v>0</v>
      </c>
      <c r="M131" s="1735">
        <f t="shared" si="27"/>
        <v>0</v>
      </c>
      <c r="N131" s="1730"/>
      <c r="O131" s="1730"/>
      <c r="P131" s="1730"/>
      <c r="Q131" s="1730"/>
      <c r="R131" s="1730"/>
      <c r="S131" s="1730"/>
      <c r="T131" s="1730"/>
      <c r="U131" s="1730"/>
      <c r="V131" s="1730"/>
      <c r="W131" s="1730"/>
      <c r="X131" s="1903">
        <f t="shared" si="17"/>
        <v>0</v>
      </c>
      <c r="Y131" s="1733">
        <f t="shared" si="28"/>
        <v>0</v>
      </c>
      <c r="Z131" s="528"/>
      <c r="AA131" s="1560">
        <f t="shared" si="19"/>
        <v>0</v>
      </c>
      <c r="AB131" s="1561">
        <f t="shared" si="20"/>
        <v>0</v>
      </c>
      <c r="AC131" s="1561">
        <f t="shared" si="21"/>
        <v>0</v>
      </c>
      <c r="AD131" s="1561">
        <f t="shared" si="22"/>
        <v>0</v>
      </c>
      <c r="AE131" s="1585">
        <f t="shared" si="23"/>
        <v>0</v>
      </c>
      <c r="AF131" s="1596"/>
      <c r="AG131" s="1588"/>
      <c r="AH131" s="1588"/>
      <c r="AI131" s="1588"/>
      <c r="AJ131" s="1588"/>
      <c r="AK131" s="1589"/>
      <c r="AL131" s="1590"/>
      <c r="AM131" s="1590"/>
      <c r="AN131" s="1590"/>
      <c r="AO131" s="1597"/>
      <c r="AP131" s="1586">
        <f t="shared" si="24"/>
        <v>0</v>
      </c>
      <c r="AQ131" s="1581"/>
      <c r="AR131" s="1582"/>
      <c r="AS131" s="1638">
        <f t="shared" si="25"/>
        <v>0</v>
      </c>
      <c r="AT131" s="1641"/>
      <c r="AU131" s="1642"/>
      <c r="AV131" s="935"/>
      <c r="AW131" s="935"/>
      <c r="AX131" s="935"/>
      <c r="AY131" s="722"/>
      <c r="AZ131" s="722"/>
      <c r="BA131" s="722"/>
      <c r="BB131" s="722"/>
      <c r="BC131" s="722"/>
      <c r="BD131" s="722"/>
      <c r="BE131" s="706"/>
      <c r="BF131" s="706"/>
      <c r="BG131" s="694"/>
    </row>
    <row r="132" spans="1:64" ht="15.75" x14ac:dyDescent="0.25">
      <c r="A132" s="1883"/>
      <c r="B132" s="1748"/>
      <c r="C132" s="1884"/>
      <c r="D132" s="1884"/>
      <c r="E132" s="1726">
        <f t="shared" si="18"/>
        <v>0</v>
      </c>
      <c r="F132" s="1722"/>
      <c r="G132" s="1742"/>
      <c r="H132" s="1725"/>
      <c r="I132" s="1743"/>
      <c r="J132" s="1743"/>
      <c r="K132" s="1744"/>
      <c r="L132" s="1734">
        <f t="shared" si="26"/>
        <v>0</v>
      </c>
      <c r="M132" s="1735">
        <f t="shared" si="27"/>
        <v>0</v>
      </c>
      <c r="N132" s="1730"/>
      <c r="O132" s="1730"/>
      <c r="P132" s="1730"/>
      <c r="Q132" s="1730"/>
      <c r="R132" s="1730"/>
      <c r="S132" s="1730"/>
      <c r="T132" s="1730"/>
      <c r="U132" s="1730"/>
      <c r="V132" s="1730"/>
      <c r="W132" s="1730"/>
      <c r="X132" s="1903">
        <f t="shared" si="17"/>
        <v>0</v>
      </c>
      <c r="Y132" s="1733">
        <f t="shared" si="28"/>
        <v>0</v>
      </c>
      <c r="Z132" s="528"/>
      <c r="AA132" s="1560">
        <f t="shared" si="19"/>
        <v>0</v>
      </c>
      <c r="AB132" s="1561">
        <f t="shared" si="20"/>
        <v>0</v>
      </c>
      <c r="AC132" s="1561">
        <f t="shared" si="21"/>
        <v>0</v>
      </c>
      <c r="AD132" s="1561">
        <f t="shared" si="22"/>
        <v>0</v>
      </c>
      <c r="AE132" s="1585">
        <f t="shared" si="23"/>
        <v>0</v>
      </c>
      <c r="AF132" s="1596"/>
      <c r="AG132" s="1588"/>
      <c r="AH132" s="1588"/>
      <c r="AI132" s="1588"/>
      <c r="AJ132" s="1588"/>
      <c r="AK132" s="1589"/>
      <c r="AL132" s="1590"/>
      <c r="AM132" s="1590"/>
      <c r="AN132" s="1590"/>
      <c r="AO132" s="1597"/>
      <c r="AP132" s="1586">
        <f t="shared" si="24"/>
        <v>0</v>
      </c>
      <c r="AQ132" s="1581"/>
      <c r="AR132" s="1582"/>
      <c r="AS132" s="1638">
        <f t="shared" si="25"/>
        <v>0</v>
      </c>
      <c r="AT132" s="1641"/>
      <c r="AU132" s="1642"/>
      <c r="AV132" s="935"/>
      <c r="AW132" s="935"/>
      <c r="AX132" s="935"/>
      <c r="AY132" s="722"/>
      <c r="AZ132" s="722"/>
      <c r="BA132" s="722"/>
      <c r="BB132" s="722"/>
      <c r="BC132" s="722"/>
      <c r="BD132" s="722"/>
      <c r="BE132" s="706"/>
      <c r="BF132" s="706"/>
      <c r="BG132" s="694"/>
    </row>
    <row r="133" spans="1:64" ht="15.75" x14ac:dyDescent="0.25">
      <c r="A133" s="1883"/>
      <c r="B133" s="1748"/>
      <c r="C133" s="1884"/>
      <c r="D133" s="1884"/>
      <c r="E133" s="1726">
        <f t="shared" si="18"/>
        <v>0</v>
      </c>
      <c r="F133" s="1722"/>
      <c r="G133" s="1742"/>
      <c r="H133" s="1725"/>
      <c r="I133" s="1743"/>
      <c r="J133" s="1743"/>
      <c r="K133" s="1744"/>
      <c r="L133" s="1734">
        <f t="shared" si="26"/>
        <v>0</v>
      </c>
      <c r="M133" s="1735">
        <f t="shared" si="27"/>
        <v>0</v>
      </c>
      <c r="N133" s="1730"/>
      <c r="O133" s="1730"/>
      <c r="P133" s="1730"/>
      <c r="Q133" s="1730"/>
      <c r="R133" s="1730"/>
      <c r="S133" s="1730"/>
      <c r="T133" s="1730"/>
      <c r="U133" s="1730"/>
      <c r="V133" s="1730"/>
      <c r="W133" s="1730"/>
      <c r="X133" s="1903">
        <f t="shared" si="17"/>
        <v>0</v>
      </c>
      <c r="Y133" s="1733">
        <f t="shared" si="28"/>
        <v>0</v>
      </c>
      <c r="Z133" s="528"/>
      <c r="AA133" s="1560">
        <f t="shared" si="19"/>
        <v>0</v>
      </c>
      <c r="AB133" s="1561">
        <f t="shared" si="20"/>
        <v>0</v>
      </c>
      <c r="AC133" s="1561">
        <f t="shared" si="21"/>
        <v>0</v>
      </c>
      <c r="AD133" s="1561">
        <f t="shared" si="22"/>
        <v>0</v>
      </c>
      <c r="AE133" s="1585">
        <f t="shared" si="23"/>
        <v>0</v>
      </c>
      <c r="AF133" s="1596"/>
      <c r="AG133" s="1588"/>
      <c r="AH133" s="1588"/>
      <c r="AI133" s="1588"/>
      <c r="AJ133" s="1588"/>
      <c r="AK133" s="1589"/>
      <c r="AL133" s="1590"/>
      <c r="AM133" s="1590"/>
      <c r="AN133" s="1590"/>
      <c r="AO133" s="1597"/>
      <c r="AP133" s="1586">
        <f t="shared" si="24"/>
        <v>0</v>
      </c>
      <c r="AQ133" s="1581"/>
      <c r="AR133" s="1582"/>
      <c r="AS133" s="1638">
        <f t="shared" si="25"/>
        <v>0</v>
      </c>
      <c r="AT133" s="1641"/>
      <c r="AU133" s="1642"/>
      <c r="AV133" s="935"/>
      <c r="AW133" s="935"/>
      <c r="AX133" s="935"/>
      <c r="AY133" s="722"/>
      <c r="AZ133" s="722"/>
      <c r="BA133" s="722"/>
      <c r="BB133" s="722"/>
      <c r="BC133" s="722"/>
      <c r="BD133" s="722"/>
      <c r="BE133" s="706"/>
      <c r="BF133" s="706"/>
      <c r="BG133" s="694"/>
    </row>
    <row r="134" spans="1:64" ht="15.75" x14ac:dyDescent="0.25">
      <c r="A134" s="1883"/>
      <c r="B134" s="1748"/>
      <c r="C134" s="1884"/>
      <c r="D134" s="1884"/>
      <c r="E134" s="1726">
        <f t="shared" si="18"/>
        <v>0</v>
      </c>
      <c r="F134" s="1722"/>
      <c r="G134" s="1742"/>
      <c r="H134" s="1725"/>
      <c r="I134" s="1743"/>
      <c r="J134" s="1743"/>
      <c r="K134" s="1744"/>
      <c r="L134" s="1734">
        <f t="shared" si="26"/>
        <v>0</v>
      </c>
      <c r="M134" s="1735">
        <f t="shared" si="27"/>
        <v>0</v>
      </c>
      <c r="N134" s="1730"/>
      <c r="O134" s="1730"/>
      <c r="P134" s="1730"/>
      <c r="Q134" s="1730"/>
      <c r="R134" s="1730"/>
      <c r="S134" s="1730"/>
      <c r="T134" s="1730"/>
      <c r="U134" s="1730"/>
      <c r="V134" s="1730"/>
      <c r="W134" s="1730"/>
      <c r="X134" s="1903">
        <f t="shared" si="17"/>
        <v>0</v>
      </c>
      <c r="Y134" s="1733">
        <f t="shared" si="28"/>
        <v>0</v>
      </c>
      <c r="Z134" s="528"/>
      <c r="AA134" s="1560">
        <f t="shared" si="19"/>
        <v>0</v>
      </c>
      <c r="AB134" s="1561">
        <f t="shared" si="20"/>
        <v>0</v>
      </c>
      <c r="AC134" s="1561">
        <f t="shared" si="21"/>
        <v>0</v>
      </c>
      <c r="AD134" s="1561">
        <f t="shared" si="22"/>
        <v>0</v>
      </c>
      <c r="AE134" s="1585">
        <f t="shared" si="23"/>
        <v>0</v>
      </c>
      <c r="AF134" s="1596"/>
      <c r="AG134" s="1588"/>
      <c r="AH134" s="1588"/>
      <c r="AI134" s="1588"/>
      <c r="AJ134" s="1588"/>
      <c r="AK134" s="1589"/>
      <c r="AL134" s="1590"/>
      <c r="AM134" s="1590"/>
      <c r="AN134" s="1590"/>
      <c r="AO134" s="1597"/>
      <c r="AP134" s="1586">
        <f t="shared" si="24"/>
        <v>0</v>
      </c>
      <c r="AQ134" s="1581"/>
      <c r="AR134" s="1582"/>
      <c r="AS134" s="1638">
        <f t="shared" si="25"/>
        <v>0</v>
      </c>
      <c r="AT134" s="1641"/>
      <c r="AU134" s="1642"/>
      <c r="AV134" s="935"/>
      <c r="AW134" s="935"/>
      <c r="AX134" s="935"/>
      <c r="AY134" s="722"/>
      <c r="AZ134" s="722"/>
      <c r="BA134" s="722"/>
      <c r="BB134" s="722"/>
      <c r="BC134" s="722"/>
      <c r="BD134" s="722"/>
      <c r="BE134" s="706"/>
      <c r="BF134" s="706"/>
      <c r="BG134" s="694"/>
    </row>
    <row r="135" spans="1:64" ht="15.75" x14ac:dyDescent="0.25">
      <c r="A135" s="1883"/>
      <c r="B135" s="1748"/>
      <c r="C135" s="1884"/>
      <c r="D135" s="1884"/>
      <c r="E135" s="1726">
        <f t="shared" si="18"/>
        <v>0</v>
      </c>
      <c r="F135" s="1722"/>
      <c r="G135" s="1742"/>
      <c r="H135" s="1725"/>
      <c r="I135" s="1743"/>
      <c r="J135" s="1743"/>
      <c r="K135" s="1744"/>
      <c r="L135" s="1734">
        <f t="shared" si="26"/>
        <v>0</v>
      </c>
      <c r="M135" s="1735">
        <f t="shared" si="27"/>
        <v>0</v>
      </c>
      <c r="N135" s="1730"/>
      <c r="O135" s="1730"/>
      <c r="P135" s="1730"/>
      <c r="Q135" s="1730"/>
      <c r="R135" s="1730"/>
      <c r="S135" s="1730"/>
      <c r="T135" s="1730"/>
      <c r="U135" s="1730"/>
      <c r="V135" s="1730"/>
      <c r="W135" s="1730"/>
      <c r="X135" s="1903">
        <f t="shared" si="17"/>
        <v>0</v>
      </c>
      <c r="Y135" s="1733">
        <f t="shared" si="28"/>
        <v>0</v>
      </c>
      <c r="Z135" s="528"/>
      <c r="AA135" s="1560">
        <f t="shared" si="19"/>
        <v>0</v>
      </c>
      <c r="AB135" s="1561">
        <f t="shared" si="20"/>
        <v>0</v>
      </c>
      <c r="AC135" s="1561">
        <f t="shared" si="21"/>
        <v>0</v>
      </c>
      <c r="AD135" s="1561">
        <f t="shared" si="22"/>
        <v>0</v>
      </c>
      <c r="AE135" s="1585">
        <f t="shared" si="23"/>
        <v>0</v>
      </c>
      <c r="AF135" s="1596"/>
      <c r="AG135" s="1588"/>
      <c r="AH135" s="1588"/>
      <c r="AI135" s="1588"/>
      <c r="AJ135" s="1588"/>
      <c r="AK135" s="1589"/>
      <c r="AL135" s="1590"/>
      <c r="AM135" s="1590"/>
      <c r="AN135" s="1590"/>
      <c r="AO135" s="1597"/>
      <c r="AP135" s="1586">
        <f t="shared" si="24"/>
        <v>0</v>
      </c>
      <c r="AQ135" s="1581"/>
      <c r="AR135" s="1582"/>
      <c r="AS135" s="1638">
        <f t="shared" si="25"/>
        <v>0</v>
      </c>
      <c r="AT135" s="1641"/>
      <c r="AU135" s="1642"/>
      <c r="AV135" s="935"/>
      <c r="AW135" s="935"/>
      <c r="AX135" s="935"/>
      <c r="AY135" s="722"/>
      <c r="AZ135" s="722"/>
      <c r="BA135" s="722"/>
      <c r="BB135" s="722"/>
      <c r="BC135" s="722"/>
      <c r="BD135" s="722"/>
      <c r="BE135" s="706"/>
      <c r="BF135" s="706"/>
      <c r="BG135" s="694"/>
    </row>
    <row r="136" spans="1:64" ht="15.75" x14ac:dyDescent="0.25">
      <c r="A136" s="1883"/>
      <c r="B136" s="1748"/>
      <c r="C136" s="1884"/>
      <c r="D136" s="1884"/>
      <c r="E136" s="1726">
        <f t="shared" si="18"/>
        <v>0</v>
      </c>
      <c r="F136" s="1722"/>
      <c r="G136" s="1742"/>
      <c r="H136" s="1725"/>
      <c r="I136" s="1743"/>
      <c r="J136" s="1743"/>
      <c r="K136" s="1744"/>
      <c r="L136" s="1734">
        <f t="shared" si="26"/>
        <v>0</v>
      </c>
      <c r="M136" s="1735">
        <f t="shared" si="27"/>
        <v>0</v>
      </c>
      <c r="N136" s="1730"/>
      <c r="O136" s="1730"/>
      <c r="P136" s="1730"/>
      <c r="Q136" s="1730"/>
      <c r="R136" s="1730"/>
      <c r="S136" s="1730"/>
      <c r="T136" s="1730"/>
      <c r="U136" s="1730"/>
      <c r="V136" s="1730"/>
      <c r="W136" s="1730"/>
      <c r="X136" s="1903">
        <f t="shared" si="17"/>
        <v>0</v>
      </c>
      <c r="Y136" s="1733">
        <f t="shared" si="28"/>
        <v>0</v>
      </c>
      <c r="Z136" s="528"/>
      <c r="AA136" s="1560">
        <f t="shared" si="19"/>
        <v>0</v>
      </c>
      <c r="AB136" s="1561">
        <f t="shared" si="20"/>
        <v>0</v>
      </c>
      <c r="AC136" s="1561">
        <f t="shared" si="21"/>
        <v>0</v>
      </c>
      <c r="AD136" s="1561">
        <f t="shared" si="22"/>
        <v>0</v>
      </c>
      <c r="AE136" s="1585">
        <f t="shared" si="23"/>
        <v>0</v>
      </c>
      <c r="AF136" s="1596"/>
      <c r="AG136" s="1588"/>
      <c r="AH136" s="1588"/>
      <c r="AI136" s="1588"/>
      <c r="AJ136" s="1588"/>
      <c r="AK136" s="1589"/>
      <c r="AL136" s="1590"/>
      <c r="AM136" s="1590"/>
      <c r="AN136" s="1590"/>
      <c r="AO136" s="1597"/>
      <c r="AP136" s="1586">
        <f t="shared" si="24"/>
        <v>0</v>
      </c>
      <c r="AQ136" s="1581"/>
      <c r="AR136" s="1582"/>
      <c r="AS136" s="1638">
        <f t="shared" si="25"/>
        <v>0</v>
      </c>
      <c r="AT136" s="1641"/>
      <c r="AU136" s="1642"/>
      <c r="AV136" s="935"/>
      <c r="AW136" s="935"/>
      <c r="AX136" s="935"/>
      <c r="AY136" s="722"/>
      <c r="AZ136" s="722"/>
      <c r="BA136" s="722"/>
      <c r="BB136" s="722"/>
      <c r="BC136" s="722"/>
      <c r="BD136" s="722"/>
      <c r="BE136" s="706"/>
      <c r="BF136" s="706"/>
      <c r="BG136" s="694"/>
    </row>
    <row r="137" spans="1:64" ht="15.75" x14ac:dyDescent="0.25">
      <c r="A137" s="1883"/>
      <c r="B137" s="1748"/>
      <c r="C137" s="1884"/>
      <c r="D137" s="1884"/>
      <c r="E137" s="1726">
        <f t="shared" si="18"/>
        <v>0</v>
      </c>
      <c r="F137" s="1722"/>
      <c r="G137" s="1742"/>
      <c r="H137" s="1725"/>
      <c r="I137" s="1743"/>
      <c r="J137" s="1743"/>
      <c r="K137" s="1744"/>
      <c r="L137" s="1734">
        <f t="shared" si="26"/>
        <v>0</v>
      </c>
      <c r="M137" s="1735">
        <f t="shared" si="27"/>
        <v>0</v>
      </c>
      <c r="N137" s="1730"/>
      <c r="O137" s="1730"/>
      <c r="P137" s="1730"/>
      <c r="Q137" s="1730"/>
      <c r="R137" s="1730"/>
      <c r="S137" s="1730"/>
      <c r="T137" s="1730"/>
      <c r="U137" s="1730"/>
      <c r="V137" s="1730"/>
      <c r="W137" s="1730"/>
      <c r="X137" s="1903">
        <f t="shared" si="17"/>
        <v>0</v>
      </c>
      <c r="Y137" s="1733">
        <f t="shared" si="28"/>
        <v>0</v>
      </c>
      <c r="Z137" s="528"/>
      <c r="AA137" s="1650">
        <f t="shared" si="19"/>
        <v>0</v>
      </c>
      <c r="AB137" s="1651">
        <f t="shared" si="20"/>
        <v>0</v>
      </c>
      <c r="AC137" s="1651">
        <f t="shared" si="21"/>
        <v>0</v>
      </c>
      <c r="AD137" s="1651">
        <f t="shared" si="22"/>
        <v>0</v>
      </c>
      <c r="AE137" s="1652">
        <f t="shared" si="23"/>
        <v>0</v>
      </c>
      <c r="AF137" s="1596"/>
      <c r="AG137" s="1588"/>
      <c r="AH137" s="1588"/>
      <c r="AI137" s="1588"/>
      <c r="AJ137" s="1588"/>
      <c r="AK137" s="1589"/>
      <c r="AL137" s="1590"/>
      <c r="AM137" s="1590"/>
      <c r="AN137" s="1590"/>
      <c r="AO137" s="1597"/>
      <c r="AP137" s="1653">
        <f t="shared" si="24"/>
        <v>0</v>
      </c>
      <c r="AQ137" s="1581"/>
      <c r="AR137" s="1582"/>
      <c r="AS137" s="1646">
        <f t="shared" si="25"/>
        <v>0</v>
      </c>
      <c r="AT137" s="1641"/>
      <c r="AU137" s="1642"/>
      <c r="AV137" s="935"/>
      <c r="AW137" s="935"/>
      <c r="AX137" s="935"/>
      <c r="AY137" s="722"/>
      <c r="AZ137" s="722"/>
      <c r="BA137" s="722"/>
      <c r="BB137" s="722"/>
      <c r="BC137" s="722"/>
      <c r="BD137" s="722"/>
      <c r="BE137" s="706"/>
      <c r="BF137" s="706"/>
      <c r="BG137" s="694"/>
    </row>
    <row r="138" spans="1:64" ht="15.75" x14ac:dyDescent="0.25">
      <c r="A138" s="790" t="s">
        <v>587</v>
      </c>
      <c r="B138" s="1548"/>
      <c r="C138" s="150"/>
      <c r="D138" s="150"/>
      <c r="E138" s="150"/>
      <c r="F138" s="792" t="s">
        <v>586</v>
      </c>
      <c r="G138" s="1549"/>
      <c r="H138" s="1550"/>
      <c r="I138" s="1551"/>
      <c r="J138" s="1551"/>
      <c r="K138" s="1552"/>
      <c r="L138" s="1541"/>
      <c r="M138" s="797"/>
      <c r="N138" s="796"/>
      <c r="O138" s="796"/>
      <c r="P138" s="796"/>
      <c r="Q138" s="796"/>
      <c r="R138" s="796"/>
      <c r="S138" s="796"/>
      <c r="T138" s="796"/>
      <c r="U138" s="796"/>
      <c r="V138" s="796"/>
      <c r="W138" s="796"/>
      <c r="X138" s="1553"/>
      <c r="Y138" s="1554"/>
      <c r="Z138" s="528"/>
      <c r="AA138" s="1656"/>
      <c r="AB138" s="1657"/>
      <c r="AC138" s="1657"/>
      <c r="AD138" s="1657"/>
      <c r="AE138" s="1657"/>
      <c r="AF138" s="1658"/>
      <c r="AG138" s="1659"/>
      <c r="AH138" s="1659"/>
      <c r="AI138" s="1659"/>
      <c r="AJ138" s="1659"/>
      <c r="AK138" s="1660"/>
      <c r="AL138" s="1661"/>
      <c r="AM138" s="1661"/>
      <c r="AN138" s="1661"/>
      <c r="AO138" s="1661"/>
      <c r="AP138" s="1586"/>
      <c r="AQ138" s="1614"/>
      <c r="AR138" s="1662"/>
      <c r="AS138" s="1638"/>
      <c r="AT138" s="1648"/>
      <c r="AU138" s="1649"/>
      <c r="AV138" s="935"/>
      <c r="AW138" s="935"/>
      <c r="AX138" s="935"/>
      <c r="AY138" s="722"/>
      <c r="AZ138" s="722"/>
      <c r="BA138" s="722"/>
      <c r="BB138" s="722"/>
      <c r="BC138" s="722"/>
      <c r="BD138" s="722"/>
      <c r="BE138" s="706"/>
      <c r="BF138" s="706"/>
      <c r="BG138" s="694"/>
    </row>
    <row r="139" spans="1:64" ht="15.75" x14ac:dyDescent="0.25">
      <c r="A139" s="1883"/>
      <c r="B139" s="1748"/>
      <c r="C139" s="1884"/>
      <c r="D139" s="1884"/>
      <c r="E139" s="1726">
        <f t="shared" si="18"/>
        <v>0</v>
      </c>
      <c r="F139" s="1722"/>
      <c r="G139" s="1742"/>
      <c r="H139" s="1725"/>
      <c r="I139" s="1743"/>
      <c r="J139" s="1743"/>
      <c r="K139" s="1744"/>
      <c r="L139" s="1734">
        <f t="shared" si="26"/>
        <v>0</v>
      </c>
      <c r="M139" s="1735">
        <f t="shared" si="27"/>
        <v>0</v>
      </c>
      <c r="N139" s="1730"/>
      <c r="O139" s="1730"/>
      <c r="P139" s="1730"/>
      <c r="Q139" s="1730"/>
      <c r="R139" s="1730"/>
      <c r="S139" s="1730"/>
      <c r="T139" s="1730"/>
      <c r="U139" s="1730"/>
      <c r="V139" s="1730"/>
      <c r="W139" s="1730"/>
      <c r="X139" s="1903">
        <f t="shared" si="17"/>
        <v>0</v>
      </c>
      <c r="Y139" s="1733">
        <f t="shared" si="28"/>
        <v>0</v>
      </c>
      <c r="Z139" s="528"/>
      <c r="AA139" s="1698">
        <f t="shared" si="19"/>
        <v>0</v>
      </c>
      <c r="AB139" s="1699">
        <f t="shared" si="20"/>
        <v>0</v>
      </c>
      <c r="AC139" s="1699">
        <f t="shared" si="21"/>
        <v>0</v>
      </c>
      <c r="AD139" s="1699">
        <f t="shared" si="22"/>
        <v>0</v>
      </c>
      <c r="AE139" s="1700">
        <f t="shared" si="23"/>
        <v>0</v>
      </c>
      <c r="AF139" s="1596"/>
      <c r="AG139" s="1588"/>
      <c r="AH139" s="1588"/>
      <c r="AI139" s="1588"/>
      <c r="AJ139" s="1588"/>
      <c r="AK139" s="1589"/>
      <c r="AL139" s="1590"/>
      <c r="AM139" s="1590"/>
      <c r="AN139" s="1590"/>
      <c r="AO139" s="1597"/>
      <c r="AP139" s="1695">
        <f t="shared" si="24"/>
        <v>0</v>
      </c>
      <c r="AQ139" s="1581"/>
      <c r="AR139" s="1582"/>
      <c r="AS139" s="1697">
        <f t="shared" si="25"/>
        <v>0</v>
      </c>
      <c r="AT139" s="1641"/>
      <c r="AU139" s="1642"/>
      <c r="AV139" s="935"/>
      <c r="AW139" s="935"/>
      <c r="AX139" s="935"/>
      <c r="AY139" s="722"/>
      <c r="AZ139" s="722"/>
      <c r="BA139" s="722"/>
      <c r="BB139" s="722"/>
      <c r="BC139" s="722"/>
      <c r="BD139" s="722"/>
      <c r="BE139" s="706"/>
      <c r="BF139" s="706"/>
      <c r="BG139" s="694"/>
    </row>
    <row r="140" spans="1:64" ht="15.75" x14ac:dyDescent="0.25">
      <c r="A140" s="1883"/>
      <c r="B140" s="1748"/>
      <c r="C140" s="1884"/>
      <c r="D140" s="1884"/>
      <c r="E140" s="1726">
        <f t="shared" si="18"/>
        <v>0</v>
      </c>
      <c r="F140" s="1722"/>
      <c r="G140" s="1742"/>
      <c r="H140" s="1725"/>
      <c r="I140" s="1743"/>
      <c r="J140" s="1743"/>
      <c r="K140" s="1744"/>
      <c r="L140" s="1734">
        <f t="shared" si="26"/>
        <v>0</v>
      </c>
      <c r="M140" s="1735">
        <f t="shared" si="27"/>
        <v>0</v>
      </c>
      <c r="N140" s="1730"/>
      <c r="O140" s="1730"/>
      <c r="P140" s="1730"/>
      <c r="Q140" s="1730"/>
      <c r="R140" s="1730"/>
      <c r="S140" s="1730"/>
      <c r="T140" s="1730"/>
      <c r="U140" s="1730"/>
      <c r="V140" s="1730"/>
      <c r="W140" s="1730"/>
      <c r="X140" s="1903">
        <f t="shared" si="17"/>
        <v>0</v>
      </c>
      <c r="Y140" s="1733">
        <f t="shared" si="28"/>
        <v>0</v>
      </c>
      <c r="Z140" s="528"/>
      <c r="AA140" s="1560">
        <f t="shared" si="19"/>
        <v>0</v>
      </c>
      <c r="AB140" s="1561">
        <f t="shared" si="20"/>
        <v>0</v>
      </c>
      <c r="AC140" s="1561">
        <f t="shared" si="21"/>
        <v>0</v>
      </c>
      <c r="AD140" s="1561">
        <f t="shared" si="22"/>
        <v>0</v>
      </c>
      <c r="AE140" s="1585">
        <f t="shared" si="23"/>
        <v>0</v>
      </c>
      <c r="AF140" s="1596"/>
      <c r="AG140" s="1588"/>
      <c r="AH140" s="1588"/>
      <c r="AI140" s="1588"/>
      <c r="AJ140" s="1588"/>
      <c r="AK140" s="1589"/>
      <c r="AL140" s="1590"/>
      <c r="AM140" s="1590"/>
      <c r="AN140" s="1590"/>
      <c r="AO140" s="1597"/>
      <c r="AP140" s="1586">
        <f t="shared" si="24"/>
        <v>0</v>
      </c>
      <c r="AQ140" s="1581"/>
      <c r="AR140" s="1582"/>
      <c r="AS140" s="1638">
        <f t="shared" si="25"/>
        <v>0</v>
      </c>
      <c r="AT140" s="1641"/>
      <c r="AU140" s="1642"/>
      <c r="AV140" s="935"/>
      <c r="AW140" s="935"/>
      <c r="AX140" s="935"/>
      <c r="AY140" s="722"/>
      <c r="AZ140" s="722"/>
      <c r="BA140" s="722"/>
      <c r="BB140" s="722"/>
      <c r="BC140" s="722"/>
      <c r="BD140" s="722"/>
      <c r="BE140" s="706"/>
      <c r="BF140" s="706"/>
      <c r="BG140" s="694"/>
    </row>
    <row r="141" spans="1:64" ht="15.75" x14ac:dyDescent="0.25">
      <c r="A141" s="1883"/>
      <c r="B141" s="1748"/>
      <c r="C141" s="1884"/>
      <c r="D141" s="1884"/>
      <c r="E141" s="1726">
        <f t="shared" si="18"/>
        <v>0</v>
      </c>
      <c r="F141" s="1722"/>
      <c r="G141" s="1742"/>
      <c r="H141" s="1725"/>
      <c r="I141" s="1743"/>
      <c r="J141" s="1743"/>
      <c r="K141" s="1744"/>
      <c r="L141" s="1734">
        <f t="shared" si="26"/>
        <v>0</v>
      </c>
      <c r="M141" s="1735">
        <f t="shared" si="27"/>
        <v>0</v>
      </c>
      <c r="N141" s="1730"/>
      <c r="O141" s="1730"/>
      <c r="P141" s="1730"/>
      <c r="Q141" s="1730"/>
      <c r="R141" s="1730"/>
      <c r="S141" s="1730"/>
      <c r="T141" s="1730"/>
      <c r="U141" s="1730"/>
      <c r="V141" s="1730"/>
      <c r="W141" s="1730"/>
      <c r="X141" s="1903">
        <f t="shared" si="17"/>
        <v>0</v>
      </c>
      <c r="Y141" s="1733">
        <f t="shared" si="28"/>
        <v>0</v>
      </c>
      <c r="Z141" s="528"/>
      <c r="AA141" s="1560">
        <f t="shared" si="19"/>
        <v>0</v>
      </c>
      <c r="AB141" s="1561">
        <f t="shared" si="20"/>
        <v>0</v>
      </c>
      <c r="AC141" s="1561">
        <f t="shared" si="21"/>
        <v>0</v>
      </c>
      <c r="AD141" s="1561">
        <f t="shared" si="22"/>
        <v>0</v>
      </c>
      <c r="AE141" s="1585">
        <f t="shared" si="23"/>
        <v>0</v>
      </c>
      <c r="AF141" s="1596"/>
      <c r="AG141" s="1588"/>
      <c r="AH141" s="1588"/>
      <c r="AI141" s="1588"/>
      <c r="AJ141" s="1588"/>
      <c r="AK141" s="1589"/>
      <c r="AL141" s="1590"/>
      <c r="AM141" s="1590"/>
      <c r="AN141" s="1590"/>
      <c r="AO141" s="1597"/>
      <c r="AP141" s="1586">
        <f t="shared" si="24"/>
        <v>0</v>
      </c>
      <c r="AQ141" s="1581"/>
      <c r="AR141" s="1582"/>
      <c r="AS141" s="1638">
        <f t="shared" si="25"/>
        <v>0</v>
      </c>
      <c r="AT141" s="1641"/>
      <c r="AU141" s="1642"/>
      <c r="AV141" s="935"/>
      <c r="AW141" s="935"/>
      <c r="AX141" s="935"/>
      <c r="AY141" s="722"/>
      <c r="AZ141" s="722"/>
      <c r="BA141" s="722"/>
      <c r="BB141" s="722"/>
      <c r="BC141" s="722"/>
      <c r="BD141" s="722"/>
      <c r="BE141" s="706"/>
      <c r="BF141" s="706"/>
      <c r="BG141" s="694"/>
    </row>
    <row r="142" spans="1:64" ht="15.75" x14ac:dyDescent="0.25">
      <c r="A142" s="1883"/>
      <c r="B142" s="1748"/>
      <c r="C142" s="1884"/>
      <c r="D142" s="1884"/>
      <c r="E142" s="1726">
        <f t="shared" si="18"/>
        <v>0</v>
      </c>
      <c r="F142" s="1722"/>
      <c r="G142" s="1742"/>
      <c r="H142" s="1725"/>
      <c r="I142" s="1743"/>
      <c r="J142" s="1743"/>
      <c r="K142" s="1744"/>
      <c r="L142" s="1734">
        <f t="shared" si="26"/>
        <v>0</v>
      </c>
      <c r="M142" s="1735">
        <f t="shared" si="27"/>
        <v>0</v>
      </c>
      <c r="N142" s="1730"/>
      <c r="O142" s="1730"/>
      <c r="P142" s="1730"/>
      <c r="Q142" s="1730"/>
      <c r="R142" s="1730"/>
      <c r="S142" s="1730"/>
      <c r="T142" s="1730"/>
      <c r="U142" s="1730"/>
      <c r="V142" s="1730"/>
      <c r="W142" s="1730"/>
      <c r="X142" s="1903">
        <f t="shared" si="17"/>
        <v>0</v>
      </c>
      <c r="Y142" s="1733">
        <f t="shared" si="28"/>
        <v>0</v>
      </c>
      <c r="Z142" s="528"/>
      <c r="AA142" s="1560">
        <f t="shared" si="19"/>
        <v>0</v>
      </c>
      <c r="AB142" s="1561">
        <f t="shared" si="20"/>
        <v>0</v>
      </c>
      <c r="AC142" s="1561">
        <f t="shared" si="21"/>
        <v>0</v>
      </c>
      <c r="AD142" s="1561">
        <f t="shared" si="22"/>
        <v>0</v>
      </c>
      <c r="AE142" s="1585">
        <f t="shared" si="23"/>
        <v>0</v>
      </c>
      <c r="AF142" s="1596"/>
      <c r="AG142" s="1588"/>
      <c r="AH142" s="1588"/>
      <c r="AI142" s="1588"/>
      <c r="AJ142" s="1588"/>
      <c r="AK142" s="1589"/>
      <c r="AL142" s="1590"/>
      <c r="AM142" s="1590"/>
      <c r="AN142" s="1590"/>
      <c r="AO142" s="1597"/>
      <c r="AP142" s="1586">
        <f t="shared" si="24"/>
        <v>0</v>
      </c>
      <c r="AQ142" s="1581"/>
      <c r="AR142" s="1582"/>
      <c r="AS142" s="1638">
        <f t="shared" si="25"/>
        <v>0</v>
      </c>
      <c r="AT142" s="1641"/>
      <c r="AU142" s="1642"/>
      <c r="AV142" s="935"/>
      <c r="AW142" s="935"/>
      <c r="AX142" s="935"/>
      <c r="AY142" s="722"/>
      <c r="AZ142" s="722"/>
      <c r="BA142" s="722"/>
      <c r="BB142" s="722"/>
      <c r="BC142" s="722"/>
      <c r="BD142" s="722"/>
      <c r="BE142" s="706"/>
      <c r="BF142" s="706"/>
      <c r="BG142" s="694"/>
    </row>
    <row r="143" spans="1:64" ht="15.75" x14ac:dyDescent="0.25">
      <c r="A143" s="1883"/>
      <c r="B143" s="1748"/>
      <c r="C143" s="1884"/>
      <c r="D143" s="1884"/>
      <c r="E143" s="1726">
        <f t="shared" si="18"/>
        <v>0</v>
      </c>
      <c r="F143" s="1722"/>
      <c r="G143" s="1742"/>
      <c r="H143" s="1725"/>
      <c r="I143" s="1743"/>
      <c r="J143" s="1743"/>
      <c r="K143" s="1744"/>
      <c r="L143" s="1734">
        <f t="shared" si="26"/>
        <v>0</v>
      </c>
      <c r="M143" s="1735">
        <f t="shared" si="27"/>
        <v>0</v>
      </c>
      <c r="N143" s="1730"/>
      <c r="O143" s="1730"/>
      <c r="P143" s="1730"/>
      <c r="Q143" s="1730"/>
      <c r="R143" s="1730"/>
      <c r="S143" s="1730"/>
      <c r="T143" s="1730"/>
      <c r="U143" s="1730"/>
      <c r="V143" s="1730"/>
      <c r="W143" s="1730"/>
      <c r="X143" s="1903">
        <f t="shared" si="17"/>
        <v>0</v>
      </c>
      <c r="Y143" s="1733">
        <f t="shared" si="28"/>
        <v>0</v>
      </c>
      <c r="Z143" s="528"/>
      <c r="AA143" s="1560">
        <f t="shared" si="19"/>
        <v>0</v>
      </c>
      <c r="AB143" s="1561">
        <f t="shared" si="20"/>
        <v>0</v>
      </c>
      <c r="AC143" s="1561">
        <f t="shared" si="21"/>
        <v>0</v>
      </c>
      <c r="AD143" s="1561">
        <f t="shared" si="22"/>
        <v>0</v>
      </c>
      <c r="AE143" s="1585">
        <f t="shared" si="23"/>
        <v>0</v>
      </c>
      <c r="AF143" s="1596"/>
      <c r="AG143" s="1588"/>
      <c r="AH143" s="1588"/>
      <c r="AI143" s="1588"/>
      <c r="AJ143" s="1588"/>
      <c r="AK143" s="1589"/>
      <c r="AL143" s="1590"/>
      <c r="AM143" s="1590"/>
      <c r="AN143" s="1590"/>
      <c r="AO143" s="1597"/>
      <c r="AP143" s="1586">
        <f t="shared" si="24"/>
        <v>0</v>
      </c>
      <c r="AQ143" s="1581"/>
      <c r="AR143" s="1582"/>
      <c r="AS143" s="1638">
        <f t="shared" si="25"/>
        <v>0</v>
      </c>
      <c r="AT143" s="1641"/>
      <c r="AU143" s="1642"/>
      <c r="AV143" s="935"/>
      <c r="AW143" s="935"/>
      <c r="AX143" s="935"/>
      <c r="AY143" s="722"/>
      <c r="AZ143" s="722"/>
      <c r="BA143" s="722"/>
      <c r="BB143" s="722"/>
      <c r="BC143" s="722"/>
      <c r="BD143" s="722"/>
      <c r="BE143" s="706"/>
      <c r="BF143" s="706"/>
      <c r="BG143" s="694"/>
      <c r="BL143" s="609"/>
    </row>
    <row r="144" spans="1:64" ht="15.75" x14ac:dyDescent="0.25">
      <c r="A144" s="1883"/>
      <c r="B144" s="1748"/>
      <c r="C144" s="1884"/>
      <c r="D144" s="1884"/>
      <c r="E144" s="1726">
        <f t="shared" si="18"/>
        <v>0</v>
      </c>
      <c r="F144" s="1722"/>
      <c r="G144" s="1742"/>
      <c r="H144" s="1725"/>
      <c r="I144" s="1743"/>
      <c r="J144" s="1743"/>
      <c r="K144" s="1744"/>
      <c r="L144" s="1734">
        <f t="shared" si="26"/>
        <v>0</v>
      </c>
      <c r="M144" s="1735">
        <f t="shared" si="27"/>
        <v>0</v>
      </c>
      <c r="N144" s="1730"/>
      <c r="O144" s="1730"/>
      <c r="P144" s="1730"/>
      <c r="Q144" s="1730"/>
      <c r="R144" s="1730"/>
      <c r="S144" s="1730"/>
      <c r="T144" s="1730"/>
      <c r="U144" s="1730"/>
      <c r="V144" s="1730"/>
      <c r="W144" s="1730"/>
      <c r="X144" s="1903">
        <f t="shared" si="17"/>
        <v>0</v>
      </c>
      <c r="Y144" s="1733">
        <f t="shared" si="28"/>
        <v>0</v>
      </c>
      <c r="Z144" s="528"/>
      <c r="AA144" s="1560">
        <f t="shared" si="19"/>
        <v>0</v>
      </c>
      <c r="AB144" s="1561">
        <f t="shared" si="20"/>
        <v>0</v>
      </c>
      <c r="AC144" s="1561">
        <f t="shared" si="21"/>
        <v>0</v>
      </c>
      <c r="AD144" s="1561">
        <f t="shared" si="22"/>
        <v>0</v>
      </c>
      <c r="AE144" s="1585">
        <f t="shared" si="23"/>
        <v>0</v>
      </c>
      <c r="AF144" s="1596"/>
      <c r="AG144" s="1588"/>
      <c r="AH144" s="1588"/>
      <c r="AI144" s="1588"/>
      <c r="AJ144" s="1588"/>
      <c r="AK144" s="1589"/>
      <c r="AL144" s="1590"/>
      <c r="AM144" s="1590"/>
      <c r="AN144" s="1590"/>
      <c r="AO144" s="1597"/>
      <c r="AP144" s="1586">
        <f t="shared" si="24"/>
        <v>0</v>
      </c>
      <c r="AQ144" s="1581"/>
      <c r="AR144" s="1582"/>
      <c r="AS144" s="1638">
        <f t="shared" si="25"/>
        <v>0</v>
      </c>
      <c r="AT144" s="1641"/>
      <c r="AU144" s="1642"/>
      <c r="AV144" s="935"/>
      <c r="AW144" s="935"/>
      <c r="AX144" s="935"/>
      <c r="AY144" s="722"/>
      <c r="AZ144" s="722"/>
      <c r="BA144" s="722"/>
      <c r="BB144" s="722"/>
      <c r="BC144" s="722"/>
      <c r="BD144" s="722"/>
      <c r="BE144" s="706"/>
      <c r="BF144" s="706"/>
      <c r="BG144" s="694"/>
      <c r="BL144" s="609"/>
    </row>
    <row r="145" spans="1:64" ht="15.75" x14ac:dyDescent="0.25">
      <c r="A145" s="1883"/>
      <c r="B145" s="1748"/>
      <c r="C145" s="1884"/>
      <c r="D145" s="1884"/>
      <c r="E145" s="1726">
        <f t="shared" si="18"/>
        <v>0</v>
      </c>
      <c r="F145" s="1722"/>
      <c r="G145" s="1742"/>
      <c r="H145" s="1725"/>
      <c r="I145" s="1743"/>
      <c r="J145" s="1743"/>
      <c r="K145" s="1744"/>
      <c r="L145" s="1734">
        <f t="shared" si="26"/>
        <v>0</v>
      </c>
      <c r="M145" s="1735">
        <f>IFERROR(L145*H145,"")</f>
        <v>0</v>
      </c>
      <c r="N145" s="1730"/>
      <c r="O145" s="1730"/>
      <c r="P145" s="1730"/>
      <c r="Q145" s="1730"/>
      <c r="R145" s="1730"/>
      <c r="S145" s="1730"/>
      <c r="T145" s="1730"/>
      <c r="U145" s="1730"/>
      <c r="V145" s="1730"/>
      <c r="W145" s="1730"/>
      <c r="X145" s="1903">
        <f t="shared" si="17"/>
        <v>0</v>
      </c>
      <c r="Y145" s="1733">
        <f t="shared" si="28"/>
        <v>0</v>
      </c>
      <c r="Z145" s="528"/>
      <c r="AA145" s="1560">
        <f t="shared" si="19"/>
        <v>0</v>
      </c>
      <c r="AB145" s="1561">
        <f t="shared" si="20"/>
        <v>0</v>
      </c>
      <c r="AC145" s="1561">
        <f t="shared" si="21"/>
        <v>0</v>
      </c>
      <c r="AD145" s="1561">
        <f t="shared" si="22"/>
        <v>0</v>
      </c>
      <c r="AE145" s="1585">
        <f t="shared" si="23"/>
        <v>0</v>
      </c>
      <c r="AF145" s="1598"/>
      <c r="AG145" s="1599"/>
      <c r="AH145" s="1599"/>
      <c r="AI145" s="1599"/>
      <c r="AJ145" s="1599"/>
      <c r="AK145" s="1600"/>
      <c r="AL145" s="1601"/>
      <c r="AM145" s="1601"/>
      <c r="AN145" s="1601"/>
      <c r="AO145" s="1602"/>
      <c r="AP145" s="1586">
        <f t="shared" si="24"/>
        <v>0</v>
      </c>
      <c r="AQ145" s="1583"/>
      <c r="AR145" s="1584"/>
      <c r="AS145" s="1638">
        <f t="shared" si="25"/>
        <v>0</v>
      </c>
      <c r="AT145" s="1643"/>
      <c r="AU145" s="1644"/>
      <c r="AV145" s="935"/>
      <c r="AW145" s="935"/>
      <c r="AX145" s="935"/>
      <c r="AY145" s="722"/>
      <c r="AZ145" s="722"/>
      <c r="BA145" s="722"/>
      <c r="BB145" s="722"/>
      <c r="BC145" s="722"/>
      <c r="BD145" s="722"/>
      <c r="BE145" s="706"/>
      <c r="BF145" s="706"/>
      <c r="BG145" s="694"/>
    </row>
    <row r="146" spans="1:64" ht="15.75" x14ac:dyDescent="0.25">
      <c r="A146" s="635" t="s">
        <v>285</v>
      </c>
      <c r="B146" s="1879"/>
      <c r="C146" s="669"/>
      <c r="D146" s="1887"/>
      <c r="E146" s="671">
        <f t="shared" si="18"/>
        <v>0</v>
      </c>
      <c r="F146" s="635" t="s">
        <v>285</v>
      </c>
      <c r="G146" s="1877"/>
      <c r="H146" s="1748"/>
      <c r="I146" s="2405"/>
      <c r="J146" s="2406"/>
      <c r="K146" s="2406"/>
      <c r="L146" s="2406"/>
      <c r="M146" s="2406"/>
      <c r="N146" s="2406"/>
      <c r="O146" s="2406"/>
      <c r="P146" s="2406"/>
      <c r="Q146" s="2406"/>
      <c r="R146" s="2406"/>
      <c r="S146" s="2406"/>
      <c r="T146" s="2406"/>
      <c r="U146" s="2406"/>
      <c r="V146" s="2406"/>
      <c r="W146" s="2407"/>
      <c r="X146" s="1749"/>
      <c r="Y146" s="1909">
        <f>IFERROR(X146/H146,0)</f>
        <v>0</v>
      </c>
      <c r="Z146" s="535"/>
      <c r="AA146" s="707"/>
      <c r="AB146" s="707"/>
      <c r="AC146" s="707"/>
      <c r="AD146" s="707"/>
      <c r="AE146" s="707"/>
      <c r="AF146" s="707"/>
      <c r="AG146" s="707"/>
      <c r="AH146" s="707"/>
      <c r="AI146" s="707"/>
      <c r="AJ146" s="707"/>
      <c r="AK146" s="707"/>
      <c r="AL146" s="707"/>
      <c r="AM146" s="707"/>
      <c r="AN146" s="707"/>
      <c r="AO146" s="707"/>
      <c r="AP146" s="1425"/>
      <c r="AQ146" s="1425"/>
      <c r="AR146" s="1425"/>
      <c r="AS146" s="939"/>
      <c r="AT146" s="941"/>
      <c r="AU146" s="970"/>
      <c r="AV146" s="935"/>
      <c r="AW146" s="935"/>
      <c r="AX146" s="935"/>
      <c r="AY146" s="723"/>
      <c r="AZ146" s="723"/>
      <c r="BA146" s="723"/>
      <c r="BB146" s="723"/>
      <c r="BC146" s="723"/>
      <c r="BD146" s="723"/>
      <c r="BE146" s="707"/>
      <c r="BF146" s="707"/>
      <c r="BG146" s="695"/>
      <c r="BL146" s="609"/>
    </row>
    <row r="147" spans="1:64" ht="15.75" x14ac:dyDescent="0.25">
      <c r="A147" s="635" t="s">
        <v>285</v>
      </c>
      <c r="B147" s="1879"/>
      <c r="C147" s="670"/>
      <c r="D147" s="1887"/>
      <c r="E147" s="671">
        <f t="shared" si="18"/>
        <v>0</v>
      </c>
      <c r="F147" s="635" t="s">
        <v>285</v>
      </c>
      <c r="G147" s="1877"/>
      <c r="H147" s="1748"/>
      <c r="I147" s="2408"/>
      <c r="J147" s="2409"/>
      <c r="K147" s="2409"/>
      <c r="L147" s="2409"/>
      <c r="M147" s="2409"/>
      <c r="N147" s="2409"/>
      <c r="O147" s="2409"/>
      <c r="P147" s="2409"/>
      <c r="Q147" s="2409"/>
      <c r="R147" s="2409"/>
      <c r="S147" s="2409"/>
      <c r="T147" s="2409"/>
      <c r="U147" s="2409"/>
      <c r="V147" s="2409"/>
      <c r="W147" s="2410"/>
      <c r="X147" s="1749"/>
      <c r="Y147" s="1909">
        <f>IF(H147&gt;0,X147/H147,0)</f>
        <v>0</v>
      </c>
      <c r="Z147" s="535"/>
      <c r="AA147" s="707"/>
      <c r="AB147" s="707"/>
      <c r="AC147" s="707"/>
      <c r="AD147" s="707"/>
      <c r="AE147" s="707"/>
      <c r="AF147" s="707"/>
      <c r="AG147" s="707"/>
      <c r="AH147" s="707"/>
      <c r="AI147" s="707"/>
      <c r="AJ147" s="707"/>
      <c r="AK147" s="707"/>
      <c r="AL147" s="707"/>
      <c r="AM147" s="707"/>
      <c r="AN147" s="707"/>
      <c r="AO147" s="707"/>
      <c r="AP147" s="1425"/>
      <c r="AQ147" s="1425"/>
      <c r="AR147" s="1425"/>
      <c r="AS147" s="939"/>
      <c r="AT147" s="941"/>
      <c r="AU147" s="970"/>
      <c r="AV147" s="935"/>
      <c r="AW147" s="935"/>
      <c r="AX147" s="935"/>
      <c r="AY147" s="723"/>
      <c r="AZ147" s="723"/>
      <c r="BA147" s="723"/>
      <c r="BB147" s="723"/>
      <c r="BC147" s="723"/>
      <c r="BD147" s="723"/>
      <c r="BE147" s="707"/>
      <c r="BF147" s="707"/>
      <c r="BG147" s="695"/>
      <c r="BL147" s="609"/>
    </row>
    <row r="148" spans="1:64" ht="15.75" x14ac:dyDescent="0.25">
      <c r="A148" s="635" t="s">
        <v>285</v>
      </c>
      <c r="B148" s="1879"/>
      <c r="C148" s="670"/>
      <c r="D148" s="1887"/>
      <c r="E148" s="671">
        <f t="shared" si="18"/>
        <v>0</v>
      </c>
      <c r="F148" s="635" t="s">
        <v>285</v>
      </c>
      <c r="G148" s="1877"/>
      <c r="H148" s="1748"/>
      <c r="I148" s="2408"/>
      <c r="J148" s="2409"/>
      <c r="K148" s="2409"/>
      <c r="L148" s="2409"/>
      <c r="M148" s="2409"/>
      <c r="N148" s="2409"/>
      <c r="O148" s="2409"/>
      <c r="P148" s="2409"/>
      <c r="Q148" s="2409"/>
      <c r="R148" s="2409"/>
      <c r="S148" s="2409"/>
      <c r="T148" s="2409"/>
      <c r="U148" s="2409"/>
      <c r="V148" s="2409"/>
      <c r="W148" s="2410"/>
      <c r="X148" s="1749"/>
      <c r="Y148" s="1909">
        <f>IF(H148&gt;0,X148/H148,0)</f>
        <v>0</v>
      </c>
      <c r="Z148" s="535"/>
      <c r="AA148" s="707"/>
      <c r="AB148" s="707"/>
      <c r="AC148" s="707"/>
      <c r="AD148" s="707"/>
      <c r="AE148" s="707"/>
      <c r="AF148" s="707"/>
      <c r="AG148" s="707"/>
      <c r="AH148" s="707"/>
      <c r="AI148" s="707"/>
      <c r="AJ148" s="707"/>
      <c r="AK148" s="707"/>
      <c r="AL148" s="707"/>
      <c r="AM148" s="707"/>
      <c r="AN148" s="707"/>
      <c r="AO148" s="707"/>
      <c r="AP148" s="1425"/>
      <c r="AQ148" s="1425"/>
      <c r="AR148" s="1425"/>
      <c r="AS148" s="939"/>
      <c r="AT148" s="941"/>
      <c r="AU148" s="970"/>
      <c r="AV148" s="935"/>
      <c r="AW148" s="935"/>
      <c r="AX148" s="935"/>
      <c r="AY148" s="723"/>
      <c r="AZ148" s="723"/>
      <c r="BA148" s="723"/>
      <c r="BB148" s="723"/>
      <c r="BC148" s="723"/>
      <c r="BD148" s="723"/>
      <c r="BE148" s="707"/>
      <c r="BF148" s="707"/>
      <c r="BG148" s="695"/>
      <c r="BL148" s="609"/>
    </row>
    <row r="149" spans="1:64" ht="15.75" x14ac:dyDescent="0.25">
      <c r="A149" s="635" t="s">
        <v>285</v>
      </c>
      <c r="B149" s="1879"/>
      <c r="C149" s="670"/>
      <c r="D149" s="1887"/>
      <c r="E149" s="671">
        <f t="shared" si="18"/>
        <v>0</v>
      </c>
      <c r="F149" s="635" t="s">
        <v>285</v>
      </c>
      <c r="G149" s="1877"/>
      <c r="H149" s="1748"/>
      <c r="I149" s="2408"/>
      <c r="J149" s="2409"/>
      <c r="K149" s="2409"/>
      <c r="L149" s="2409"/>
      <c r="M149" s="2409"/>
      <c r="N149" s="2409"/>
      <c r="O149" s="2409"/>
      <c r="P149" s="2409"/>
      <c r="Q149" s="2409"/>
      <c r="R149" s="2409"/>
      <c r="S149" s="2409"/>
      <c r="T149" s="2409"/>
      <c r="U149" s="2409"/>
      <c r="V149" s="2409"/>
      <c r="W149" s="2410"/>
      <c r="X149" s="1749"/>
      <c r="Y149" s="1909">
        <f>IF(H149&gt;0,X149/H149,0)</f>
        <v>0</v>
      </c>
      <c r="Z149" s="535"/>
      <c r="AA149" s="707"/>
      <c r="AB149" s="707"/>
      <c r="AC149" s="707"/>
      <c r="AD149" s="707"/>
      <c r="AE149" s="707"/>
      <c r="AF149" s="707"/>
      <c r="AG149" s="707"/>
      <c r="AH149" s="707"/>
      <c r="AI149" s="707"/>
      <c r="AJ149" s="707"/>
      <c r="AK149" s="707"/>
      <c r="AL149" s="707"/>
      <c r="AM149" s="707"/>
      <c r="AN149" s="707"/>
      <c r="AO149" s="707"/>
      <c r="AP149" s="1425"/>
      <c r="AQ149" s="1425"/>
      <c r="AR149" s="1425"/>
      <c r="AS149" s="939"/>
      <c r="AT149" s="941"/>
      <c r="AU149" s="970"/>
      <c r="AV149" s="935"/>
      <c r="AW149" s="935"/>
      <c r="AX149" s="935"/>
      <c r="AY149" s="723"/>
      <c r="AZ149" s="723"/>
      <c r="BA149" s="723"/>
      <c r="BB149" s="723"/>
      <c r="BC149" s="723"/>
      <c r="BD149" s="723"/>
      <c r="BE149" s="707"/>
      <c r="BF149" s="707"/>
      <c r="BG149" s="695"/>
    </row>
    <row r="150" spans="1:64" ht="16.5" thickBot="1" x14ac:dyDescent="0.3">
      <c r="A150" s="673" t="s">
        <v>285</v>
      </c>
      <c r="B150" s="1879"/>
      <c r="C150" s="670"/>
      <c r="D150" s="1888"/>
      <c r="E150" s="674">
        <f t="shared" si="18"/>
        <v>0</v>
      </c>
      <c r="F150" s="635" t="s">
        <v>285</v>
      </c>
      <c r="G150" s="1877"/>
      <c r="H150" s="1748"/>
      <c r="I150" s="2411"/>
      <c r="J150" s="2412"/>
      <c r="K150" s="2412"/>
      <c r="L150" s="2412"/>
      <c r="M150" s="2412"/>
      <c r="N150" s="2412"/>
      <c r="O150" s="2412"/>
      <c r="P150" s="2412"/>
      <c r="Q150" s="2412"/>
      <c r="R150" s="2412"/>
      <c r="S150" s="2412"/>
      <c r="T150" s="2412"/>
      <c r="U150" s="2412"/>
      <c r="V150" s="2412"/>
      <c r="W150" s="2413"/>
      <c r="X150" s="1749"/>
      <c r="Y150" s="1909">
        <f>IF(H150&gt;0,X150/H150,0)</f>
        <v>0</v>
      </c>
      <c r="Z150" s="535"/>
      <c r="AA150" s="707"/>
      <c r="AB150" s="707"/>
      <c r="AC150" s="707"/>
      <c r="AD150" s="707"/>
      <c r="AE150" s="707"/>
      <c r="AF150" s="707"/>
      <c r="AG150" s="707"/>
      <c r="AH150" s="707"/>
      <c r="AI150" s="707"/>
      <c r="AJ150" s="707"/>
      <c r="AK150" s="707"/>
      <c r="AL150" s="707"/>
      <c r="AM150" s="707"/>
      <c r="AN150" s="707"/>
      <c r="AO150" s="707"/>
      <c r="AP150" s="1425"/>
      <c r="AQ150" s="1425"/>
      <c r="AR150" s="1425"/>
      <c r="AS150" s="939"/>
      <c r="AT150" s="941"/>
      <c r="AU150" s="970"/>
      <c r="AV150" s="935"/>
      <c r="AW150" s="935"/>
      <c r="AX150" s="935"/>
      <c r="AY150" s="723"/>
      <c r="AZ150" s="723"/>
      <c r="BA150" s="723"/>
      <c r="BB150" s="723"/>
      <c r="BC150" s="723"/>
      <c r="BD150" s="723"/>
      <c r="BE150" s="707"/>
      <c r="BF150" s="707"/>
      <c r="BG150" s="695"/>
    </row>
    <row r="151" spans="1:64" ht="42" customHeight="1" thickBot="1" x14ac:dyDescent="0.3">
      <c r="A151" s="789" t="s">
        <v>464</v>
      </c>
      <c r="B151" s="1398">
        <f>SUM(B51:B150)</f>
        <v>0</v>
      </c>
      <c r="C151" s="672">
        <f>IFERROR(SUM(C51:C145)/(B151-SUM(B146:B150)),0)</f>
        <v>0</v>
      </c>
      <c r="D151" s="676">
        <f>SUM(D51:D150)</f>
        <v>0</v>
      </c>
      <c r="E151" s="675">
        <f>IFERROR(D151/B151,0)</f>
        <v>0</v>
      </c>
      <c r="F151" s="2470" t="s">
        <v>464</v>
      </c>
      <c r="G151" s="2471"/>
      <c r="H151" s="1399">
        <f>SUM(H51:H150)</f>
        <v>0</v>
      </c>
      <c r="I151" s="371"/>
      <c r="J151" s="371"/>
      <c r="K151" s="371"/>
      <c r="L151" s="371"/>
      <c r="M151" s="544">
        <f>IFERROR(SUM(M51:M145)/($H$151-SUM($H$146:$H$150)),0)</f>
        <v>0</v>
      </c>
      <c r="N151" s="426">
        <f>IFERROR(SUM(N51:N145)/($H$151-SUM($H$146:$H$150)),0)</f>
        <v>0</v>
      </c>
      <c r="O151" s="426">
        <f>IFERROR(SUM(O51:O145)/($H$151-SUM($H$146:$H$150)),0)</f>
        <v>0</v>
      </c>
      <c r="P151" s="426">
        <f t="shared" ref="P151:W151" si="29">IFERROR(SUM(P51:P145)/($H$151-SUM($H$146:$H$150)),0)</f>
        <v>0</v>
      </c>
      <c r="Q151" s="426">
        <f t="shared" si="29"/>
        <v>0</v>
      </c>
      <c r="R151" s="426">
        <f t="shared" si="29"/>
        <v>0</v>
      </c>
      <c r="S151" s="426">
        <f t="shared" si="29"/>
        <v>0</v>
      </c>
      <c r="T151" s="426">
        <f t="shared" si="29"/>
        <v>0</v>
      </c>
      <c r="U151" s="426">
        <f t="shared" si="29"/>
        <v>0</v>
      </c>
      <c r="V151" s="428">
        <f t="shared" si="29"/>
        <v>0</v>
      </c>
      <c r="W151" s="426">
        <f t="shared" si="29"/>
        <v>0</v>
      </c>
      <c r="X151" s="1904">
        <f>SUM(X51:X145)+IF(H146&gt;0,X146,0)+IF(H147&gt;0,X147,0)+IF(H148&gt;0,X148,0)+IF(H149&gt;0,X149,0)+IF(H150&gt;0,X150,0)</f>
        <v>0</v>
      </c>
      <c r="Y151" s="429">
        <f>IFERROR(SUM(X151/H151),0)</f>
        <v>0</v>
      </c>
      <c r="Z151" s="510"/>
      <c r="AA151" s="708"/>
      <c r="AB151" s="708"/>
      <c r="AC151" s="708"/>
      <c r="AD151" s="708"/>
      <c r="AE151" s="708"/>
      <c r="AF151" s="708"/>
      <c r="AG151" s="708"/>
      <c r="AH151" s="708"/>
      <c r="AI151" s="708"/>
      <c r="AJ151" s="708"/>
      <c r="AK151" s="708"/>
      <c r="AL151" s="708"/>
      <c r="AM151" s="708"/>
      <c r="AN151" s="708"/>
      <c r="AO151" s="708"/>
      <c r="AP151" s="1426"/>
      <c r="AQ151" s="1426"/>
      <c r="AR151" s="1426"/>
      <c r="AS151" s="988"/>
      <c r="AT151" s="1007"/>
      <c r="AU151" s="971"/>
      <c r="AV151" s="935"/>
      <c r="AW151" s="935"/>
      <c r="AX151" s="935"/>
      <c r="AY151" s="724"/>
      <c r="AZ151" s="724"/>
      <c r="BA151" s="724"/>
      <c r="BB151" s="724"/>
      <c r="BC151" s="724"/>
      <c r="BD151" s="724"/>
      <c r="BE151" s="708"/>
      <c r="BF151" s="708"/>
      <c r="BG151" s="696"/>
      <c r="BL151" s="610"/>
    </row>
    <row r="152" spans="1:64" ht="14.25" customHeight="1" x14ac:dyDescent="0.25">
      <c r="F152" s="470"/>
      <c r="H152" s="54"/>
      <c r="I152" s="54"/>
      <c r="S152" s="951"/>
      <c r="X152" s="462"/>
      <c r="Y152" s="471"/>
      <c r="Z152" s="536"/>
      <c r="AA152" s="709"/>
      <c r="AB152" s="709"/>
      <c r="AC152" s="709"/>
      <c r="AD152" s="709"/>
      <c r="AE152" s="709"/>
      <c r="AF152" s="709"/>
      <c r="AG152" s="709"/>
      <c r="AH152" s="709"/>
      <c r="AI152" s="709"/>
      <c r="AJ152" s="709"/>
      <c r="AK152" s="709"/>
      <c r="AL152" s="709"/>
      <c r="AM152" s="709"/>
      <c r="AN152" s="709"/>
      <c r="AO152" s="709"/>
      <c r="AP152" s="1425"/>
      <c r="AQ152" s="1425"/>
      <c r="AR152" s="1425"/>
      <c r="AS152" s="989"/>
      <c r="AT152" s="1008"/>
      <c r="AU152" s="972"/>
      <c r="AV152" s="935"/>
      <c r="AW152" s="935"/>
      <c r="AX152" s="935"/>
      <c r="AY152" s="725"/>
      <c r="AZ152" s="725"/>
      <c r="BA152" s="725"/>
      <c r="BB152" s="725"/>
      <c r="BC152" s="725"/>
      <c r="BD152" s="725"/>
      <c r="BE152" s="709"/>
      <c r="BF152" s="709"/>
      <c r="BG152" s="697"/>
      <c r="BL152" s="609"/>
    </row>
    <row r="153" spans="1:64" ht="15.75" x14ac:dyDescent="0.25">
      <c r="A153" s="239" t="s">
        <v>465</v>
      </c>
      <c r="E153" s="788"/>
      <c r="F153" s="239" t="s">
        <v>465</v>
      </c>
      <c r="G153" s="239"/>
      <c r="H153" s="54"/>
      <c r="I153" s="54"/>
      <c r="P153" s="472"/>
      <c r="Q153" s="472"/>
      <c r="R153" s="472"/>
      <c r="S153" s="473"/>
      <c r="T153" s="473"/>
      <c r="U153" s="473"/>
      <c r="V153" s="473"/>
      <c r="W153" s="473"/>
      <c r="X153" s="473"/>
      <c r="Y153" s="474"/>
      <c r="Z153" s="537"/>
      <c r="AA153" s="710"/>
      <c r="AB153" s="710"/>
      <c r="AC153" s="710"/>
      <c r="AD153" s="710"/>
      <c r="AE153" s="710"/>
      <c r="AF153" s="710"/>
      <c r="AG153" s="710"/>
      <c r="AH153" s="710"/>
      <c r="AI153" s="710"/>
      <c r="AJ153" s="710"/>
      <c r="AK153" s="710"/>
      <c r="AL153" s="710"/>
      <c r="AM153" s="710"/>
      <c r="AN153" s="710"/>
      <c r="AO153" s="710"/>
      <c r="AP153" s="1427"/>
      <c r="AQ153" s="1427"/>
      <c r="AR153" s="1427"/>
      <c r="AS153" s="710"/>
      <c r="AT153" s="1009"/>
      <c r="AU153" s="973"/>
      <c r="AV153" s="935"/>
      <c r="AW153" s="935"/>
      <c r="AX153" s="935"/>
      <c r="AY153" s="726"/>
      <c r="AZ153" s="726"/>
      <c r="BA153" s="726"/>
      <c r="BB153" s="726"/>
      <c r="BC153" s="726"/>
      <c r="BD153" s="726"/>
      <c r="BE153" s="710"/>
      <c r="BF153" s="710"/>
      <c r="BG153" s="698"/>
    </row>
    <row r="154" spans="1:64" ht="15.75" x14ac:dyDescent="0.25">
      <c r="A154" s="1883"/>
      <c r="B154" s="1748"/>
      <c r="C154" s="1884"/>
      <c r="D154" s="1884"/>
      <c r="E154" s="1726">
        <f>IFERROR(D154/B154,0)</f>
        <v>0</v>
      </c>
      <c r="F154" s="1722"/>
      <c r="G154" s="1741"/>
      <c r="H154" s="1728"/>
      <c r="I154" s="1743"/>
      <c r="J154" s="1743"/>
      <c r="K154" s="1744"/>
      <c r="L154" s="1731">
        <f>IFERROR(IF($K$24="VK",K154,K154/H154),0)</f>
        <v>0</v>
      </c>
      <c r="M154" s="1732">
        <f>IFERROR(L154*H154,"")</f>
        <v>0</v>
      </c>
      <c r="N154" s="1730"/>
      <c r="O154" s="1730"/>
      <c r="P154" s="1730"/>
      <c r="Q154" s="1730"/>
      <c r="R154" s="1730"/>
      <c r="S154" s="1730"/>
      <c r="T154" s="1730"/>
      <c r="U154" s="1730"/>
      <c r="V154" s="1730"/>
      <c r="W154" s="1730"/>
      <c r="X154" s="1910">
        <f t="shared" ref="X154:X217" si="30">IF(AND(H154&gt;0,F154&lt;&gt;"GfB"),(SUM(M154:P154,R154,V154,Q154)*12+(T154+U154))*(100+$P$17+$P$18)%+((S154+W154)*12),IF(AND(H154&gt;0,F154="GfB"),(SUM(M154:P154,R154,V154,Q154)*12+(T154+U154))*(100+$P$20+$P$18)%+((S154+W154)*12),0))</f>
        <v>0</v>
      </c>
      <c r="Y154" s="1747">
        <f>IF(ISERROR(X154/H154),0,(X154/H154))</f>
        <v>0</v>
      </c>
      <c r="Z154" s="528"/>
      <c r="AA154" s="1617"/>
      <c r="AB154" s="1618"/>
      <c r="AC154" s="1618"/>
      <c r="AD154" s="1618"/>
      <c r="AE154" s="1619"/>
      <c r="AF154" s="1615">
        <f>(IF(AND($H154&gt;0,$K154&gt;0),($M154+$N154),0))</f>
        <v>0</v>
      </c>
      <c r="AG154" s="1116">
        <f>(IF(AND($H154&gt;0,$K154&gt;0),$O154,0))</f>
        <v>0</v>
      </c>
      <c r="AH154" s="1116">
        <f>(IF(AND($H154&gt;0,$K154&gt;0),$P154,0))</f>
        <v>0</v>
      </c>
      <c r="AI154" s="1116">
        <f>(IF(AND($H154&gt;0,$K154&gt;0),$Q154,0))</f>
        <v>0</v>
      </c>
      <c r="AJ154" s="1606">
        <f>(IF(AND($H154&gt;0,$K154&gt;0),(($T154+$U154)/12),0))</f>
        <v>0</v>
      </c>
      <c r="AK154" s="1608"/>
      <c r="AL154" s="1594"/>
      <c r="AM154" s="1594"/>
      <c r="AN154" s="1594"/>
      <c r="AO154" s="1594"/>
      <c r="AP154" s="1609"/>
      <c r="AQ154" s="1614">
        <f>IF(AND($H154&gt;0,$K154&gt;0),$H154,0)</f>
        <v>0</v>
      </c>
      <c r="AR154" s="1671"/>
      <c r="AS154" s="1664"/>
      <c r="AT154" s="1648">
        <f t="shared" ref="AT154:AT217" si="31">IF(AND($H154&gt;0,$K154&gt;0),$X154,0)</f>
        <v>0</v>
      </c>
      <c r="AU154" s="1666"/>
      <c r="AV154" s="935"/>
      <c r="AW154" s="935"/>
      <c r="AX154" s="935"/>
      <c r="AY154" s="722"/>
      <c r="AZ154" s="722"/>
      <c r="BA154" s="722"/>
      <c r="BB154" s="722"/>
      <c r="BC154" s="722"/>
      <c r="BD154" s="722"/>
      <c r="BE154" s="706"/>
      <c r="BF154" s="706"/>
      <c r="BG154" s="694"/>
    </row>
    <row r="155" spans="1:64" ht="15.75" x14ac:dyDescent="0.25">
      <c r="A155" s="1883"/>
      <c r="B155" s="1748"/>
      <c r="C155" s="1884"/>
      <c r="D155" s="1884"/>
      <c r="E155" s="1726">
        <f t="shared" ref="E155:E223" si="32">IFERROR(D155/B155,0)</f>
        <v>0</v>
      </c>
      <c r="F155" s="1774"/>
      <c r="G155" s="1741"/>
      <c r="H155" s="1728"/>
      <c r="I155" s="1743"/>
      <c r="J155" s="1743"/>
      <c r="K155" s="1744"/>
      <c r="L155" s="1734">
        <f t="shared" ref="L155:L218" si="33">IFERROR(IF($K$24="VK",K155,K155/H155),0)</f>
        <v>0</v>
      </c>
      <c r="M155" s="1735">
        <f t="shared" ref="M155:M218" si="34">IFERROR(L155*H155,"")</f>
        <v>0</v>
      </c>
      <c r="N155" s="1730"/>
      <c r="O155" s="1730"/>
      <c r="P155" s="1730"/>
      <c r="Q155" s="1730"/>
      <c r="R155" s="1730"/>
      <c r="S155" s="1730"/>
      <c r="T155" s="1730"/>
      <c r="U155" s="1730"/>
      <c r="V155" s="1730"/>
      <c r="W155" s="1730"/>
      <c r="X155" s="1903">
        <f t="shared" si="30"/>
        <v>0</v>
      </c>
      <c r="Y155" s="1733">
        <f t="shared" ref="Y155:Y218" si="35">IF(ISERROR(X155/H155),0,(X155/H155))</f>
        <v>0</v>
      </c>
      <c r="Z155" s="528"/>
      <c r="AA155" s="1620"/>
      <c r="AB155" s="1616"/>
      <c r="AC155" s="1616"/>
      <c r="AD155" s="1616"/>
      <c r="AE155" s="1621"/>
      <c r="AF155" s="1615">
        <f t="shared" ref="AF155:AF218" si="36">(IF(AND($H155&gt;0,$K155&gt;0),($M155+$N155),0))</f>
        <v>0</v>
      </c>
      <c r="AG155" s="1116">
        <f t="shared" ref="AG155:AG218" si="37">(IF(AND($H155&gt;0,$K155&gt;0),$O155,0))</f>
        <v>0</v>
      </c>
      <c r="AH155" s="1116">
        <f t="shared" ref="AH155:AH218" si="38">(IF(AND($H155&gt;0,$K155&gt;0),$P155,0))</f>
        <v>0</v>
      </c>
      <c r="AI155" s="1116">
        <f t="shared" ref="AI155:AI218" si="39">(IF(AND($H155&gt;0,$K155&gt;0),$Q155,0))</f>
        <v>0</v>
      </c>
      <c r="AJ155" s="1606">
        <f t="shared" ref="AJ155:AJ218" si="40">(IF(AND($H155&gt;0,$K155&gt;0),(($T155+$U155)/12),0))</f>
        <v>0</v>
      </c>
      <c r="AK155" s="1610"/>
      <c r="AL155" s="1590"/>
      <c r="AM155" s="1590"/>
      <c r="AN155" s="1590"/>
      <c r="AO155" s="1590"/>
      <c r="AP155" s="1611"/>
      <c r="AQ155" s="1614">
        <f t="shared" ref="AQ155:AQ218" si="41">IF(AND($H155&gt;0,$K155&gt;0),$H155,0)</f>
        <v>0</v>
      </c>
      <c r="AR155" s="1701"/>
      <c r="AS155" s="1665"/>
      <c r="AT155" s="1648">
        <f t="shared" si="31"/>
        <v>0</v>
      </c>
      <c r="AU155" s="1667"/>
      <c r="AV155" s="935"/>
      <c r="AW155" s="935"/>
      <c r="AX155" s="935"/>
      <c r="AY155" s="722"/>
      <c r="AZ155" s="722"/>
      <c r="BA155" s="722"/>
      <c r="BB155" s="722"/>
      <c r="BC155" s="722"/>
      <c r="BD155" s="722"/>
      <c r="BE155" s="706"/>
      <c r="BF155" s="706"/>
      <c r="BG155" s="694"/>
      <c r="BL155" s="611"/>
    </row>
    <row r="156" spans="1:64" ht="15.75" x14ac:dyDescent="0.25">
      <c r="A156" s="1883"/>
      <c r="B156" s="1748"/>
      <c r="C156" s="1884"/>
      <c r="D156" s="1884"/>
      <c r="E156" s="1726">
        <f t="shared" si="32"/>
        <v>0</v>
      </c>
      <c r="F156" s="1722"/>
      <c r="G156" s="1741"/>
      <c r="H156" s="1728"/>
      <c r="I156" s="1743"/>
      <c r="J156" s="1743"/>
      <c r="K156" s="1744"/>
      <c r="L156" s="1734">
        <f t="shared" si="33"/>
        <v>0</v>
      </c>
      <c r="M156" s="1735">
        <f t="shared" si="34"/>
        <v>0</v>
      </c>
      <c r="N156" s="1730"/>
      <c r="O156" s="1730"/>
      <c r="P156" s="1730"/>
      <c r="Q156" s="1730"/>
      <c r="R156" s="1730"/>
      <c r="S156" s="1730"/>
      <c r="T156" s="1730"/>
      <c r="U156" s="1730"/>
      <c r="V156" s="1730"/>
      <c r="W156" s="1730"/>
      <c r="X156" s="1903">
        <f t="shared" si="30"/>
        <v>0</v>
      </c>
      <c r="Y156" s="1733">
        <f t="shared" si="35"/>
        <v>0</v>
      </c>
      <c r="Z156" s="528"/>
      <c r="AA156" s="1620"/>
      <c r="AB156" s="1616"/>
      <c r="AC156" s="1616"/>
      <c r="AD156" s="1616"/>
      <c r="AE156" s="1621"/>
      <c r="AF156" s="1615">
        <f t="shared" si="36"/>
        <v>0</v>
      </c>
      <c r="AG156" s="1116">
        <f t="shared" si="37"/>
        <v>0</v>
      </c>
      <c r="AH156" s="1116">
        <f t="shared" si="38"/>
        <v>0</v>
      </c>
      <c r="AI156" s="1116">
        <f t="shared" si="39"/>
        <v>0</v>
      </c>
      <c r="AJ156" s="1606">
        <f t="shared" si="40"/>
        <v>0</v>
      </c>
      <c r="AK156" s="1610"/>
      <c r="AL156" s="1590"/>
      <c r="AM156" s="1590"/>
      <c r="AN156" s="1590"/>
      <c r="AO156" s="1590"/>
      <c r="AP156" s="1611"/>
      <c r="AQ156" s="1614">
        <f t="shared" si="41"/>
        <v>0</v>
      </c>
      <c r="AR156" s="1701"/>
      <c r="AS156" s="1665"/>
      <c r="AT156" s="1648">
        <f t="shared" si="31"/>
        <v>0</v>
      </c>
      <c r="AU156" s="1667"/>
      <c r="AV156" s="935"/>
      <c r="AW156" s="935"/>
      <c r="AX156" s="935"/>
      <c r="AY156" s="722"/>
      <c r="AZ156" s="722"/>
      <c r="BA156" s="722"/>
      <c r="BB156" s="722"/>
      <c r="BC156" s="722"/>
      <c r="BD156" s="722"/>
      <c r="BE156" s="706"/>
      <c r="BF156" s="706"/>
      <c r="BG156" s="694"/>
    </row>
    <row r="157" spans="1:64" ht="15.75" x14ac:dyDescent="0.25">
      <c r="A157" s="1883"/>
      <c r="B157" s="1748"/>
      <c r="C157" s="1884"/>
      <c r="D157" s="1884"/>
      <c r="E157" s="1726">
        <f t="shared" si="32"/>
        <v>0</v>
      </c>
      <c r="F157" s="1722"/>
      <c r="G157" s="1741"/>
      <c r="H157" s="1728"/>
      <c r="I157" s="1743"/>
      <c r="J157" s="1743"/>
      <c r="K157" s="1744"/>
      <c r="L157" s="1734">
        <f t="shared" si="33"/>
        <v>0</v>
      </c>
      <c r="M157" s="1735">
        <f t="shared" si="34"/>
        <v>0</v>
      </c>
      <c r="N157" s="1730"/>
      <c r="O157" s="1730"/>
      <c r="P157" s="1730"/>
      <c r="Q157" s="1730"/>
      <c r="R157" s="1730"/>
      <c r="S157" s="1730"/>
      <c r="T157" s="1730"/>
      <c r="U157" s="1730"/>
      <c r="V157" s="1730"/>
      <c r="W157" s="1730"/>
      <c r="X157" s="1903">
        <f t="shared" si="30"/>
        <v>0</v>
      </c>
      <c r="Y157" s="1733">
        <f t="shared" si="35"/>
        <v>0</v>
      </c>
      <c r="Z157" s="528"/>
      <c r="AA157" s="1620"/>
      <c r="AB157" s="1616"/>
      <c r="AC157" s="1616"/>
      <c r="AD157" s="1616"/>
      <c r="AE157" s="1621"/>
      <c r="AF157" s="1615">
        <f t="shared" si="36"/>
        <v>0</v>
      </c>
      <c r="AG157" s="1116">
        <f t="shared" si="37"/>
        <v>0</v>
      </c>
      <c r="AH157" s="1116">
        <f t="shared" si="38"/>
        <v>0</v>
      </c>
      <c r="AI157" s="1116">
        <f t="shared" si="39"/>
        <v>0</v>
      </c>
      <c r="AJ157" s="1606">
        <f t="shared" si="40"/>
        <v>0</v>
      </c>
      <c r="AK157" s="1610"/>
      <c r="AL157" s="1590"/>
      <c r="AM157" s="1590"/>
      <c r="AN157" s="1590"/>
      <c r="AO157" s="1590"/>
      <c r="AP157" s="1611"/>
      <c r="AQ157" s="1614">
        <f t="shared" si="41"/>
        <v>0</v>
      </c>
      <c r="AR157" s="1701"/>
      <c r="AS157" s="1665"/>
      <c r="AT157" s="1648">
        <f t="shared" si="31"/>
        <v>0</v>
      </c>
      <c r="AU157" s="1667"/>
      <c r="AV157" s="935"/>
      <c r="AW157" s="935"/>
      <c r="AX157" s="935"/>
      <c r="AY157" s="722"/>
      <c r="AZ157" s="722"/>
      <c r="BA157" s="722"/>
      <c r="BB157" s="722"/>
      <c r="BC157" s="722"/>
      <c r="BD157" s="722"/>
      <c r="BE157" s="706"/>
      <c r="BF157" s="706"/>
      <c r="BG157" s="694"/>
    </row>
    <row r="158" spans="1:64" ht="15.75" x14ac:dyDescent="0.25">
      <c r="A158" s="1883"/>
      <c r="B158" s="1748"/>
      <c r="C158" s="1884"/>
      <c r="D158" s="1884"/>
      <c r="E158" s="1726">
        <f t="shared" si="32"/>
        <v>0</v>
      </c>
      <c r="F158" s="1722"/>
      <c r="G158" s="1741"/>
      <c r="H158" s="1728"/>
      <c r="I158" s="1743"/>
      <c r="J158" s="1743"/>
      <c r="K158" s="1744"/>
      <c r="L158" s="1734">
        <f t="shared" si="33"/>
        <v>0</v>
      </c>
      <c r="M158" s="1735">
        <f t="shared" si="34"/>
        <v>0</v>
      </c>
      <c r="N158" s="1730"/>
      <c r="O158" s="1730"/>
      <c r="P158" s="1730"/>
      <c r="Q158" s="1730"/>
      <c r="R158" s="1730"/>
      <c r="S158" s="1730"/>
      <c r="T158" s="1730"/>
      <c r="U158" s="1730"/>
      <c r="V158" s="1730"/>
      <c r="W158" s="1730"/>
      <c r="X158" s="1903">
        <f t="shared" si="30"/>
        <v>0</v>
      </c>
      <c r="Y158" s="1733">
        <f t="shared" si="35"/>
        <v>0</v>
      </c>
      <c r="Z158" s="528"/>
      <c r="AA158" s="1620"/>
      <c r="AB158" s="1616"/>
      <c r="AC158" s="1616"/>
      <c r="AD158" s="1616"/>
      <c r="AE158" s="1621"/>
      <c r="AF158" s="1615">
        <f t="shared" si="36"/>
        <v>0</v>
      </c>
      <c r="AG158" s="1116">
        <f t="shared" si="37"/>
        <v>0</v>
      </c>
      <c r="AH158" s="1116">
        <f t="shared" si="38"/>
        <v>0</v>
      </c>
      <c r="AI158" s="1116">
        <f t="shared" si="39"/>
        <v>0</v>
      </c>
      <c r="AJ158" s="1606">
        <f t="shared" si="40"/>
        <v>0</v>
      </c>
      <c r="AK158" s="1610"/>
      <c r="AL158" s="1590"/>
      <c r="AM158" s="1590"/>
      <c r="AN158" s="1590"/>
      <c r="AO158" s="1590"/>
      <c r="AP158" s="1611"/>
      <c r="AQ158" s="1614">
        <f t="shared" si="41"/>
        <v>0</v>
      </c>
      <c r="AR158" s="1701"/>
      <c r="AS158" s="1665"/>
      <c r="AT158" s="1648">
        <f t="shared" si="31"/>
        <v>0</v>
      </c>
      <c r="AU158" s="1667"/>
      <c r="AV158" s="935"/>
      <c r="AW158" s="935"/>
      <c r="AX158" s="935"/>
      <c r="AY158" s="722"/>
      <c r="AZ158" s="722"/>
      <c r="BA158" s="722"/>
      <c r="BB158" s="722"/>
      <c r="BC158" s="722"/>
      <c r="BD158" s="722"/>
      <c r="BE158" s="706"/>
      <c r="BF158" s="706"/>
      <c r="BG158" s="694"/>
    </row>
    <row r="159" spans="1:64" ht="15.75" x14ac:dyDescent="0.25">
      <c r="A159" s="1883"/>
      <c r="B159" s="1748"/>
      <c r="C159" s="1884"/>
      <c r="D159" s="1884"/>
      <c r="E159" s="1726">
        <f t="shared" si="32"/>
        <v>0</v>
      </c>
      <c r="F159" s="1722"/>
      <c r="G159" s="1741"/>
      <c r="H159" s="1728"/>
      <c r="I159" s="1743"/>
      <c r="J159" s="1743"/>
      <c r="K159" s="1744"/>
      <c r="L159" s="1734">
        <f t="shared" si="33"/>
        <v>0</v>
      </c>
      <c r="M159" s="1735">
        <f t="shared" si="34"/>
        <v>0</v>
      </c>
      <c r="N159" s="1730"/>
      <c r="O159" s="1730"/>
      <c r="P159" s="1730"/>
      <c r="Q159" s="1730"/>
      <c r="R159" s="1730"/>
      <c r="S159" s="1730"/>
      <c r="T159" s="1730"/>
      <c r="U159" s="1730"/>
      <c r="V159" s="1730"/>
      <c r="W159" s="1730"/>
      <c r="X159" s="1903">
        <f t="shared" si="30"/>
        <v>0</v>
      </c>
      <c r="Y159" s="1733">
        <f t="shared" si="35"/>
        <v>0</v>
      </c>
      <c r="Z159" s="528"/>
      <c r="AA159" s="1620"/>
      <c r="AB159" s="1616"/>
      <c r="AC159" s="1616"/>
      <c r="AD159" s="1616"/>
      <c r="AE159" s="1621"/>
      <c r="AF159" s="1615">
        <f t="shared" si="36"/>
        <v>0</v>
      </c>
      <c r="AG159" s="1116">
        <f t="shared" si="37"/>
        <v>0</v>
      </c>
      <c r="AH159" s="1116">
        <f t="shared" si="38"/>
        <v>0</v>
      </c>
      <c r="AI159" s="1116">
        <f t="shared" si="39"/>
        <v>0</v>
      </c>
      <c r="AJ159" s="1606">
        <f t="shared" si="40"/>
        <v>0</v>
      </c>
      <c r="AK159" s="1610"/>
      <c r="AL159" s="1590"/>
      <c r="AM159" s="1590"/>
      <c r="AN159" s="1590"/>
      <c r="AO159" s="1590"/>
      <c r="AP159" s="1611"/>
      <c r="AQ159" s="1614">
        <f t="shared" si="41"/>
        <v>0</v>
      </c>
      <c r="AR159" s="1701"/>
      <c r="AS159" s="1665"/>
      <c r="AT159" s="1648">
        <f t="shared" si="31"/>
        <v>0</v>
      </c>
      <c r="AU159" s="1667"/>
      <c r="AV159" s="935"/>
      <c r="AW159" s="935"/>
      <c r="AX159" s="935"/>
      <c r="AY159" s="722"/>
      <c r="AZ159" s="722"/>
      <c r="BA159" s="722"/>
      <c r="BB159" s="722"/>
      <c r="BC159" s="722"/>
      <c r="BD159" s="722"/>
      <c r="BE159" s="706"/>
      <c r="BF159" s="706"/>
      <c r="BG159" s="694"/>
    </row>
    <row r="160" spans="1:64" ht="15.75" x14ac:dyDescent="0.25">
      <c r="A160" s="1883"/>
      <c r="B160" s="1748"/>
      <c r="C160" s="1884"/>
      <c r="D160" s="1884"/>
      <c r="E160" s="1726">
        <f t="shared" si="32"/>
        <v>0</v>
      </c>
      <c r="F160" s="1722"/>
      <c r="G160" s="1741"/>
      <c r="H160" s="1728"/>
      <c r="I160" s="1743"/>
      <c r="J160" s="1743"/>
      <c r="K160" s="1744"/>
      <c r="L160" s="1734">
        <f t="shared" si="33"/>
        <v>0</v>
      </c>
      <c r="M160" s="1735">
        <f t="shared" si="34"/>
        <v>0</v>
      </c>
      <c r="N160" s="1730"/>
      <c r="O160" s="1730"/>
      <c r="P160" s="1730"/>
      <c r="Q160" s="1730"/>
      <c r="R160" s="1730"/>
      <c r="S160" s="1730"/>
      <c r="T160" s="1730"/>
      <c r="U160" s="1730"/>
      <c r="V160" s="1730"/>
      <c r="W160" s="1730"/>
      <c r="X160" s="1903">
        <f t="shared" si="30"/>
        <v>0</v>
      </c>
      <c r="Y160" s="1733">
        <f t="shared" si="35"/>
        <v>0</v>
      </c>
      <c r="Z160" s="528"/>
      <c r="AA160" s="1620"/>
      <c r="AB160" s="1616"/>
      <c r="AC160" s="1616"/>
      <c r="AD160" s="1616"/>
      <c r="AE160" s="1621"/>
      <c r="AF160" s="1615">
        <f t="shared" si="36"/>
        <v>0</v>
      </c>
      <c r="AG160" s="1116">
        <f t="shared" si="37"/>
        <v>0</v>
      </c>
      <c r="AH160" s="1116">
        <f t="shared" si="38"/>
        <v>0</v>
      </c>
      <c r="AI160" s="1116">
        <f t="shared" si="39"/>
        <v>0</v>
      </c>
      <c r="AJ160" s="1606">
        <f t="shared" si="40"/>
        <v>0</v>
      </c>
      <c r="AK160" s="1610"/>
      <c r="AL160" s="1590"/>
      <c r="AM160" s="1590"/>
      <c r="AN160" s="1590"/>
      <c r="AO160" s="1590"/>
      <c r="AP160" s="1611"/>
      <c r="AQ160" s="1614">
        <f t="shared" si="41"/>
        <v>0</v>
      </c>
      <c r="AR160" s="1701"/>
      <c r="AS160" s="1665"/>
      <c r="AT160" s="1648">
        <f t="shared" si="31"/>
        <v>0</v>
      </c>
      <c r="AU160" s="1667"/>
      <c r="AV160" s="935"/>
      <c r="AW160" s="935"/>
      <c r="AX160" s="935"/>
      <c r="AY160" s="722"/>
      <c r="AZ160" s="722"/>
      <c r="BA160" s="722"/>
      <c r="BB160" s="722"/>
      <c r="BC160" s="722"/>
      <c r="BD160" s="722"/>
      <c r="BE160" s="706"/>
      <c r="BF160" s="706"/>
      <c r="BG160" s="694"/>
    </row>
    <row r="161" spans="1:65" ht="15.75" x14ac:dyDescent="0.25">
      <c r="A161" s="1883"/>
      <c r="B161" s="1748"/>
      <c r="C161" s="1884"/>
      <c r="D161" s="1884"/>
      <c r="E161" s="1726">
        <f t="shared" si="32"/>
        <v>0</v>
      </c>
      <c r="F161" s="1722"/>
      <c r="G161" s="1741"/>
      <c r="H161" s="1728"/>
      <c r="I161" s="1743"/>
      <c r="J161" s="1743"/>
      <c r="K161" s="1744"/>
      <c r="L161" s="1734">
        <f t="shared" si="33"/>
        <v>0</v>
      </c>
      <c r="M161" s="1735">
        <f t="shared" si="34"/>
        <v>0</v>
      </c>
      <c r="N161" s="1730"/>
      <c r="O161" s="1730"/>
      <c r="P161" s="1730"/>
      <c r="Q161" s="1730"/>
      <c r="R161" s="1730"/>
      <c r="S161" s="1730"/>
      <c r="T161" s="1730"/>
      <c r="U161" s="1730"/>
      <c r="V161" s="1730"/>
      <c r="W161" s="1730"/>
      <c r="X161" s="1903">
        <f t="shared" si="30"/>
        <v>0</v>
      </c>
      <c r="Y161" s="1733">
        <f t="shared" si="35"/>
        <v>0</v>
      </c>
      <c r="Z161" s="528"/>
      <c r="AA161" s="1620"/>
      <c r="AB161" s="1616"/>
      <c r="AC161" s="1616"/>
      <c r="AD161" s="1616"/>
      <c r="AE161" s="1621"/>
      <c r="AF161" s="1615">
        <f t="shared" si="36"/>
        <v>0</v>
      </c>
      <c r="AG161" s="1116">
        <f t="shared" si="37"/>
        <v>0</v>
      </c>
      <c r="AH161" s="1116">
        <f t="shared" si="38"/>
        <v>0</v>
      </c>
      <c r="AI161" s="1116">
        <f t="shared" si="39"/>
        <v>0</v>
      </c>
      <c r="AJ161" s="1606">
        <f t="shared" si="40"/>
        <v>0</v>
      </c>
      <c r="AK161" s="1610"/>
      <c r="AL161" s="1590"/>
      <c r="AM161" s="1590"/>
      <c r="AN161" s="1590"/>
      <c r="AO161" s="1590"/>
      <c r="AP161" s="1611"/>
      <c r="AQ161" s="1614">
        <f t="shared" si="41"/>
        <v>0</v>
      </c>
      <c r="AR161" s="1701"/>
      <c r="AS161" s="1665"/>
      <c r="AT161" s="1648">
        <f t="shared" si="31"/>
        <v>0</v>
      </c>
      <c r="AU161" s="1667"/>
      <c r="AV161" s="935"/>
      <c r="AW161" s="935"/>
      <c r="AX161" s="935"/>
      <c r="AY161" s="722"/>
      <c r="AZ161" s="722"/>
      <c r="BA161" s="722"/>
      <c r="BB161" s="722"/>
      <c r="BC161" s="722"/>
      <c r="BD161" s="722"/>
      <c r="BE161" s="706"/>
      <c r="BF161" s="706"/>
      <c r="BG161" s="694"/>
    </row>
    <row r="162" spans="1:65" ht="15.75" x14ac:dyDescent="0.25">
      <c r="A162" s="1883"/>
      <c r="B162" s="1748"/>
      <c r="C162" s="1884"/>
      <c r="D162" s="1884"/>
      <c r="E162" s="1726">
        <f t="shared" si="32"/>
        <v>0</v>
      </c>
      <c r="F162" s="1722"/>
      <c r="G162" s="1741"/>
      <c r="H162" s="1728"/>
      <c r="I162" s="1743"/>
      <c r="J162" s="1743"/>
      <c r="K162" s="1744"/>
      <c r="L162" s="1734">
        <f t="shared" si="33"/>
        <v>0</v>
      </c>
      <c r="M162" s="1735">
        <f t="shared" si="34"/>
        <v>0</v>
      </c>
      <c r="N162" s="1730"/>
      <c r="O162" s="1730"/>
      <c r="P162" s="1730"/>
      <c r="Q162" s="1730"/>
      <c r="R162" s="1730"/>
      <c r="S162" s="1730"/>
      <c r="T162" s="1730"/>
      <c r="U162" s="1730"/>
      <c r="V162" s="1730"/>
      <c r="W162" s="1730"/>
      <c r="X162" s="1903">
        <f t="shared" si="30"/>
        <v>0</v>
      </c>
      <c r="Y162" s="1733">
        <f t="shared" si="35"/>
        <v>0</v>
      </c>
      <c r="Z162" s="528"/>
      <c r="AA162" s="1620"/>
      <c r="AB162" s="1616"/>
      <c r="AC162" s="1616"/>
      <c r="AD162" s="1616"/>
      <c r="AE162" s="1621"/>
      <c r="AF162" s="1615">
        <f t="shared" si="36"/>
        <v>0</v>
      </c>
      <c r="AG162" s="1116">
        <f t="shared" si="37"/>
        <v>0</v>
      </c>
      <c r="AH162" s="1116">
        <f t="shared" si="38"/>
        <v>0</v>
      </c>
      <c r="AI162" s="1116">
        <f t="shared" si="39"/>
        <v>0</v>
      </c>
      <c r="AJ162" s="1606">
        <f t="shared" si="40"/>
        <v>0</v>
      </c>
      <c r="AK162" s="1610"/>
      <c r="AL162" s="1590"/>
      <c r="AM162" s="1590"/>
      <c r="AN162" s="1590"/>
      <c r="AO162" s="1590"/>
      <c r="AP162" s="1611"/>
      <c r="AQ162" s="1614">
        <f t="shared" si="41"/>
        <v>0</v>
      </c>
      <c r="AR162" s="1701"/>
      <c r="AS162" s="1665"/>
      <c r="AT162" s="1648">
        <f t="shared" si="31"/>
        <v>0</v>
      </c>
      <c r="AU162" s="1667"/>
      <c r="AV162" s="935"/>
      <c r="AW162" s="935"/>
      <c r="AX162" s="935"/>
      <c r="AY162" s="722"/>
      <c r="AZ162" s="722"/>
      <c r="BA162" s="722"/>
      <c r="BB162" s="722"/>
      <c r="BC162" s="722"/>
      <c r="BD162" s="722"/>
      <c r="BE162" s="706"/>
      <c r="BF162" s="706"/>
      <c r="BG162" s="694"/>
    </row>
    <row r="163" spans="1:65" ht="15.75" x14ac:dyDescent="0.25">
      <c r="A163" s="1883"/>
      <c r="B163" s="1748"/>
      <c r="C163" s="1884"/>
      <c r="D163" s="1884"/>
      <c r="E163" s="1726">
        <f t="shared" si="32"/>
        <v>0</v>
      </c>
      <c r="F163" s="1722"/>
      <c r="G163" s="1741"/>
      <c r="H163" s="1728"/>
      <c r="I163" s="1743"/>
      <c r="J163" s="1743"/>
      <c r="K163" s="1744"/>
      <c r="L163" s="1734">
        <f t="shared" si="33"/>
        <v>0</v>
      </c>
      <c r="M163" s="1735">
        <f t="shared" si="34"/>
        <v>0</v>
      </c>
      <c r="N163" s="1730"/>
      <c r="O163" s="1730"/>
      <c r="P163" s="1730"/>
      <c r="Q163" s="1730"/>
      <c r="R163" s="1730"/>
      <c r="S163" s="1730"/>
      <c r="T163" s="1730"/>
      <c r="U163" s="1730"/>
      <c r="V163" s="1730"/>
      <c r="W163" s="1730"/>
      <c r="X163" s="1903">
        <f t="shared" si="30"/>
        <v>0</v>
      </c>
      <c r="Y163" s="1733">
        <f t="shared" si="35"/>
        <v>0</v>
      </c>
      <c r="Z163" s="528"/>
      <c r="AA163" s="1620"/>
      <c r="AB163" s="1616"/>
      <c r="AC163" s="1616"/>
      <c r="AD163" s="1616"/>
      <c r="AE163" s="1621"/>
      <c r="AF163" s="1615">
        <f t="shared" si="36"/>
        <v>0</v>
      </c>
      <c r="AG163" s="1116">
        <f t="shared" si="37"/>
        <v>0</v>
      </c>
      <c r="AH163" s="1116">
        <f t="shared" si="38"/>
        <v>0</v>
      </c>
      <c r="AI163" s="1116">
        <f t="shared" si="39"/>
        <v>0</v>
      </c>
      <c r="AJ163" s="1606">
        <f t="shared" si="40"/>
        <v>0</v>
      </c>
      <c r="AK163" s="1610"/>
      <c r="AL163" s="1590"/>
      <c r="AM163" s="1590"/>
      <c r="AN163" s="1590"/>
      <c r="AO163" s="1590"/>
      <c r="AP163" s="1611"/>
      <c r="AQ163" s="1614">
        <f t="shared" si="41"/>
        <v>0</v>
      </c>
      <c r="AR163" s="1701"/>
      <c r="AS163" s="1665"/>
      <c r="AT163" s="1648">
        <f t="shared" si="31"/>
        <v>0</v>
      </c>
      <c r="AU163" s="1667"/>
      <c r="AV163" s="935"/>
      <c r="AW163" s="935"/>
      <c r="AX163" s="935"/>
      <c r="AY163" s="722"/>
      <c r="AZ163" s="722"/>
      <c r="BA163" s="722"/>
      <c r="BB163" s="722"/>
      <c r="BC163" s="722"/>
      <c r="BD163" s="722"/>
      <c r="BE163" s="706"/>
      <c r="BF163" s="706"/>
      <c r="BG163" s="694"/>
    </row>
    <row r="164" spans="1:65" ht="15.75" x14ac:dyDescent="0.25">
      <c r="A164" s="1883"/>
      <c r="B164" s="1748"/>
      <c r="C164" s="1884"/>
      <c r="D164" s="1884"/>
      <c r="E164" s="1726">
        <f t="shared" si="32"/>
        <v>0</v>
      </c>
      <c r="F164" s="1722"/>
      <c r="G164" s="1741"/>
      <c r="H164" s="1728"/>
      <c r="I164" s="1743"/>
      <c r="J164" s="1743"/>
      <c r="K164" s="1744"/>
      <c r="L164" s="1734">
        <f t="shared" si="33"/>
        <v>0</v>
      </c>
      <c r="M164" s="1735">
        <f t="shared" si="34"/>
        <v>0</v>
      </c>
      <c r="N164" s="1730"/>
      <c r="O164" s="1730"/>
      <c r="P164" s="1730"/>
      <c r="Q164" s="1730"/>
      <c r="R164" s="1730"/>
      <c r="S164" s="1730"/>
      <c r="T164" s="1730"/>
      <c r="U164" s="1730"/>
      <c r="V164" s="1730"/>
      <c r="W164" s="1730"/>
      <c r="X164" s="1903">
        <f t="shared" si="30"/>
        <v>0</v>
      </c>
      <c r="Y164" s="1733">
        <f t="shared" si="35"/>
        <v>0</v>
      </c>
      <c r="Z164" s="528"/>
      <c r="AA164" s="1620"/>
      <c r="AB164" s="1616"/>
      <c r="AC164" s="1616"/>
      <c r="AD164" s="1616"/>
      <c r="AE164" s="1621"/>
      <c r="AF164" s="1615">
        <f t="shared" si="36"/>
        <v>0</v>
      </c>
      <c r="AG164" s="1116">
        <f t="shared" si="37"/>
        <v>0</v>
      </c>
      <c r="AH164" s="1116">
        <f t="shared" si="38"/>
        <v>0</v>
      </c>
      <c r="AI164" s="1116">
        <f t="shared" si="39"/>
        <v>0</v>
      </c>
      <c r="AJ164" s="1606">
        <f t="shared" si="40"/>
        <v>0</v>
      </c>
      <c r="AK164" s="1610"/>
      <c r="AL164" s="1590"/>
      <c r="AM164" s="1590"/>
      <c r="AN164" s="1590"/>
      <c r="AO164" s="1590"/>
      <c r="AP164" s="1611"/>
      <c r="AQ164" s="1614">
        <f t="shared" si="41"/>
        <v>0</v>
      </c>
      <c r="AR164" s="1701"/>
      <c r="AS164" s="1665"/>
      <c r="AT164" s="1648">
        <f t="shared" si="31"/>
        <v>0</v>
      </c>
      <c r="AU164" s="1667"/>
      <c r="AV164" s="935"/>
      <c r="AW164" s="935"/>
      <c r="AX164" s="935"/>
      <c r="AY164" s="722"/>
      <c r="AZ164" s="722"/>
      <c r="BA164" s="722"/>
      <c r="BB164" s="722"/>
      <c r="BC164" s="722"/>
      <c r="BD164" s="722"/>
      <c r="BE164" s="706"/>
      <c r="BF164" s="706"/>
      <c r="BG164" s="694"/>
    </row>
    <row r="165" spans="1:65" ht="15.75" x14ac:dyDescent="0.25">
      <c r="A165" s="1883"/>
      <c r="B165" s="1748"/>
      <c r="C165" s="1884"/>
      <c r="D165" s="1884"/>
      <c r="E165" s="1726">
        <f t="shared" si="32"/>
        <v>0</v>
      </c>
      <c r="F165" s="1722"/>
      <c r="G165" s="1741"/>
      <c r="H165" s="1728"/>
      <c r="I165" s="1743"/>
      <c r="J165" s="1743"/>
      <c r="K165" s="1744"/>
      <c r="L165" s="1734">
        <f t="shared" si="33"/>
        <v>0</v>
      </c>
      <c r="M165" s="1735">
        <f t="shared" si="34"/>
        <v>0</v>
      </c>
      <c r="N165" s="1730"/>
      <c r="O165" s="1730"/>
      <c r="P165" s="1730"/>
      <c r="Q165" s="1730"/>
      <c r="R165" s="1730"/>
      <c r="S165" s="1730"/>
      <c r="T165" s="1730"/>
      <c r="U165" s="1730"/>
      <c r="V165" s="1730"/>
      <c r="W165" s="1730"/>
      <c r="X165" s="1903">
        <f t="shared" si="30"/>
        <v>0</v>
      </c>
      <c r="Y165" s="1733">
        <f t="shared" si="35"/>
        <v>0</v>
      </c>
      <c r="Z165" s="528"/>
      <c r="AA165" s="1620"/>
      <c r="AB165" s="1616"/>
      <c r="AC165" s="1616"/>
      <c r="AD165" s="1616"/>
      <c r="AE165" s="1621"/>
      <c r="AF165" s="1615">
        <f t="shared" si="36"/>
        <v>0</v>
      </c>
      <c r="AG165" s="1116">
        <f t="shared" si="37"/>
        <v>0</v>
      </c>
      <c r="AH165" s="1116">
        <f t="shared" si="38"/>
        <v>0</v>
      </c>
      <c r="AI165" s="1116">
        <f t="shared" si="39"/>
        <v>0</v>
      </c>
      <c r="AJ165" s="1606">
        <f t="shared" si="40"/>
        <v>0</v>
      </c>
      <c r="AK165" s="1610"/>
      <c r="AL165" s="1590"/>
      <c r="AM165" s="1590"/>
      <c r="AN165" s="1590"/>
      <c r="AO165" s="1590"/>
      <c r="AP165" s="1611"/>
      <c r="AQ165" s="1614">
        <f t="shared" si="41"/>
        <v>0</v>
      </c>
      <c r="AR165" s="1701"/>
      <c r="AS165" s="1665"/>
      <c r="AT165" s="1648">
        <f t="shared" si="31"/>
        <v>0</v>
      </c>
      <c r="AU165" s="1667"/>
      <c r="AV165" s="935"/>
      <c r="AW165" s="935"/>
      <c r="AX165" s="935"/>
      <c r="AY165" s="722"/>
      <c r="AZ165" s="722"/>
      <c r="BA165" s="722"/>
      <c r="BB165" s="722"/>
      <c r="BC165" s="722"/>
      <c r="BD165" s="722"/>
      <c r="BE165" s="706"/>
      <c r="BF165" s="706"/>
      <c r="BG165" s="694"/>
    </row>
    <row r="166" spans="1:65" ht="15.75" x14ac:dyDescent="0.25">
      <c r="A166" s="1883"/>
      <c r="B166" s="1748"/>
      <c r="C166" s="1884"/>
      <c r="D166" s="1884"/>
      <c r="E166" s="1726">
        <f t="shared" si="32"/>
        <v>0</v>
      </c>
      <c r="F166" s="1722"/>
      <c r="G166" s="1741"/>
      <c r="H166" s="1728"/>
      <c r="I166" s="1743"/>
      <c r="J166" s="1743"/>
      <c r="K166" s="1744"/>
      <c r="L166" s="1734">
        <f t="shared" si="33"/>
        <v>0</v>
      </c>
      <c r="M166" s="1735">
        <f t="shared" si="34"/>
        <v>0</v>
      </c>
      <c r="N166" s="1730"/>
      <c r="O166" s="1730"/>
      <c r="P166" s="1730"/>
      <c r="Q166" s="1730"/>
      <c r="R166" s="1730"/>
      <c r="S166" s="1730"/>
      <c r="T166" s="1730"/>
      <c r="U166" s="1730"/>
      <c r="V166" s="1730"/>
      <c r="W166" s="1730"/>
      <c r="X166" s="1903">
        <f t="shared" si="30"/>
        <v>0</v>
      </c>
      <c r="Y166" s="1733">
        <f t="shared" si="35"/>
        <v>0</v>
      </c>
      <c r="Z166" s="528"/>
      <c r="AA166" s="1620"/>
      <c r="AB166" s="1616"/>
      <c r="AC166" s="1616"/>
      <c r="AD166" s="1616"/>
      <c r="AE166" s="1621"/>
      <c r="AF166" s="1615">
        <f t="shared" si="36"/>
        <v>0</v>
      </c>
      <c r="AG166" s="1116">
        <f t="shared" si="37"/>
        <v>0</v>
      </c>
      <c r="AH166" s="1116">
        <f t="shared" si="38"/>
        <v>0</v>
      </c>
      <c r="AI166" s="1116">
        <f t="shared" si="39"/>
        <v>0</v>
      </c>
      <c r="AJ166" s="1606">
        <f t="shared" si="40"/>
        <v>0</v>
      </c>
      <c r="AK166" s="1610"/>
      <c r="AL166" s="1590"/>
      <c r="AM166" s="1590"/>
      <c r="AN166" s="1590"/>
      <c r="AO166" s="1590"/>
      <c r="AP166" s="1611"/>
      <c r="AQ166" s="1614">
        <f t="shared" si="41"/>
        <v>0</v>
      </c>
      <c r="AR166" s="1701"/>
      <c r="AS166" s="1665"/>
      <c r="AT166" s="1648">
        <f t="shared" si="31"/>
        <v>0</v>
      </c>
      <c r="AU166" s="1667"/>
      <c r="AV166" s="935"/>
      <c r="AW166" s="935"/>
      <c r="AX166" s="935"/>
      <c r="AY166" s="722"/>
      <c r="AZ166" s="722"/>
      <c r="BA166" s="722"/>
      <c r="BB166" s="722"/>
      <c r="BC166" s="722"/>
      <c r="BD166" s="722"/>
      <c r="BE166" s="706"/>
      <c r="BF166" s="706"/>
      <c r="BG166" s="694"/>
    </row>
    <row r="167" spans="1:65" ht="15.75" x14ac:dyDescent="0.25">
      <c r="A167" s="1883"/>
      <c r="B167" s="1748"/>
      <c r="C167" s="1884"/>
      <c r="D167" s="1884"/>
      <c r="E167" s="1726">
        <f t="shared" si="32"/>
        <v>0</v>
      </c>
      <c r="F167" s="1722"/>
      <c r="G167" s="1741"/>
      <c r="H167" s="1728"/>
      <c r="I167" s="1743"/>
      <c r="J167" s="1743"/>
      <c r="K167" s="1744"/>
      <c r="L167" s="1734">
        <f t="shared" si="33"/>
        <v>0</v>
      </c>
      <c r="M167" s="1735">
        <f t="shared" si="34"/>
        <v>0</v>
      </c>
      <c r="N167" s="1730"/>
      <c r="O167" s="1730"/>
      <c r="P167" s="1730"/>
      <c r="Q167" s="1730"/>
      <c r="R167" s="1730"/>
      <c r="S167" s="1730"/>
      <c r="T167" s="1730"/>
      <c r="U167" s="1730"/>
      <c r="V167" s="1730"/>
      <c r="W167" s="1730"/>
      <c r="X167" s="1903">
        <f t="shared" si="30"/>
        <v>0</v>
      </c>
      <c r="Y167" s="1733">
        <f t="shared" si="35"/>
        <v>0</v>
      </c>
      <c r="Z167" s="528"/>
      <c r="AA167" s="1620"/>
      <c r="AB167" s="1616"/>
      <c r="AC167" s="1616"/>
      <c r="AD167" s="1616"/>
      <c r="AE167" s="1621"/>
      <c r="AF167" s="1615">
        <f t="shared" si="36"/>
        <v>0</v>
      </c>
      <c r="AG167" s="1116">
        <f t="shared" si="37"/>
        <v>0</v>
      </c>
      <c r="AH167" s="1116">
        <f t="shared" si="38"/>
        <v>0</v>
      </c>
      <c r="AI167" s="1116">
        <f t="shared" si="39"/>
        <v>0</v>
      </c>
      <c r="AJ167" s="1606">
        <f t="shared" si="40"/>
        <v>0</v>
      </c>
      <c r="AK167" s="1610"/>
      <c r="AL167" s="1590"/>
      <c r="AM167" s="1590"/>
      <c r="AN167" s="1590"/>
      <c r="AO167" s="1590"/>
      <c r="AP167" s="1611"/>
      <c r="AQ167" s="1614">
        <f t="shared" si="41"/>
        <v>0</v>
      </c>
      <c r="AR167" s="1701"/>
      <c r="AS167" s="1665"/>
      <c r="AT167" s="1648">
        <f t="shared" si="31"/>
        <v>0</v>
      </c>
      <c r="AU167" s="1667"/>
      <c r="AV167" s="935"/>
      <c r="AW167" s="935"/>
      <c r="AX167" s="935"/>
      <c r="AY167" s="722"/>
      <c r="AZ167" s="722"/>
      <c r="BA167" s="722"/>
      <c r="BB167" s="722"/>
      <c r="BC167" s="722"/>
      <c r="BD167" s="722"/>
      <c r="BE167" s="706"/>
      <c r="BF167" s="706"/>
      <c r="BG167" s="694"/>
      <c r="BM167" s="609"/>
    </row>
    <row r="168" spans="1:65" ht="15.75" x14ac:dyDescent="0.25">
      <c r="A168" s="1883"/>
      <c r="B168" s="1748"/>
      <c r="C168" s="1884"/>
      <c r="D168" s="1884"/>
      <c r="E168" s="1726">
        <f t="shared" si="32"/>
        <v>0</v>
      </c>
      <c r="F168" s="1722"/>
      <c r="G168" s="1741"/>
      <c r="H168" s="1728"/>
      <c r="I168" s="1743"/>
      <c r="J168" s="1743"/>
      <c r="K168" s="1744"/>
      <c r="L168" s="1734">
        <f t="shared" si="33"/>
        <v>0</v>
      </c>
      <c r="M168" s="1735">
        <f t="shared" si="34"/>
        <v>0</v>
      </c>
      <c r="N168" s="1730"/>
      <c r="O168" s="1730"/>
      <c r="P168" s="1730"/>
      <c r="Q168" s="1730"/>
      <c r="R168" s="1730"/>
      <c r="S168" s="1730"/>
      <c r="T168" s="1730"/>
      <c r="U168" s="1730"/>
      <c r="V168" s="1730"/>
      <c r="W168" s="1730"/>
      <c r="X168" s="1903">
        <f t="shared" si="30"/>
        <v>0</v>
      </c>
      <c r="Y168" s="1733">
        <f t="shared" si="35"/>
        <v>0</v>
      </c>
      <c r="Z168" s="528"/>
      <c r="AA168" s="1620"/>
      <c r="AB168" s="1616"/>
      <c r="AC168" s="1616"/>
      <c r="AD168" s="1616"/>
      <c r="AE168" s="1621"/>
      <c r="AF168" s="1615">
        <f t="shared" si="36"/>
        <v>0</v>
      </c>
      <c r="AG168" s="1116">
        <f t="shared" si="37"/>
        <v>0</v>
      </c>
      <c r="AH168" s="1116">
        <f t="shared" si="38"/>
        <v>0</v>
      </c>
      <c r="AI168" s="1116">
        <f t="shared" si="39"/>
        <v>0</v>
      </c>
      <c r="AJ168" s="1606">
        <f t="shared" si="40"/>
        <v>0</v>
      </c>
      <c r="AK168" s="1610"/>
      <c r="AL168" s="1590"/>
      <c r="AM168" s="1590"/>
      <c r="AN168" s="1590"/>
      <c r="AO168" s="1590"/>
      <c r="AP168" s="1611"/>
      <c r="AQ168" s="1614">
        <f t="shared" si="41"/>
        <v>0</v>
      </c>
      <c r="AR168" s="1701"/>
      <c r="AS168" s="1665"/>
      <c r="AT168" s="1648">
        <f t="shared" si="31"/>
        <v>0</v>
      </c>
      <c r="AU168" s="1667"/>
      <c r="AV168" s="935"/>
      <c r="AW168" s="935"/>
      <c r="AX168" s="935"/>
      <c r="AY168" s="722"/>
      <c r="AZ168" s="722"/>
      <c r="BA168" s="722"/>
      <c r="BB168" s="722"/>
      <c r="BC168" s="722"/>
      <c r="BD168" s="722"/>
      <c r="BE168" s="706"/>
      <c r="BF168" s="706"/>
      <c r="BG168" s="694"/>
      <c r="BM168" s="609"/>
    </row>
    <row r="169" spans="1:65" ht="15.75" x14ac:dyDescent="0.25">
      <c r="A169" s="1883"/>
      <c r="B169" s="1748"/>
      <c r="C169" s="1884"/>
      <c r="D169" s="1884"/>
      <c r="E169" s="1726">
        <f t="shared" si="32"/>
        <v>0</v>
      </c>
      <c r="F169" s="1722"/>
      <c r="G169" s="1741"/>
      <c r="H169" s="1728"/>
      <c r="I169" s="1743"/>
      <c r="J169" s="1743"/>
      <c r="K169" s="1744"/>
      <c r="L169" s="1734">
        <f t="shared" si="33"/>
        <v>0</v>
      </c>
      <c r="M169" s="1735">
        <f t="shared" si="34"/>
        <v>0</v>
      </c>
      <c r="N169" s="1730"/>
      <c r="O169" s="1730"/>
      <c r="P169" s="1730"/>
      <c r="Q169" s="1730"/>
      <c r="R169" s="1730"/>
      <c r="S169" s="1730"/>
      <c r="T169" s="1730"/>
      <c r="U169" s="1730"/>
      <c r="V169" s="1730"/>
      <c r="W169" s="1730"/>
      <c r="X169" s="1903">
        <f t="shared" si="30"/>
        <v>0</v>
      </c>
      <c r="Y169" s="1733">
        <f t="shared" si="35"/>
        <v>0</v>
      </c>
      <c r="Z169" s="528"/>
      <c r="AA169" s="1620"/>
      <c r="AB169" s="1616"/>
      <c r="AC169" s="1616"/>
      <c r="AD169" s="1616"/>
      <c r="AE169" s="1621"/>
      <c r="AF169" s="1615">
        <f t="shared" si="36"/>
        <v>0</v>
      </c>
      <c r="AG169" s="1116">
        <f t="shared" si="37"/>
        <v>0</v>
      </c>
      <c r="AH169" s="1116">
        <f t="shared" si="38"/>
        <v>0</v>
      </c>
      <c r="AI169" s="1116">
        <f t="shared" si="39"/>
        <v>0</v>
      </c>
      <c r="AJ169" s="1606">
        <f t="shared" si="40"/>
        <v>0</v>
      </c>
      <c r="AK169" s="1610"/>
      <c r="AL169" s="1590"/>
      <c r="AM169" s="1590"/>
      <c r="AN169" s="1590"/>
      <c r="AO169" s="1590"/>
      <c r="AP169" s="1611"/>
      <c r="AQ169" s="1614">
        <f t="shared" si="41"/>
        <v>0</v>
      </c>
      <c r="AR169" s="1701"/>
      <c r="AS169" s="1665"/>
      <c r="AT169" s="1648">
        <f t="shared" si="31"/>
        <v>0</v>
      </c>
      <c r="AU169" s="1667"/>
      <c r="AV169" s="935"/>
      <c r="AW169" s="935"/>
      <c r="AX169" s="935"/>
      <c r="AY169" s="722"/>
      <c r="AZ169" s="722"/>
      <c r="BA169" s="722"/>
      <c r="BB169" s="722"/>
      <c r="BC169" s="722"/>
      <c r="BD169" s="722"/>
      <c r="BE169" s="706"/>
      <c r="BF169" s="706"/>
      <c r="BG169" s="694"/>
      <c r="BM169" s="609"/>
    </row>
    <row r="170" spans="1:65" ht="15.75" x14ac:dyDescent="0.25">
      <c r="A170" s="1883"/>
      <c r="B170" s="1748"/>
      <c r="C170" s="1884"/>
      <c r="D170" s="1884"/>
      <c r="E170" s="1726">
        <f t="shared" si="32"/>
        <v>0</v>
      </c>
      <c r="F170" s="1722"/>
      <c r="G170" s="1741"/>
      <c r="H170" s="1728"/>
      <c r="I170" s="1743"/>
      <c r="J170" s="1743"/>
      <c r="K170" s="1744"/>
      <c r="L170" s="1734">
        <f t="shared" si="33"/>
        <v>0</v>
      </c>
      <c r="M170" s="1735">
        <f t="shared" si="34"/>
        <v>0</v>
      </c>
      <c r="N170" s="1730"/>
      <c r="O170" s="1730"/>
      <c r="P170" s="1730"/>
      <c r="Q170" s="1730"/>
      <c r="R170" s="1730"/>
      <c r="S170" s="1730"/>
      <c r="T170" s="1730"/>
      <c r="U170" s="1730"/>
      <c r="V170" s="1730"/>
      <c r="W170" s="1730"/>
      <c r="X170" s="1903">
        <f t="shared" si="30"/>
        <v>0</v>
      </c>
      <c r="Y170" s="1733">
        <f t="shared" si="35"/>
        <v>0</v>
      </c>
      <c r="Z170" s="528"/>
      <c r="AA170" s="1620"/>
      <c r="AB170" s="1616"/>
      <c r="AC170" s="1616"/>
      <c r="AD170" s="1616"/>
      <c r="AE170" s="1621"/>
      <c r="AF170" s="1615">
        <f t="shared" si="36"/>
        <v>0</v>
      </c>
      <c r="AG170" s="1116">
        <f t="shared" si="37"/>
        <v>0</v>
      </c>
      <c r="AH170" s="1116">
        <f t="shared" si="38"/>
        <v>0</v>
      </c>
      <c r="AI170" s="1116">
        <f t="shared" si="39"/>
        <v>0</v>
      </c>
      <c r="AJ170" s="1606">
        <f t="shared" si="40"/>
        <v>0</v>
      </c>
      <c r="AK170" s="1610"/>
      <c r="AL170" s="1590"/>
      <c r="AM170" s="1590"/>
      <c r="AN170" s="1590"/>
      <c r="AO170" s="1590"/>
      <c r="AP170" s="1611"/>
      <c r="AQ170" s="1614">
        <f t="shared" si="41"/>
        <v>0</v>
      </c>
      <c r="AR170" s="1701"/>
      <c r="AS170" s="1665"/>
      <c r="AT170" s="1648">
        <f t="shared" si="31"/>
        <v>0</v>
      </c>
      <c r="AU170" s="1667"/>
      <c r="AV170" s="935"/>
      <c r="AW170" s="935"/>
      <c r="AX170" s="935"/>
      <c r="AY170" s="722"/>
      <c r="AZ170" s="722"/>
      <c r="BA170" s="722"/>
      <c r="BB170" s="722"/>
      <c r="BC170" s="722"/>
      <c r="BD170" s="722"/>
      <c r="BE170" s="706"/>
      <c r="BF170" s="706"/>
      <c r="BG170" s="694"/>
      <c r="BM170" s="609"/>
    </row>
    <row r="171" spans="1:65" ht="15.75" x14ac:dyDescent="0.25">
      <c r="A171" s="1883"/>
      <c r="B171" s="1748"/>
      <c r="C171" s="1884"/>
      <c r="D171" s="1884"/>
      <c r="E171" s="1726">
        <f t="shared" si="32"/>
        <v>0</v>
      </c>
      <c r="F171" s="1722"/>
      <c r="G171" s="1741"/>
      <c r="H171" s="1728"/>
      <c r="I171" s="1743"/>
      <c r="J171" s="1743"/>
      <c r="K171" s="1744"/>
      <c r="L171" s="1734">
        <f t="shared" si="33"/>
        <v>0</v>
      </c>
      <c r="M171" s="1735">
        <f t="shared" si="34"/>
        <v>0</v>
      </c>
      <c r="N171" s="1730"/>
      <c r="O171" s="1730"/>
      <c r="P171" s="1730"/>
      <c r="Q171" s="1730"/>
      <c r="R171" s="1730"/>
      <c r="S171" s="1730"/>
      <c r="T171" s="1730"/>
      <c r="U171" s="1730"/>
      <c r="V171" s="1730"/>
      <c r="W171" s="1730"/>
      <c r="X171" s="1903">
        <f t="shared" si="30"/>
        <v>0</v>
      </c>
      <c r="Y171" s="1733">
        <f t="shared" si="35"/>
        <v>0</v>
      </c>
      <c r="Z171" s="528"/>
      <c r="AA171" s="1620"/>
      <c r="AB171" s="1616"/>
      <c r="AC171" s="1616"/>
      <c r="AD171" s="1616"/>
      <c r="AE171" s="1621"/>
      <c r="AF171" s="1615">
        <f t="shared" si="36"/>
        <v>0</v>
      </c>
      <c r="AG171" s="1116">
        <f t="shared" si="37"/>
        <v>0</v>
      </c>
      <c r="AH171" s="1116">
        <f t="shared" si="38"/>
        <v>0</v>
      </c>
      <c r="AI171" s="1116">
        <f t="shared" si="39"/>
        <v>0</v>
      </c>
      <c r="AJ171" s="1606">
        <f t="shared" si="40"/>
        <v>0</v>
      </c>
      <c r="AK171" s="1610"/>
      <c r="AL171" s="1590"/>
      <c r="AM171" s="1590"/>
      <c r="AN171" s="1590"/>
      <c r="AO171" s="1590"/>
      <c r="AP171" s="1611"/>
      <c r="AQ171" s="1614">
        <f t="shared" si="41"/>
        <v>0</v>
      </c>
      <c r="AR171" s="1701"/>
      <c r="AS171" s="1665"/>
      <c r="AT171" s="1648">
        <f t="shared" si="31"/>
        <v>0</v>
      </c>
      <c r="AU171" s="1667"/>
      <c r="AV171" s="935"/>
      <c r="AW171" s="935"/>
      <c r="AX171" s="935"/>
      <c r="AY171" s="722"/>
      <c r="AZ171" s="722"/>
      <c r="BA171" s="722"/>
      <c r="BB171" s="722"/>
      <c r="BC171" s="722"/>
      <c r="BD171" s="722"/>
      <c r="BE171" s="706"/>
      <c r="BF171" s="706"/>
      <c r="BG171" s="694"/>
      <c r="BM171" s="609"/>
    </row>
    <row r="172" spans="1:65" ht="15.75" x14ac:dyDescent="0.25">
      <c r="A172" s="1883"/>
      <c r="B172" s="1748"/>
      <c r="C172" s="1884"/>
      <c r="D172" s="1884"/>
      <c r="E172" s="1726">
        <f t="shared" si="32"/>
        <v>0</v>
      </c>
      <c r="F172" s="1722"/>
      <c r="G172" s="1741"/>
      <c r="H172" s="1728"/>
      <c r="I172" s="1743"/>
      <c r="J172" s="1743"/>
      <c r="K172" s="1744"/>
      <c r="L172" s="1734">
        <f t="shared" si="33"/>
        <v>0</v>
      </c>
      <c r="M172" s="1735">
        <f t="shared" si="34"/>
        <v>0</v>
      </c>
      <c r="N172" s="1730"/>
      <c r="O172" s="1730"/>
      <c r="P172" s="1730"/>
      <c r="Q172" s="1730"/>
      <c r="R172" s="1730"/>
      <c r="S172" s="1730"/>
      <c r="T172" s="1730"/>
      <c r="U172" s="1730"/>
      <c r="V172" s="1730"/>
      <c r="W172" s="1730"/>
      <c r="X172" s="1903">
        <f t="shared" si="30"/>
        <v>0</v>
      </c>
      <c r="Y172" s="1733">
        <f t="shared" si="35"/>
        <v>0</v>
      </c>
      <c r="Z172" s="528"/>
      <c r="AA172" s="1620"/>
      <c r="AB172" s="1616"/>
      <c r="AC172" s="1616"/>
      <c r="AD172" s="1616"/>
      <c r="AE172" s="1621"/>
      <c r="AF172" s="1615">
        <f t="shared" si="36"/>
        <v>0</v>
      </c>
      <c r="AG172" s="1116">
        <f t="shared" si="37"/>
        <v>0</v>
      </c>
      <c r="AH172" s="1116">
        <f t="shared" si="38"/>
        <v>0</v>
      </c>
      <c r="AI172" s="1116">
        <f t="shared" si="39"/>
        <v>0</v>
      </c>
      <c r="AJ172" s="1606">
        <f t="shared" si="40"/>
        <v>0</v>
      </c>
      <c r="AK172" s="1610"/>
      <c r="AL172" s="1590"/>
      <c r="AM172" s="1590"/>
      <c r="AN172" s="1590"/>
      <c r="AO172" s="1590"/>
      <c r="AP172" s="1611"/>
      <c r="AQ172" s="1614">
        <f t="shared" si="41"/>
        <v>0</v>
      </c>
      <c r="AR172" s="1701"/>
      <c r="AS172" s="1665"/>
      <c r="AT172" s="1648">
        <f t="shared" si="31"/>
        <v>0</v>
      </c>
      <c r="AU172" s="1667"/>
      <c r="AV172" s="935"/>
      <c r="AW172" s="935"/>
      <c r="AX172" s="935"/>
      <c r="AY172" s="722"/>
      <c r="AZ172" s="722"/>
      <c r="BA172" s="722"/>
      <c r="BB172" s="722"/>
      <c r="BC172" s="722"/>
      <c r="BD172" s="722"/>
      <c r="BE172" s="706"/>
      <c r="BF172" s="706"/>
      <c r="BG172" s="694"/>
      <c r="BM172" s="609"/>
    </row>
    <row r="173" spans="1:65" ht="15.75" x14ac:dyDescent="0.25">
      <c r="A173" s="1883"/>
      <c r="B173" s="1748"/>
      <c r="C173" s="1884"/>
      <c r="D173" s="1884"/>
      <c r="E173" s="1726">
        <f t="shared" si="32"/>
        <v>0</v>
      </c>
      <c r="F173" s="1722"/>
      <c r="G173" s="1741"/>
      <c r="H173" s="1728"/>
      <c r="I173" s="1743"/>
      <c r="J173" s="1743"/>
      <c r="K173" s="1744"/>
      <c r="L173" s="1734">
        <f t="shared" si="33"/>
        <v>0</v>
      </c>
      <c r="M173" s="1735">
        <f t="shared" si="34"/>
        <v>0</v>
      </c>
      <c r="N173" s="1730"/>
      <c r="O173" s="1730"/>
      <c r="P173" s="1730"/>
      <c r="Q173" s="1730"/>
      <c r="R173" s="1730"/>
      <c r="S173" s="1730"/>
      <c r="T173" s="1730"/>
      <c r="U173" s="1730"/>
      <c r="V173" s="1730"/>
      <c r="W173" s="1730"/>
      <c r="X173" s="1903">
        <f t="shared" si="30"/>
        <v>0</v>
      </c>
      <c r="Y173" s="1733">
        <f t="shared" si="35"/>
        <v>0</v>
      </c>
      <c r="Z173" s="528"/>
      <c r="AA173" s="1620"/>
      <c r="AB173" s="1616"/>
      <c r="AC173" s="1616"/>
      <c r="AD173" s="1616"/>
      <c r="AE173" s="1621"/>
      <c r="AF173" s="1615">
        <f t="shared" si="36"/>
        <v>0</v>
      </c>
      <c r="AG173" s="1116">
        <f t="shared" si="37"/>
        <v>0</v>
      </c>
      <c r="AH173" s="1116">
        <f t="shared" si="38"/>
        <v>0</v>
      </c>
      <c r="AI173" s="1116">
        <f t="shared" si="39"/>
        <v>0</v>
      </c>
      <c r="AJ173" s="1606">
        <f t="shared" si="40"/>
        <v>0</v>
      </c>
      <c r="AK173" s="1610"/>
      <c r="AL173" s="1590"/>
      <c r="AM173" s="1590"/>
      <c r="AN173" s="1590"/>
      <c r="AO173" s="1590"/>
      <c r="AP173" s="1611"/>
      <c r="AQ173" s="1614">
        <f t="shared" si="41"/>
        <v>0</v>
      </c>
      <c r="AR173" s="1701"/>
      <c r="AS173" s="1665"/>
      <c r="AT173" s="1648">
        <f t="shared" si="31"/>
        <v>0</v>
      </c>
      <c r="AU173" s="1667"/>
      <c r="AV173" s="935"/>
      <c r="AW173" s="935"/>
      <c r="AX173" s="935"/>
      <c r="AY173" s="722"/>
      <c r="AZ173" s="722"/>
      <c r="BA173" s="722"/>
      <c r="BB173" s="722"/>
      <c r="BC173" s="722"/>
      <c r="BD173" s="722"/>
      <c r="BE173" s="706"/>
      <c r="BF173" s="706"/>
      <c r="BG173" s="694"/>
      <c r="BM173" s="609"/>
    </row>
    <row r="174" spans="1:65" ht="15.75" x14ac:dyDescent="0.25">
      <c r="A174" s="1883"/>
      <c r="B174" s="1748"/>
      <c r="C174" s="1884"/>
      <c r="D174" s="1884"/>
      <c r="E174" s="1726">
        <f t="shared" si="32"/>
        <v>0</v>
      </c>
      <c r="F174" s="1722"/>
      <c r="G174" s="1741"/>
      <c r="H174" s="1728"/>
      <c r="I174" s="1743"/>
      <c r="J174" s="1743"/>
      <c r="K174" s="1744"/>
      <c r="L174" s="1734">
        <f t="shared" si="33"/>
        <v>0</v>
      </c>
      <c r="M174" s="1735">
        <f t="shared" si="34"/>
        <v>0</v>
      </c>
      <c r="N174" s="1730"/>
      <c r="O174" s="1730"/>
      <c r="P174" s="1730"/>
      <c r="Q174" s="1730"/>
      <c r="R174" s="1730"/>
      <c r="S174" s="1730"/>
      <c r="T174" s="1730"/>
      <c r="U174" s="1730"/>
      <c r="V174" s="1730"/>
      <c r="W174" s="1730"/>
      <c r="X174" s="1903">
        <f t="shared" si="30"/>
        <v>0</v>
      </c>
      <c r="Y174" s="1733">
        <f t="shared" si="35"/>
        <v>0</v>
      </c>
      <c r="Z174" s="528"/>
      <c r="AA174" s="1620"/>
      <c r="AB174" s="1616"/>
      <c r="AC174" s="1616"/>
      <c r="AD174" s="1616"/>
      <c r="AE174" s="1621"/>
      <c r="AF174" s="1615">
        <f t="shared" si="36"/>
        <v>0</v>
      </c>
      <c r="AG174" s="1116">
        <f t="shared" si="37"/>
        <v>0</v>
      </c>
      <c r="AH174" s="1116">
        <f t="shared" si="38"/>
        <v>0</v>
      </c>
      <c r="AI174" s="1116">
        <f t="shared" si="39"/>
        <v>0</v>
      </c>
      <c r="AJ174" s="1606">
        <f t="shared" si="40"/>
        <v>0</v>
      </c>
      <c r="AK174" s="1610"/>
      <c r="AL174" s="1590"/>
      <c r="AM174" s="1590"/>
      <c r="AN174" s="1590"/>
      <c r="AO174" s="1590"/>
      <c r="AP174" s="1611"/>
      <c r="AQ174" s="1614">
        <f t="shared" si="41"/>
        <v>0</v>
      </c>
      <c r="AR174" s="1701"/>
      <c r="AS174" s="1665"/>
      <c r="AT174" s="1648">
        <f t="shared" si="31"/>
        <v>0</v>
      </c>
      <c r="AU174" s="1667"/>
      <c r="AV174" s="935"/>
      <c r="AW174" s="935"/>
      <c r="AX174" s="935"/>
      <c r="AY174" s="722"/>
      <c r="AZ174" s="722"/>
      <c r="BA174" s="722"/>
      <c r="BB174" s="722"/>
      <c r="BC174" s="722"/>
      <c r="BD174" s="722"/>
      <c r="BE174" s="706"/>
      <c r="BF174" s="706"/>
      <c r="BG174" s="694"/>
      <c r="BM174" s="609"/>
    </row>
    <row r="175" spans="1:65" ht="15.75" x14ac:dyDescent="0.25">
      <c r="A175" s="1883"/>
      <c r="B175" s="1748"/>
      <c r="C175" s="1884"/>
      <c r="D175" s="1884"/>
      <c r="E175" s="1726">
        <f t="shared" si="32"/>
        <v>0</v>
      </c>
      <c r="F175" s="1722"/>
      <c r="G175" s="1741"/>
      <c r="H175" s="1728"/>
      <c r="I175" s="1743"/>
      <c r="J175" s="1743"/>
      <c r="K175" s="1744"/>
      <c r="L175" s="1734">
        <f t="shared" si="33"/>
        <v>0</v>
      </c>
      <c r="M175" s="1735">
        <f t="shared" si="34"/>
        <v>0</v>
      </c>
      <c r="N175" s="1730"/>
      <c r="O175" s="1730"/>
      <c r="P175" s="1730"/>
      <c r="Q175" s="1730"/>
      <c r="R175" s="1730"/>
      <c r="S175" s="1730"/>
      <c r="T175" s="1730"/>
      <c r="U175" s="1730"/>
      <c r="V175" s="1730"/>
      <c r="W175" s="1730"/>
      <c r="X175" s="1903">
        <f t="shared" si="30"/>
        <v>0</v>
      </c>
      <c r="Y175" s="1733">
        <f t="shared" si="35"/>
        <v>0</v>
      </c>
      <c r="Z175" s="528"/>
      <c r="AA175" s="1620"/>
      <c r="AB175" s="1616"/>
      <c r="AC175" s="1616"/>
      <c r="AD175" s="1616"/>
      <c r="AE175" s="1621"/>
      <c r="AF175" s="1615">
        <f t="shared" si="36"/>
        <v>0</v>
      </c>
      <c r="AG175" s="1116">
        <f t="shared" si="37"/>
        <v>0</v>
      </c>
      <c r="AH175" s="1116">
        <f t="shared" si="38"/>
        <v>0</v>
      </c>
      <c r="AI175" s="1116">
        <f t="shared" si="39"/>
        <v>0</v>
      </c>
      <c r="AJ175" s="1606">
        <f t="shared" si="40"/>
        <v>0</v>
      </c>
      <c r="AK175" s="1610"/>
      <c r="AL175" s="1590"/>
      <c r="AM175" s="1590"/>
      <c r="AN175" s="1590"/>
      <c r="AO175" s="1590"/>
      <c r="AP175" s="1611"/>
      <c r="AQ175" s="1614">
        <f t="shared" si="41"/>
        <v>0</v>
      </c>
      <c r="AR175" s="1701"/>
      <c r="AS175" s="1665"/>
      <c r="AT175" s="1648">
        <f t="shared" si="31"/>
        <v>0</v>
      </c>
      <c r="AU175" s="1667"/>
      <c r="AV175" s="935"/>
      <c r="AW175" s="935"/>
      <c r="AX175" s="935"/>
      <c r="AY175" s="722"/>
      <c r="AZ175" s="722"/>
      <c r="BA175" s="722"/>
      <c r="BB175" s="722"/>
      <c r="BC175" s="722"/>
      <c r="BD175" s="722"/>
      <c r="BE175" s="706"/>
      <c r="BF175" s="706"/>
      <c r="BG175" s="694"/>
      <c r="BM175" s="609"/>
    </row>
    <row r="176" spans="1:65" ht="15.75" x14ac:dyDescent="0.25">
      <c r="A176" s="1883"/>
      <c r="B176" s="1748"/>
      <c r="C176" s="1884"/>
      <c r="D176" s="1884"/>
      <c r="E176" s="1726">
        <f t="shared" si="32"/>
        <v>0</v>
      </c>
      <c r="F176" s="1722"/>
      <c r="G176" s="1741"/>
      <c r="H176" s="1728"/>
      <c r="I176" s="1743"/>
      <c r="J176" s="1743"/>
      <c r="K176" s="1744"/>
      <c r="L176" s="1734">
        <f t="shared" si="33"/>
        <v>0</v>
      </c>
      <c r="M176" s="1735">
        <f t="shared" si="34"/>
        <v>0</v>
      </c>
      <c r="N176" s="1730"/>
      <c r="O176" s="1730"/>
      <c r="P176" s="1730"/>
      <c r="Q176" s="1730"/>
      <c r="R176" s="1730"/>
      <c r="S176" s="1730"/>
      <c r="T176" s="1730"/>
      <c r="U176" s="1730"/>
      <c r="V176" s="1730"/>
      <c r="W176" s="1730"/>
      <c r="X176" s="1903">
        <f t="shared" si="30"/>
        <v>0</v>
      </c>
      <c r="Y176" s="1733">
        <f t="shared" si="35"/>
        <v>0</v>
      </c>
      <c r="Z176" s="528"/>
      <c r="AA176" s="1620"/>
      <c r="AB176" s="1616"/>
      <c r="AC176" s="1616"/>
      <c r="AD176" s="1616"/>
      <c r="AE176" s="1621"/>
      <c r="AF176" s="1615">
        <f t="shared" si="36"/>
        <v>0</v>
      </c>
      <c r="AG176" s="1116">
        <f t="shared" si="37"/>
        <v>0</v>
      </c>
      <c r="AH176" s="1116">
        <f t="shared" si="38"/>
        <v>0</v>
      </c>
      <c r="AI176" s="1116">
        <f t="shared" si="39"/>
        <v>0</v>
      </c>
      <c r="AJ176" s="1606">
        <f t="shared" si="40"/>
        <v>0</v>
      </c>
      <c r="AK176" s="1610"/>
      <c r="AL176" s="1590"/>
      <c r="AM176" s="1590"/>
      <c r="AN176" s="1590"/>
      <c r="AO176" s="1590"/>
      <c r="AP176" s="1611"/>
      <c r="AQ176" s="1614">
        <f t="shared" si="41"/>
        <v>0</v>
      </c>
      <c r="AR176" s="1701"/>
      <c r="AS176" s="1665"/>
      <c r="AT176" s="1648">
        <f t="shared" si="31"/>
        <v>0</v>
      </c>
      <c r="AU176" s="1667"/>
      <c r="AV176" s="935"/>
      <c r="AW176" s="935"/>
      <c r="AX176" s="935"/>
      <c r="AY176" s="722"/>
      <c r="AZ176" s="722"/>
      <c r="BA176" s="722"/>
      <c r="BB176" s="722"/>
      <c r="BC176" s="722"/>
      <c r="BD176" s="722"/>
      <c r="BE176" s="706"/>
      <c r="BF176" s="706"/>
      <c r="BG176" s="694"/>
      <c r="BM176" s="609"/>
    </row>
    <row r="177" spans="1:65" ht="15.75" x14ac:dyDescent="0.25">
      <c r="A177" s="1883"/>
      <c r="B177" s="1748"/>
      <c r="C177" s="1884"/>
      <c r="D177" s="1884"/>
      <c r="E177" s="1726">
        <f t="shared" si="32"/>
        <v>0</v>
      </c>
      <c r="F177" s="1722"/>
      <c r="G177" s="1741"/>
      <c r="H177" s="1728"/>
      <c r="I177" s="1743"/>
      <c r="J177" s="1743"/>
      <c r="K177" s="1744"/>
      <c r="L177" s="1734">
        <f t="shared" si="33"/>
        <v>0</v>
      </c>
      <c r="M177" s="1735">
        <f t="shared" si="34"/>
        <v>0</v>
      </c>
      <c r="N177" s="1730"/>
      <c r="O177" s="1730"/>
      <c r="P177" s="1730"/>
      <c r="Q177" s="1730"/>
      <c r="R177" s="1730"/>
      <c r="S177" s="1730"/>
      <c r="T177" s="1730"/>
      <c r="U177" s="1730"/>
      <c r="V177" s="1730"/>
      <c r="W177" s="1730"/>
      <c r="X177" s="1903">
        <f t="shared" si="30"/>
        <v>0</v>
      </c>
      <c r="Y177" s="1733">
        <f t="shared" si="35"/>
        <v>0</v>
      </c>
      <c r="Z177" s="528"/>
      <c r="AA177" s="1620"/>
      <c r="AB177" s="1616"/>
      <c r="AC177" s="1616"/>
      <c r="AD177" s="1616"/>
      <c r="AE177" s="1621"/>
      <c r="AF177" s="1615">
        <f t="shared" si="36"/>
        <v>0</v>
      </c>
      <c r="AG177" s="1116">
        <f t="shared" si="37"/>
        <v>0</v>
      </c>
      <c r="AH177" s="1116">
        <f t="shared" si="38"/>
        <v>0</v>
      </c>
      <c r="AI177" s="1116">
        <f t="shared" si="39"/>
        <v>0</v>
      </c>
      <c r="AJ177" s="1606">
        <f t="shared" si="40"/>
        <v>0</v>
      </c>
      <c r="AK177" s="1610"/>
      <c r="AL177" s="1590"/>
      <c r="AM177" s="1590"/>
      <c r="AN177" s="1590"/>
      <c r="AO177" s="1590"/>
      <c r="AP177" s="1611"/>
      <c r="AQ177" s="1614">
        <f t="shared" si="41"/>
        <v>0</v>
      </c>
      <c r="AR177" s="1701"/>
      <c r="AS177" s="1665"/>
      <c r="AT177" s="1648">
        <f t="shared" si="31"/>
        <v>0</v>
      </c>
      <c r="AU177" s="1667"/>
      <c r="AV177" s="935"/>
      <c r="AW177" s="935"/>
      <c r="AX177" s="935"/>
      <c r="AY177" s="722"/>
      <c r="AZ177" s="722"/>
      <c r="BA177" s="722"/>
      <c r="BB177" s="722"/>
      <c r="BC177" s="722"/>
      <c r="BD177" s="722"/>
      <c r="BE177" s="706"/>
      <c r="BF177" s="706"/>
      <c r="BG177" s="694"/>
      <c r="BM177" s="609"/>
    </row>
    <row r="178" spans="1:65" ht="15.75" x14ac:dyDescent="0.25">
      <c r="A178" s="1883"/>
      <c r="B178" s="1748"/>
      <c r="C178" s="1884"/>
      <c r="D178" s="1884"/>
      <c r="E178" s="1726">
        <f t="shared" si="32"/>
        <v>0</v>
      </c>
      <c r="F178" s="1722"/>
      <c r="G178" s="1741"/>
      <c r="H178" s="1728"/>
      <c r="I178" s="1743"/>
      <c r="J178" s="1743"/>
      <c r="K178" s="1744"/>
      <c r="L178" s="1734">
        <f t="shared" si="33"/>
        <v>0</v>
      </c>
      <c r="M178" s="1735">
        <f t="shared" si="34"/>
        <v>0</v>
      </c>
      <c r="N178" s="1730"/>
      <c r="O178" s="1730"/>
      <c r="P178" s="1730"/>
      <c r="Q178" s="1730"/>
      <c r="R178" s="1730"/>
      <c r="S178" s="1730"/>
      <c r="T178" s="1730"/>
      <c r="U178" s="1730"/>
      <c r="V178" s="1730"/>
      <c r="W178" s="1730"/>
      <c r="X178" s="1903">
        <f t="shared" si="30"/>
        <v>0</v>
      </c>
      <c r="Y178" s="1733">
        <f t="shared" si="35"/>
        <v>0</v>
      </c>
      <c r="Z178" s="528"/>
      <c r="AA178" s="1620"/>
      <c r="AB178" s="1616"/>
      <c r="AC178" s="1616"/>
      <c r="AD178" s="1616"/>
      <c r="AE178" s="1621"/>
      <c r="AF178" s="1615">
        <f t="shared" si="36"/>
        <v>0</v>
      </c>
      <c r="AG178" s="1116">
        <f t="shared" si="37"/>
        <v>0</v>
      </c>
      <c r="AH178" s="1116">
        <f t="shared" si="38"/>
        <v>0</v>
      </c>
      <c r="AI178" s="1116">
        <f t="shared" si="39"/>
        <v>0</v>
      </c>
      <c r="AJ178" s="1606">
        <f t="shared" si="40"/>
        <v>0</v>
      </c>
      <c r="AK178" s="1610"/>
      <c r="AL178" s="1590"/>
      <c r="AM178" s="1590"/>
      <c r="AN178" s="1590"/>
      <c r="AO178" s="1590"/>
      <c r="AP178" s="1611"/>
      <c r="AQ178" s="1614">
        <f t="shared" si="41"/>
        <v>0</v>
      </c>
      <c r="AR178" s="1701"/>
      <c r="AS178" s="1665"/>
      <c r="AT178" s="1648">
        <f t="shared" si="31"/>
        <v>0</v>
      </c>
      <c r="AU178" s="1667"/>
      <c r="AV178" s="935"/>
      <c r="AW178" s="935"/>
      <c r="AX178" s="935"/>
      <c r="AY178" s="722"/>
      <c r="AZ178" s="722"/>
      <c r="BA178" s="722"/>
      <c r="BB178" s="722"/>
      <c r="BC178" s="722"/>
      <c r="BD178" s="722"/>
      <c r="BE178" s="706"/>
      <c r="BF178" s="706"/>
      <c r="BG178" s="694"/>
      <c r="BL178" s="608"/>
      <c r="BM178" s="609"/>
    </row>
    <row r="179" spans="1:65" ht="15.75" x14ac:dyDescent="0.25">
      <c r="A179" s="1883"/>
      <c r="B179" s="1748"/>
      <c r="C179" s="1884"/>
      <c r="D179" s="1884"/>
      <c r="E179" s="1726">
        <f t="shared" si="32"/>
        <v>0</v>
      </c>
      <c r="F179" s="1722"/>
      <c r="G179" s="1741"/>
      <c r="H179" s="1728"/>
      <c r="I179" s="1743"/>
      <c r="J179" s="1743"/>
      <c r="K179" s="1744"/>
      <c r="L179" s="1734">
        <f t="shared" si="33"/>
        <v>0</v>
      </c>
      <c r="M179" s="1735">
        <f t="shared" si="34"/>
        <v>0</v>
      </c>
      <c r="N179" s="1730"/>
      <c r="O179" s="1730"/>
      <c r="P179" s="1730"/>
      <c r="Q179" s="1730"/>
      <c r="R179" s="1730"/>
      <c r="S179" s="1730"/>
      <c r="T179" s="1730"/>
      <c r="U179" s="1730"/>
      <c r="V179" s="1730"/>
      <c r="W179" s="1730"/>
      <c r="X179" s="1903">
        <f t="shared" si="30"/>
        <v>0</v>
      </c>
      <c r="Y179" s="1733">
        <f t="shared" si="35"/>
        <v>0</v>
      </c>
      <c r="Z179" s="528"/>
      <c r="AA179" s="1620"/>
      <c r="AB179" s="1616"/>
      <c r="AC179" s="1616"/>
      <c r="AD179" s="1616"/>
      <c r="AE179" s="1621"/>
      <c r="AF179" s="1615">
        <f t="shared" si="36"/>
        <v>0</v>
      </c>
      <c r="AG179" s="1116">
        <f t="shared" si="37"/>
        <v>0</v>
      </c>
      <c r="AH179" s="1116">
        <f t="shared" si="38"/>
        <v>0</v>
      </c>
      <c r="AI179" s="1116">
        <f t="shared" si="39"/>
        <v>0</v>
      </c>
      <c r="AJ179" s="1606">
        <f t="shared" si="40"/>
        <v>0</v>
      </c>
      <c r="AK179" s="1610"/>
      <c r="AL179" s="1590"/>
      <c r="AM179" s="1590"/>
      <c r="AN179" s="1590"/>
      <c r="AO179" s="1590"/>
      <c r="AP179" s="1611"/>
      <c r="AQ179" s="1614">
        <f t="shared" si="41"/>
        <v>0</v>
      </c>
      <c r="AR179" s="1701"/>
      <c r="AS179" s="1665"/>
      <c r="AT179" s="1648">
        <f t="shared" si="31"/>
        <v>0</v>
      </c>
      <c r="AU179" s="1667"/>
      <c r="AV179" s="935"/>
      <c r="AW179" s="935"/>
      <c r="AX179" s="935"/>
      <c r="AY179" s="722"/>
      <c r="AZ179" s="722"/>
      <c r="BA179" s="722"/>
      <c r="BB179" s="722"/>
      <c r="BC179" s="722"/>
      <c r="BD179" s="722"/>
      <c r="BE179" s="706"/>
      <c r="BF179" s="706"/>
      <c r="BG179" s="694"/>
      <c r="BM179" s="609"/>
    </row>
    <row r="180" spans="1:65" ht="15.75" x14ac:dyDescent="0.25">
      <c r="A180" s="1883"/>
      <c r="B180" s="1748"/>
      <c r="C180" s="1884"/>
      <c r="D180" s="1884"/>
      <c r="E180" s="1726">
        <f t="shared" si="32"/>
        <v>0</v>
      </c>
      <c r="F180" s="1722"/>
      <c r="G180" s="1741"/>
      <c r="H180" s="1728"/>
      <c r="I180" s="1743"/>
      <c r="J180" s="1743"/>
      <c r="K180" s="1744"/>
      <c r="L180" s="1734">
        <f t="shared" si="33"/>
        <v>0</v>
      </c>
      <c r="M180" s="1735">
        <f t="shared" si="34"/>
        <v>0</v>
      </c>
      <c r="N180" s="1730"/>
      <c r="O180" s="1730"/>
      <c r="P180" s="1730"/>
      <c r="Q180" s="1730"/>
      <c r="R180" s="1730"/>
      <c r="S180" s="1730"/>
      <c r="T180" s="1730"/>
      <c r="U180" s="1730"/>
      <c r="V180" s="1730"/>
      <c r="W180" s="1730"/>
      <c r="X180" s="1903">
        <f t="shared" si="30"/>
        <v>0</v>
      </c>
      <c r="Y180" s="1733">
        <f t="shared" si="35"/>
        <v>0</v>
      </c>
      <c r="Z180" s="528"/>
      <c r="AA180" s="1620"/>
      <c r="AB180" s="1616"/>
      <c r="AC180" s="1616"/>
      <c r="AD180" s="1616"/>
      <c r="AE180" s="1621"/>
      <c r="AF180" s="1615">
        <f t="shared" si="36"/>
        <v>0</v>
      </c>
      <c r="AG180" s="1116">
        <f t="shared" si="37"/>
        <v>0</v>
      </c>
      <c r="AH180" s="1116">
        <f t="shared" si="38"/>
        <v>0</v>
      </c>
      <c r="AI180" s="1116">
        <f t="shared" si="39"/>
        <v>0</v>
      </c>
      <c r="AJ180" s="1606">
        <f t="shared" si="40"/>
        <v>0</v>
      </c>
      <c r="AK180" s="1610"/>
      <c r="AL180" s="1590"/>
      <c r="AM180" s="1590"/>
      <c r="AN180" s="1590"/>
      <c r="AO180" s="1590"/>
      <c r="AP180" s="1611"/>
      <c r="AQ180" s="1614">
        <f t="shared" si="41"/>
        <v>0</v>
      </c>
      <c r="AR180" s="1701"/>
      <c r="AS180" s="1665"/>
      <c r="AT180" s="1648">
        <f t="shared" si="31"/>
        <v>0</v>
      </c>
      <c r="AU180" s="1667"/>
      <c r="AV180" s="935"/>
      <c r="AW180" s="935"/>
      <c r="AX180" s="935"/>
      <c r="AY180" s="722"/>
      <c r="AZ180" s="722"/>
      <c r="BA180" s="722"/>
      <c r="BB180" s="722"/>
      <c r="BC180" s="722"/>
      <c r="BD180" s="722"/>
      <c r="BE180" s="706"/>
      <c r="BF180" s="706"/>
      <c r="BG180" s="694"/>
      <c r="BM180" s="609"/>
    </row>
    <row r="181" spans="1:65" ht="15.75" x14ac:dyDescent="0.25">
      <c r="A181" s="1883"/>
      <c r="B181" s="1748"/>
      <c r="C181" s="1884"/>
      <c r="D181" s="1884"/>
      <c r="E181" s="1726">
        <f t="shared" si="32"/>
        <v>0</v>
      </c>
      <c r="F181" s="1722"/>
      <c r="G181" s="1741"/>
      <c r="H181" s="1728"/>
      <c r="I181" s="1743"/>
      <c r="J181" s="1743"/>
      <c r="K181" s="1744"/>
      <c r="L181" s="1734">
        <f t="shared" si="33"/>
        <v>0</v>
      </c>
      <c r="M181" s="1735">
        <f t="shared" si="34"/>
        <v>0</v>
      </c>
      <c r="N181" s="1730"/>
      <c r="O181" s="1730"/>
      <c r="P181" s="1730"/>
      <c r="Q181" s="1730"/>
      <c r="R181" s="1730"/>
      <c r="S181" s="1730"/>
      <c r="T181" s="1730"/>
      <c r="U181" s="1730"/>
      <c r="V181" s="1730"/>
      <c r="W181" s="1730"/>
      <c r="X181" s="1903">
        <f t="shared" si="30"/>
        <v>0</v>
      </c>
      <c r="Y181" s="1733">
        <f t="shared" si="35"/>
        <v>0</v>
      </c>
      <c r="Z181" s="528"/>
      <c r="AA181" s="1620"/>
      <c r="AB181" s="1616"/>
      <c r="AC181" s="1616"/>
      <c r="AD181" s="1616"/>
      <c r="AE181" s="1621"/>
      <c r="AF181" s="1615">
        <f t="shared" si="36"/>
        <v>0</v>
      </c>
      <c r="AG181" s="1116">
        <f t="shared" si="37"/>
        <v>0</v>
      </c>
      <c r="AH181" s="1116">
        <f t="shared" si="38"/>
        <v>0</v>
      </c>
      <c r="AI181" s="1116">
        <f t="shared" si="39"/>
        <v>0</v>
      </c>
      <c r="AJ181" s="1606">
        <f t="shared" si="40"/>
        <v>0</v>
      </c>
      <c r="AK181" s="1610"/>
      <c r="AL181" s="1590"/>
      <c r="AM181" s="1590"/>
      <c r="AN181" s="1590"/>
      <c r="AO181" s="1590"/>
      <c r="AP181" s="1611"/>
      <c r="AQ181" s="1614">
        <f t="shared" si="41"/>
        <v>0</v>
      </c>
      <c r="AR181" s="1701"/>
      <c r="AS181" s="1665"/>
      <c r="AT181" s="1648">
        <f t="shared" si="31"/>
        <v>0</v>
      </c>
      <c r="AU181" s="1667"/>
      <c r="AV181" s="935"/>
      <c r="AW181" s="935"/>
      <c r="AX181" s="935"/>
      <c r="AY181" s="722"/>
      <c r="AZ181" s="722"/>
      <c r="BA181" s="722"/>
      <c r="BB181" s="722"/>
      <c r="BC181" s="722"/>
      <c r="BD181" s="722"/>
      <c r="BE181" s="706"/>
      <c r="BF181" s="706"/>
      <c r="BG181" s="694"/>
      <c r="BM181" s="609"/>
    </row>
    <row r="182" spans="1:65" ht="15.75" x14ac:dyDescent="0.25">
      <c r="A182" s="1883"/>
      <c r="B182" s="1748"/>
      <c r="C182" s="1884"/>
      <c r="D182" s="1884"/>
      <c r="E182" s="1726">
        <f t="shared" si="32"/>
        <v>0</v>
      </c>
      <c r="F182" s="1722"/>
      <c r="G182" s="1741"/>
      <c r="H182" s="1728"/>
      <c r="I182" s="1743"/>
      <c r="J182" s="1743"/>
      <c r="K182" s="1744"/>
      <c r="L182" s="1734">
        <f t="shared" si="33"/>
        <v>0</v>
      </c>
      <c r="M182" s="1735">
        <f t="shared" si="34"/>
        <v>0</v>
      </c>
      <c r="N182" s="1730"/>
      <c r="O182" s="1730"/>
      <c r="P182" s="1730"/>
      <c r="Q182" s="1730"/>
      <c r="R182" s="1730"/>
      <c r="S182" s="1730"/>
      <c r="T182" s="1730"/>
      <c r="U182" s="1730"/>
      <c r="V182" s="1730"/>
      <c r="W182" s="1730"/>
      <c r="X182" s="1903">
        <f t="shared" si="30"/>
        <v>0</v>
      </c>
      <c r="Y182" s="1733">
        <f t="shared" si="35"/>
        <v>0</v>
      </c>
      <c r="Z182" s="528"/>
      <c r="AA182" s="1620"/>
      <c r="AB182" s="1616"/>
      <c r="AC182" s="1616"/>
      <c r="AD182" s="1616"/>
      <c r="AE182" s="1621"/>
      <c r="AF182" s="1615">
        <f t="shared" si="36"/>
        <v>0</v>
      </c>
      <c r="AG182" s="1116">
        <f t="shared" si="37"/>
        <v>0</v>
      </c>
      <c r="AH182" s="1116">
        <f t="shared" si="38"/>
        <v>0</v>
      </c>
      <c r="AI182" s="1116">
        <f t="shared" si="39"/>
        <v>0</v>
      </c>
      <c r="AJ182" s="1606">
        <f t="shared" si="40"/>
        <v>0</v>
      </c>
      <c r="AK182" s="1610"/>
      <c r="AL182" s="1590"/>
      <c r="AM182" s="1590"/>
      <c r="AN182" s="1590"/>
      <c r="AO182" s="1590"/>
      <c r="AP182" s="1611"/>
      <c r="AQ182" s="1614">
        <f t="shared" si="41"/>
        <v>0</v>
      </c>
      <c r="AR182" s="1701"/>
      <c r="AS182" s="1665"/>
      <c r="AT182" s="1648">
        <f t="shared" si="31"/>
        <v>0</v>
      </c>
      <c r="AU182" s="1667"/>
      <c r="AV182" s="935"/>
      <c r="AW182" s="935"/>
      <c r="AX182" s="935"/>
      <c r="AY182" s="722"/>
      <c r="AZ182" s="722"/>
      <c r="BA182" s="722"/>
      <c r="BB182" s="722"/>
      <c r="BC182" s="722"/>
      <c r="BD182" s="722"/>
      <c r="BE182" s="706"/>
      <c r="BF182" s="706"/>
      <c r="BG182" s="694"/>
      <c r="BM182" s="609"/>
    </row>
    <row r="183" spans="1:65" ht="15.75" x14ac:dyDescent="0.25">
      <c r="A183" s="1883"/>
      <c r="B183" s="1748"/>
      <c r="C183" s="1884"/>
      <c r="D183" s="1884"/>
      <c r="E183" s="1726">
        <f t="shared" si="32"/>
        <v>0</v>
      </c>
      <c r="F183" s="1722"/>
      <c r="G183" s="1741"/>
      <c r="H183" s="1728"/>
      <c r="I183" s="1743"/>
      <c r="J183" s="1743"/>
      <c r="K183" s="1744"/>
      <c r="L183" s="1734">
        <f t="shared" si="33"/>
        <v>0</v>
      </c>
      <c r="M183" s="1735">
        <f t="shared" si="34"/>
        <v>0</v>
      </c>
      <c r="N183" s="1730"/>
      <c r="O183" s="1730"/>
      <c r="P183" s="1730"/>
      <c r="Q183" s="1730"/>
      <c r="R183" s="1730"/>
      <c r="S183" s="1730"/>
      <c r="T183" s="1730"/>
      <c r="U183" s="1730"/>
      <c r="V183" s="1730"/>
      <c r="W183" s="1730"/>
      <c r="X183" s="1903">
        <f t="shared" si="30"/>
        <v>0</v>
      </c>
      <c r="Y183" s="1733">
        <f t="shared" si="35"/>
        <v>0</v>
      </c>
      <c r="Z183" s="528"/>
      <c r="AA183" s="1620"/>
      <c r="AB183" s="1616"/>
      <c r="AC183" s="1616"/>
      <c r="AD183" s="1616"/>
      <c r="AE183" s="1621"/>
      <c r="AF183" s="1615">
        <f t="shared" si="36"/>
        <v>0</v>
      </c>
      <c r="AG183" s="1116">
        <f t="shared" si="37"/>
        <v>0</v>
      </c>
      <c r="AH183" s="1116">
        <f t="shared" si="38"/>
        <v>0</v>
      </c>
      <c r="AI183" s="1116">
        <f t="shared" si="39"/>
        <v>0</v>
      </c>
      <c r="AJ183" s="1606">
        <f t="shared" si="40"/>
        <v>0</v>
      </c>
      <c r="AK183" s="1610"/>
      <c r="AL183" s="1590"/>
      <c r="AM183" s="1590"/>
      <c r="AN183" s="1590"/>
      <c r="AO183" s="1590"/>
      <c r="AP183" s="1611"/>
      <c r="AQ183" s="1614">
        <f t="shared" si="41"/>
        <v>0</v>
      </c>
      <c r="AR183" s="1701"/>
      <c r="AS183" s="1665"/>
      <c r="AT183" s="1648">
        <f t="shared" si="31"/>
        <v>0</v>
      </c>
      <c r="AU183" s="1667"/>
      <c r="AV183" s="935"/>
      <c r="AW183" s="935"/>
      <c r="AX183" s="935"/>
      <c r="AY183" s="722"/>
      <c r="AZ183" s="722"/>
      <c r="BA183" s="722"/>
      <c r="BB183" s="722"/>
      <c r="BC183" s="722"/>
      <c r="BD183" s="722"/>
      <c r="BE183" s="706"/>
      <c r="BF183" s="706"/>
      <c r="BG183" s="694"/>
      <c r="BM183" s="609"/>
    </row>
    <row r="184" spans="1:65" ht="15.75" x14ac:dyDescent="0.25">
      <c r="A184" s="1883"/>
      <c r="B184" s="1748"/>
      <c r="C184" s="1884"/>
      <c r="D184" s="1884"/>
      <c r="E184" s="1726">
        <f t="shared" si="32"/>
        <v>0</v>
      </c>
      <c r="F184" s="1722"/>
      <c r="G184" s="1741"/>
      <c r="H184" s="1728"/>
      <c r="I184" s="1743"/>
      <c r="J184" s="1743"/>
      <c r="K184" s="1744"/>
      <c r="L184" s="1734">
        <f t="shared" si="33"/>
        <v>0</v>
      </c>
      <c r="M184" s="1735">
        <f t="shared" si="34"/>
        <v>0</v>
      </c>
      <c r="N184" s="1730"/>
      <c r="O184" s="1730"/>
      <c r="P184" s="1730"/>
      <c r="Q184" s="1730"/>
      <c r="R184" s="1730"/>
      <c r="S184" s="1730"/>
      <c r="T184" s="1730"/>
      <c r="U184" s="1730"/>
      <c r="V184" s="1730"/>
      <c r="W184" s="1730"/>
      <c r="X184" s="1903">
        <f t="shared" si="30"/>
        <v>0</v>
      </c>
      <c r="Y184" s="1733">
        <f t="shared" si="35"/>
        <v>0</v>
      </c>
      <c r="Z184" s="528"/>
      <c r="AA184" s="1620"/>
      <c r="AB184" s="1616"/>
      <c r="AC184" s="1616"/>
      <c r="AD184" s="1616"/>
      <c r="AE184" s="1621"/>
      <c r="AF184" s="1615">
        <f t="shared" si="36"/>
        <v>0</v>
      </c>
      <c r="AG184" s="1116">
        <f t="shared" si="37"/>
        <v>0</v>
      </c>
      <c r="AH184" s="1116">
        <f t="shared" si="38"/>
        <v>0</v>
      </c>
      <c r="AI184" s="1116">
        <f t="shared" si="39"/>
        <v>0</v>
      </c>
      <c r="AJ184" s="1606">
        <f t="shared" si="40"/>
        <v>0</v>
      </c>
      <c r="AK184" s="1610"/>
      <c r="AL184" s="1590"/>
      <c r="AM184" s="1590"/>
      <c r="AN184" s="1590"/>
      <c r="AO184" s="1590"/>
      <c r="AP184" s="1611"/>
      <c r="AQ184" s="1614">
        <f t="shared" si="41"/>
        <v>0</v>
      </c>
      <c r="AR184" s="1701"/>
      <c r="AS184" s="1665"/>
      <c r="AT184" s="1648">
        <f t="shared" si="31"/>
        <v>0</v>
      </c>
      <c r="AU184" s="1667"/>
      <c r="AV184" s="935"/>
      <c r="AW184" s="935"/>
      <c r="AX184" s="935"/>
      <c r="AY184" s="722"/>
      <c r="AZ184" s="722"/>
      <c r="BA184" s="722"/>
      <c r="BB184" s="722"/>
      <c r="BC184" s="722"/>
      <c r="BD184" s="722"/>
      <c r="BE184" s="706"/>
      <c r="BF184" s="706"/>
      <c r="BG184" s="694"/>
      <c r="BM184" s="609"/>
    </row>
    <row r="185" spans="1:65" ht="15.75" x14ac:dyDescent="0.25">
      <c r="A185" s="1883"/>
      <c r="B185" s="1748"/>
      <c r="C185" s="1884"/>
      <c r="D185" s="1884"/>
      <c r="E185" s="1726">
        <f t="shared" si="32"/>
        <v>0</v>
      </c>
      <c r="F185" s="1722"/>
      <c r="G185" s="1741"/>
      <c r="H185" s="1728"/>
      <c r="I185" s="1743"/>
      <c r="J185" s="1743"/>
      <c r="K185" s="1744"/>
      <c r="L185" s="1734">
        <f t="shared" si="33"/>
        <v>0</v>
      </c>
      <c r="M185" s="1735">
        <f t="shared" si="34"/>
        <v>0</v>
      </c>
      <c r="N185" s="1730"/>
      <c r="O185" s="1730"/>
      <c r="P185" s="1730"/>
      <c r="Q185" s="1730"/>
      <c r="R185" s="1730"/>
      <c r="S185" s="1730"/>
      <c r="T185" s="1730"/>
      <c r="U185" s="1730"/>
      <c r="V185" s="1730"/>
      <c r="W185" s="1730"/>
      <c r="X185" s="1903">
        <f t="shared" si="30"/>
        <v>0</v>
      </c>
      <c r="Y185" s="1733">
        <f t="shared" si="35"/>
        <v>0</v>
      </c>
      <c r="Z185" s="528"/>
      <c r="AA185" s="1620"/>
      <c r="AB185" s="1616"/>
      <c r="AC185" s="1616"/>
      <c r="AD185" s="1616"/>
      <c r="AE185" s="1621"/>
      <c r="AF185" s="1615">
        <f t="shared" si="36"/>
        <v>0</v>
      </c>
      <c r="AG185" s="1116">
        <f t="shared" si="37"/>
        <v>0</v>
      </c>
      <c r="AH185" s="1116">
        <f t="shared" si="38"/>
        <v>0</v>
      </c>
      <c r="AI185" s="1116">
        <f t="shared" si="39"/>
        <v>0</v>
      </c>
      <c r="AJ185" s="1606">
        <f t="shared" si="40"/>
        <v>0</v>
      </c>
      <c r="AK185" s="1610"/>
      <c r="AL185" s="1590"/>
      <c r="AM185" s="1590"/>
      <c r="AN185" s="1590"/>
      <c r="AO185" s="1590"/>
      <c r="AP185" s="1611"/>
      <c r="AQ185" s="1614">
        <f t="shared" si="41"/>
        <v>0</v>
      </c>
      <c r="AR185" s="1701"/>
      <c r="AS185" s="1665"/>
      <c r="AT185" s="1648">
        <f t="shared" si="31"/>
        <v>0</v>
      </c>
      <c r="AU185" s="1667"/>
      <c r="AV185" s="935"/>
      <c r="AW185" s="935"/>
      <c r="AX185" s="935"/>
      <c r="AY185" s="722"/>
      <c r="AZ185" s="722"/>
      <c r="BA185" s="722"/>
      <c r="BB185" s="722"/>
      <c r="BC185" s="722"/>
      <c r="BD185" s="722"/>
      <c r="BE185" s="706"/>
      <c r="BF185" s="706"/>
      <c r="BG185" s="694"/>
      <c r="BM185" s="609"/>
    </row>
    <row r="186" spans="1:65" ht="15.75" x14ac:dyDescent="0.25">
      <c r="A186" s="1883"/>
      <c r="B186" s="1748"/>
      <c r="C186" s="1884"/>
      <c r="D186" s="1884"/>
      <c r="E186" s="1726">
        <f t="shared" si="32"/>
        <v>0</v>
      </c>
      <c r="F186" s="1722"/>
      <c r="G186" s="1741"/>
      <c r="H186" s="1728"/>
      <c r="I186" s="1743"/>
      <c r="J186" s="1743"/>
      <c r="K186" s="1744"/>
      <c r="L186" s="1734">
        <f t="shared" si="33"/>
        <v>0</v>
      </c>
      <c r="M186" s="1735">
        <f t="shared" si="34"/>
        <v>0</v>
      </c>
      <c r="N186" s="1730"/>
      <c r="O186" s="1730"/>
      <c r="P186" s="1730"/>
      <c r="Q186" s="1730"/>
      <c r="R186" s="1730"/>
      <c r="S186" s="1730"/>
      <c r="T186" s="1730"/>
      <c r="U186" s="1730"/>
      <c r="V186" s="1730"/>
      <c r="W186" s="1730"/>
      <c r="X186" s="1903">
        <f t="shared" si="30"/>
        <v>0</v>
      </c>
      <c r="Y186" s="1733">
        <f t="shared" si="35"/>
        <v>0</v>
      </c>
      <c r="Z186" s="528"/>
      <c r="AA186" s="1620"/>
      <c r="AB186" s="1616"/>
      <c r="AC186" s="1616"/>
      <c r="AD186" s="1616"/>
      <c r="AE186" s="1621"/>
      <c r="AF186" s="1615">
        <f t="shared" si="36"/>
        <v>0</v>
      </c>
      <c r="AG186" s="1116">
        <f t="shared" si="37"/>
        <v>0</v>
      </c>
      <c r="AH186" s="1116">
        <f t="shared" si="38"/>
        <v>0</v>
      </c>
      <c r="AI186" s="1116">
        <f t="shared" si="39"/>
        <v>0</v>
      </c>
      <c r="AJ186" s="1606">
        <f t="shared" si="40"/>
        <v>0</v>
      </c>
      <c r="AK186" s="1610"/>
      <c r="AL186" s="1590"/>
      <c r="AM186" s="1590"/>
      <c r="AN186" s="1590"/>
      <c r="AO186" s="1590"/>
      <c r="AP186" s="1611"/>
      <c r="AQ186" s="1614">
        <f t="shared" si="41"/>
        <v>0</v>
      </c>
      <c r="AR186" s="1701"/>
      <c r="AS186" s="1665"/>
      <c r="AT186" s="1648">
        <f t="shared" si="31"/>
        <v>0</v>
      </c>
      <c r="AU186" s="1667"/>
      <c r="AV186" s="935"/>
      <c r="AW186" s="935"/>
      <c r="AX186" s="935"/>
      <c r="AY186" s="722"/>
      <c r="AZ186" s="722"/>
      <c r="BA186" s="722"/>
      <c r="BB186" s="722"/>
      <c r="BC186" s="722"/>
      <c r="BD186" s="722"/>
      <c r="BE186" s="706"/>
      <c r="BF186" s="706"/>
      <c r="BG186" s="694"/>
      <c r="BM186" s="609"/>
    </row>
    <row r="187" spans="1:65" ht="15.75" x14ac:dyDescent="0.25">
      <c r="A187" s="1883"/>
      <c r="B187" s="1748"/>
      <c r="C187" s="1884"/>
      <c r="D187" s="1884"/>
      <c r="E187" s="1726">
        <f t="shared" si="32"/>
        <v>0</v>
      </c>
      <c r="F187" s="1722"/>
      <c r="G187" s="1741"/>
      <c r="H187" s="1728"/>
      <c r="I187" s="1743"/>
      <c r="J187" s="1743"/>
      <c r="K187" s="1744"/>
      <c r="L187" s="1734">
        <f t="shared" si="33"/>
        <v>0</v>
      </c>
      <c r="M187" s="1735">
        <f t="shared" si="34"/>
        <v>0</v>
      </c>
      <c r="N187" s="1730"/>
      <c r="O187" s="1730"/>
      <c r="P187" s="1730"/>
      <c r="Q187" s="1730"/>
      <c r="R187" s="1730"/>
      <c r="S187" s="1730"/>
      <c r="T187" s="1730"/>
      <c r="U187" s="1730"/>
      <c r="V187" s="1730"/>
      <c r="W187" s="1730"/>
      <c r="X187" s="1903">
        <f t="shared" si="30"/>
        <v>0</v>
      </c>
      <c r="Y187" s="1733">
        <f t="shared" si="35"/>
        <v>0</v>
      </c>
      <c r="Z187" s="528"/>
      <c r="AA187" s="1620"/>
      <c r="AB187" s="1616"/>
      <c r="AC187" s="1616"/>
      <c r="AD187" s="1616"/>
      <c r="AE187" s="1621"/>
      <c r="AF187" s="1615">
        <f t="shared" si="36"/>
        <v>0</v>
      </c>
      <c r="AG187" s="1116">
        <f t="shared" si="37"/>
        <v>0</v>
      </c>
      <c r="AH187" s="1116">
        <f t="shared" si="38"/>
        <v>0</v>
      </c>
      <c r="AI187" s="1116">
        <f t="shared" si="39"/>
        <v>0</v>
      </c>
      <c r="AJ187" s="1606">
        <f t="shared" si="40"/>
        <v>0</v>
      </c>
      <c r="AK187" s="1610"/>
      <c r="AL187" s="1590"/>
      <c r="AM187" s="1590"/>
      <c r="AN187" s="1590"/>
      <c r="AO187" s="1590"/>
      <c r="AP187" s="1611"/>
      <c r="AQ187" s="1614">
        <f t="shared" si="41"/>
        <v>0</v>
      </c>
      <c r="AR187" s="1701"/>
      <c r="AS187" s="1665"/>
      <c r="AT187" s="1648">
        <f t="shared" si="31"/>
        <v>0</v>
      </c>
      <c r="AU187" s="1667"/>
      <c r="AV187" s="935"/>
      <c r="AW187" s="935"/>
      <c r="AX187" s="935"/>
      <c r="AY187" s="722"/>
      <c r="AZ187" s="722"/>
      <c r="BA187" s="722"/>
      <c r="BB187" s="722"/>
      <c r="BC187" s="722"/>
      <c r="BD187" s="722"/>
      <c r="BE187" s="706"/>
      <c r="BF187" s="706"/>
      <c r="BG187" s="694"/>
      <c r="BM187" s="609"/>
    </row>
    <row r="188" spans="1:65" ht="15.75" x14ac:dyDescent="0.25">
      <c r="A188" s="1883"/>
      <c r="B188" s="1748"/>
      <c r="C188" s="1884"/>
      <c r="D188" s="1884"/>
      <c r="E188" s="1726">
        <f t="shared" si="32"/>
        <v>0</v>
      </c>
      <c r="F188" s="1722"/>
      <c r="G188" s="1741"/>
      <c r="H188" s="1728"/>
      <c r="I188" s="1743"/>
      <c r="J188" s="1743"/>
      <c r="K188" s="1744"/>
      <c r="L188" s="1734">
        <f t="shared" si="33"/>
        <v>0</v>
      </c>
      <c r="M188" s="1735">
        <f t="shared" si="34"/>
        <v>0</v>
      </c>
      <c r="N188" s="1730"/>
      <c r="O188" s="1730"/>
      <c r="P188" s="1730"/>
      <c r="Q188" s="1730"/>
      <c r="R188" s="1730"/>
      <c r="S188" s="1730"/>
      <c r="T188" s="1730"/>
      <c r="U188" s="1730"/>
      <c r="V188" s="1730"/>
      <c r="W188" s="1730"/>
      <c r="X188" s="1903">
        <f t="shared" si="30"/>
        <v>0</v>
      </c>
      <c r="Y188" s="1733">
        <f t="shared" si="35"/>
        <v>0</v>
      </c>
      <c r="Z188" s="528"/>
      <c r="AA188" s="1620"/>
      <c r="AB188" s="1616"/>
      <c r="AC188" s="1616"/>
      <c r="AD188" s="1616"/>
      <c r="AE188" s="1621"/>
      <c r="AF188" s="1615">
        <f t="shared" si="36"/>
        <v>0</v>
      </c>
      <c r="AG188" s="1116">
        <f t="shared" si="37"/>
        <v>0</v>
      </c>
      <c r="AH188" s="1116">
        <f t="shared" si="38"/>
        <v>0</v>
      </c>
      <c r="AI188" s="1116">
        <f t="shared" si="39"/>
        <v>0</v>
      </c>
      <c r="AJ188" s="1606">
        <f t="shared" si="40"/>
        <v>0</v>
      </c>
      <c r="AK188" s="1610"/>
      <c r="AL188" s="1590"/>
      <c r="AM188" s="1590"/>
      <c r="AN188" s="1590"/>
      <c r="AO188" s="1590"/>
      <c r="AP188" s="1611"/>
      <c r="AQ188" s="1614">
        <f t="shared" si="41"/>
        <v>0</v>
      </c>
      <c r="AR188" s="1701"/>
      <c r="AS188" s="1665"/>
      <c r="AT188" s="1648">
        <f t="shared" si="31"/>
        <v>0</v>
      </c>
      <c r="AU188" s="1667"/>
      <c r="AV188" s="935"/>
      <c r="AW188" s="935"/>
      <c r="AX188" s="935"/>
      <c r="AY188" s="722"/>
      <c r="AZ188" s="722"/>
      <c r="BA188" s="722"/>
      <c r="BB188" s="722"/>
      <c r="BC188" s="722"/>
      <c r="BD188" s="722"/>
      <c r="BE188" s="706"/>
      <c r="BF188" s="706"/>
      <c r="BG188" s="694"/>
      <c r="BM188" s="609"/>
    </row>
    <row r="189" spans="1:65" ht="15.75" x14ac:dyDescent="0.25">
      <c r="A189" s="1883"/>
      <c r="B189" s="1748"/>
      <c r="C189" s="1884"/>
      <c r="D189" s="1884"/>
      <c r="E189" s="1726">
        <f t="shared" si="32"/>
        <v>0</v>
      </c>
      <c r="F189" s="1722"/>
      <c r="G189" s="1741"/>
      <c r="H189" s="1728"/>
      <c r="I189" s="1743"/>
      <c r="J189" s="1743"/>
      <c r="K189" s="1744"/>
      <c r="L189" s="1734">
        <f t="shared" si="33"/>
        <v>0</v>
      </c>
      <c r="M189" s="1735">
        <f t="shared" si="34"/>
        <v>0</v>
      </c>
      <c r="N189" s="1730"/>
      <c r="O189" s="1730"/>
      <c r="P189" s="1730"/>
      <c r="Q189" s="1730"/>
      <c r="R189" s="1730"/>
      <c r="S189" s="1730"/>
      <c r="T189" s="1730"/>
      <c r="U189" s="1730"/>
      <c r="V189" s="1730"/>
      <c r="W189" s="1730"/>
      <c r="X189" s="1903">
        <f t="shared" si="30"/>
        <v>0</v>
      </c>
      <c r="Y189" s="1733">
        <f t="shared" si="35"/>
        <v>0</v>
      </c>
      <c r="Z189" s="528"/>
      <c r="AA189" s="1620"/>
      <c r="AB189" s="1616"/>
      <c r="AC189" s="1616"/>
      <c r="AD189" s="1616"/>
      <c r="AE189" s="1621"/>
      <c r="AF189" s="1615">
        <f t="shared" si="36"/>
        <v>0</v>
      </c>
      <c r="AG189" s="1116">
        <f t="shared" si="37"/>
        <v>0</v>
      </c>
      <c r="AH189" s="1116">
        <f t="shared" si="38"/>
        <v>0</v>
      </c>
      <c r="AI189" s="1116">
        <f t="shared" si="39"/>
        <v>0</v>
      </c>
      <c r="AJ189" s="1606">
        <f t="shared" si="40"/>
        <v>0</v>
      </c>
      <c r="AK189" s="1610"/>
      <c r="AL189" s="1590"/>
      <c r="AM189" s="1590"/>
      <c r="AN189" s="1590"/>
      <c r="AO189" s="1590"/>
      <c r="AP189" s="1611"/>
      <c r="AQ189" s="1614">
        <f t="shared" si="41"/>
        <v>0</v>
      </c>
      <c r="AR189" s="1701"/>
      <c r="AS189" s="1665"/>
      <c r="AT189" s="1648">
        <f t="shared" si="31"/>
        <v>0</v>
      </c>
      <c r="AU189" s="1667"/>
      <c r="AV189" s="935"/>
      <c r="AW189" s="935"/>
      <c r="AX189" s="935"/>
      <c r="AY189" s="722"/>
      <c r="AZ189" s="722"/>
      <c r="BA189" s="722"/>
      <c r="BB189" s="722"/>
      <c r="BC189" s="722"/>
      <c r="BD189" s="722"/>
      <c r="BE189" s="706"/>
      <c r="BF189" s="706"/>
      <c r="BG189" s="694"/>
      <c r="BM189" s="609"/>
    </row>
    <row r="190" spans="1:65" ht="15.75" x14ac:dyDescent="0.25">
      <c r="A190" s="1883"/>
      <c r="B190" s="1748"/>
      <c r="C190" s="1884"/>
      <c r="D190" s="1884"/>
      <c r="E190" s="1726">
        <f t="shared" si="32"/>
        <v>0</v>
      </c>
      <c r="F190" s="1722"/>
      <c r="G190" s="1741"/>
      <c r="H190" s="1728"/>
      <c r="I190" s="1743"/>
      <c r="J190" s="1743"/>
      <c r="K190" s="1744"/>
      <c r="L190" s="1734">
        <f t="shared" si="33"/>
        <v>0</v>
      </c>
      <c r="M190" s="1735">
        <f t="shared" si="34"/>
        <v>0</v>
      </c>
      <c r="N190" s="1730"/>
      <c r="O190" s="1730"/>
      <c r="P190" s="1730"/>
      <c r="Q190" s="1730"/>
      <c r="R190" s="1730"/>
      <c r="S190" s="1730"/>
      <c r="T190" s="1730"/>
      <c r="U190" s="1730"/>
      <c r="V190" s="1730"/>
      <c r="W190" s="1730"/>
      <c r="X190" s="1903">
        <f t="shared" si="30"/>
        <v>0</v>
      </c>
      <c r="Y190" s="1733">
        <f t="shared" si="35"/>
        <v>0</v>
      </c>
      <c r="Z190" s="528"/>
      <c r="AA190" s="1620"/>
      <c r="AB190" s="1616"/>
      <c r="AC190" s="1616"/>
      <c r="AD190" s="1616"/>
      <c r="AE190" s="1621"/>
      <c r="AF190" s="1615">
        <f t="shared" si="36"/>
        <v>0</v>
      </c>
      <c r="AG190" s="1116">
        <f t="shared" si="37"/>
        <v>0</v>
      </c>
      <c r="AH190" s="1116">
        <f t="shared" si="38"/>
        <v>0</v>
      </c>
      <c r="AI190" s="1116">
        <f t="shared" si="39"/>
        <v>0</v>
      </c>
      <c r="AJ190" s="1606">
        <f t="shared" si="40"/>
        <v>0</v>
      </c>
      <c r="AK190" s="1610"/>
      <c r="AL190" s="1590"/>
      <c r="AM190" s="1590"/>
      <c r="AN190" s="1590"/>
      <c r="AO190" s="1590"/>
      <c r="AP190" s="1611"/>
      <c r="AQ190" s="1614">
        <f t="shared" si="41"/>
        <v>0</v>
      </c>
      <c r="AR190" s="1701"/>
      <c r="AS190" s="1665"/>
      <c r="AT190" s="1648">
        <f t="shared" si="31"/>
        <v>0</v>
      </c>
      <c r="AU190" s="1667"/>
      <c r="AV190" s="935"/>
      <c r="AW190" s="935"/>
      <c r="AX190" s="935"/>
      <c r="AY190" s="722"/>
      <c r="AZ190" s="722"/>
      <c r="BA190" s="722"/>
      <c r="BB190" s="722"/>
      <c r="BC190" s="722"/>
      <c r="BD190" s="722"/>
      <c r="BE190" s="706"/>
      <c r="BF190" s="706"/>
      <c r="BG190" s="694"/>
      <c r="BM190" s="609"/>
    </row>
    <row r="191" spans="1:65" ht="15.75" x14ac:dyDescent="0.25">
      <c r="A191" s="1883"/>
      <c r="B191" s="1748"/>
      <c r="C191" s="1884"/>
      <c r="D191" s="1884"/>
      <c r="E191" s="1726">
        <f t="shared" si="32"/>
        <v>0</v>
      </c>
      <c r="F191" s="1722"/>
      <c r="G191" s="1741"/>
      <c r="H191" s="1728"/>
      <c r="I191" s="1743"/>
      <c r="J191" s="1743"/>
      <c r="K191" s="1744"/>
      <c r="L191" s="1734">
        <f t="shared" si="33"/>
        <v>0</v>
      </c>
      <c r="M191" s="1735">
        <f t="shared" si="34"/>
        <v>0</v>
      </c>
      <c r="N191" s="1730"/>
      <c r="O191" s="1730"/>
      <c r="P191" s="1730"/>
      <c r="Q191" s="1730"/>
      <c r="R191" s="1730"/>
      <c r="S191" s="1730"/>
      <c r="T191" s="1730"/>
      <c r="U191" s="1730"/>
      <c r="V191" s="1730"/>
      <c r="W191" s="1730"/>
      <c r="X191" s="1903">
        <f t="shared" si="30"/>
        <v>0</v>
      </c>
      <c r="Y191" s="1733">
        <f t="shared" si="35"/>
        <v>0</v>
      </c>
      <c r="Z191" s="528"/>
      <c r="AA191" s="1620"/>
      <c r="AB191" s="1616"/>
      <c r="AC191" s="1616"/>
      <c r="AD191" s="1616"/>
      <c r="AE191" s="1621"/>
      <c r="AF191" s="1615">
        <f t="shared" si="36"/>
        <v>0</v>
      </c>
      <c r="AG191" s="1116">
        <f t="shared" si="37"/>
        <v>0</v>
      </c>
      <c r="AH191" s="1116">
        <f t="shared" si="38"/>
        <v>0</v>
      </c>
      <c r="AI191" s="1116">
        <f t="shared" si="39"/>
        <v>0</v>
      </c>
      <c r="AJ191" s="1606">
        <f t="shared" si="40"/>
        <v>0</v>
      </c>
      <c r="AK191" s="1610"/>
      <c r="AL191" s="1590"/>
      <c r="AM191" s="1590"/>
      <c r="AN191" s="1590"/>
      <c r="AO191" s="1590"/>
      <c r="AP191" s="1611"/>
      <c r="AQ191" s="1614">
        <f t="shared" si="41"/>
        <v>0</v>
      </c>
      <c r="AR191" s="1701"/>
      <c r="AS191" s="1665"/>
      <c r="AT191" s="1648">
        <f t="shared" si="31"/>
        <v>0</v>
      </c>
      <c r="AU191" s="1667"/>
      <c r="AV191" s="935"/>
      <c r="AW191" s="935"/>
      <c r="AX191" s="935"/>
      <c r="AY191" s="722"/>
      <c r="AZ191" s="722"/>
      <c r="BA191" s="722"/>
      <c r="BB191" s="722"/>
      <c r="BC191" s="722"/>
      <c r="BD191" s="722"/>
      <c r="BE191" s="706"/>
      <c r="BF191" s="706"/>
      <c r="BG191" s="694"/>
      <c r="BM191" s="609"/>
    </row>
    <row r="192" spans="1:65" ht="15.75" x14ac:dyDescent="0.25">
      <c r="A192" s="1883"/>
      <c r="B192" s="1748"/>
      <c r="C192" s="1884"/>
      <c r="D192" s="1884"/>
      <c r="E192" s="1726">
        <f t="shared" si="32"/>
        <v>0</v>
      </c>
      <c r="F192" s="1722"/>
      <c r="G192" s="1741"/>
      <c r="H192" s="1728"/>
      <c r="I192" s="1743"/>
      <c r="J192" s="1743"/>
      <c r="K192" s="1744"/>
      <c r="L192" s="1734">
        <f t="shared" si="33"/>
        <v>0</v>
      </c>
      <c r="M192" s="1735">
        <f t="shared" si="34"/>
        <v>0</v>
      </c>
      <c r="N192" s="1730"/>
      <c r="O192" s="1730"/>
      <c r="P192" s="1730"/>
      <c r="Q192" s="1730"/>
      <c r="R192" s="1730"/>
      <c r="S192" s="1730"/>
      <c r="T192" s="1730"/>
      <c r="U192" s="1730"/>
      <c r="V192" s="1730"/>
      <c r="W192" s="1730"/>
      <c r="X192" s="1903">
        <f t="shared" si="30"/>
        <v>0</v>
      </c>
      <c r="Y192" s="1733">
        <f t="shared" si="35"/>
        <v>0</v>
      </c>
      <c r="Z192" s="528"/>
      <c r="AA192" s="1620"/>
      <c r="AB192" s="1616"/>
      <c r="AC192" s="1616"/>
      <c r="AD192" s="1616"/>
      <c r="AE192" s="1621"/>
      <c r="AF192" s="1615">
        <f t="shared" si="36"/>
        <v>0</v>
      </c>
      <c r="AG192" s="1116">
        <f t="shared" si="37"/>
        <v>0</v>
      </c>
      <c r="AH192" s="1116">
        <f t="shared" si="38"/>
        <v>0</v>
      </c>
      <c r="AI192" s="1116">
        <f t="shared" si="39"/>
        <v>0</v>
      </c>
      <c r="AJ192" s="1606">
        <f t="shared" si="40"/>
        <v>0</v>
      </c>
      <c r="AK192" s="1610"/>
      <c r="AL192" s="1590"/>
      <c r="AM192" s="1590"/>
      <c r="AN192" s="1590"/>
      <c r="AO192" s="1590"/>
      <c r="AP192" s="1611"/>
      <c r="AQ192" s="1614">
        <f t="shared" si="41"/>
        <v>0</v>
      </c>
      <c r="AR192" s="1701"/>
      <c r="AS192" s="1665"/>
      <c r="AT192" s="1648">
        <f t="shared" si="31"/>
        <v>0</v>
      </c>
      <c r="AU192" s="1667"/>
      <c r="AV192" s="935"/>
      <c r="AW192" s="935"/>
      <c r="AX192" s="935"/>
      <c r="AY192" s="722"/>
      <c r="AZ192" s="722"/>
      <c r="BA192" s="722"/>
      <c r="BB192" s="722"/>
      <c r="BC192" s="722"/>
      <c r="BD192" s="722"/>
      <c r="BE192" s="706"/>
      <c r="BF192" s="706"/>
      <c r="BG192" s="694"/>
      <c r="BM192" s="609"/>
    </row>
    <row r="193" spans="1:65" ht="15.75" x14ac:dyDescent="0.25">
      <c r="A193" s="1883"/>
      <c r="B193" s="1748"/>
      <c r="C193" s="1884"/>
      <c r="D193" s="1884"/>
      <c r="E193" s="1726">
        <f t="shared" si="32"/>
        <v>0</v>
      </c>
      <c r="F193" s="1722"/>
      <c r="G193" s="1741"/>
      <c r="H193" s="1728"/>
      <c r="I193" s="1743"/>
      <c r="J193" s="1743"/>
      <c r="K193" s="1744"/>
      <c r="L193" s="1734">
        <f t="shared" si="33"/>
        <v>0</v>
      </c>
      <c r="M193" s="1735">
        <f t="shared" si="34"/>
        <v>0</v>
      </c>
      <c r="N193" s="1730"/>
      <c r="O193" s="1730"/>
      <c r="P193" s="1730"/>
      <c r="Q193" s="1730"/>
      <c r="R193" s="1730"/>
      <c r="S193" s="1730"/>
      <c r="T193" s="1730"/>
      <c r="U193" s="1730"/>
      <c r="V193" s="1730"/>
      <c r="W193" s="1730"/>
      <c r="X193" s="1903">
        <f t="shared" si="30"/>
        <v>0</v>
      </c>
      <c r="Y193" s="1733">
        <f t="shared" si="35"/>
        <v>0</v>
      </c>
      <c r="Z193" s="528"/>
      <c r="AA193" s="1620"/>
      <c r="AB193" s="1616"/>
      <c r="AC193" s="1616"/>
      <c r="AD193" s="1616"/>
      <c r="AE193" s="1621"/>
      <c r="AF193" s="1615">
        <f t="shared" si="36"/>
        <v>0</v>
      </c>
      <c r="AG193" s="1116">
        <f t="shared" si="37"/>
        <v>0</v>
      </c>
      <c r="AH193" s="1116">
        <f t="shared" si="38"/>
        <v>0</v>
      </c>
      <c r="AI193" s="1116">
        <f t="shared" si="39"/>
        <v>0</v>
      </c>
      <c r="AJ193" s="1606">
        <f t="shared" si="40"/>
        <v>0</v>
      </c>
      <c r="AK193" s="1610"/>
      <c r="AL193" s="1590"/>
      <c r="AM193" s="1590"/>
      <c r="AN193" s="1590"/>
      <c r="AO193" s="1590"/>
      <c r="AP193" s="1611"/>
      <c r="AQ193" s="1614">
        <f t="shared" si="41"/>
        <v>0</v>
      </c>
      <c r="AR193" s="1701"/>
      <c r="AS193" s="1665"/>
      <c r="AT193" s="1648">
        <f t="shared" si="31"/>
        <v>0</v>
      </c>
      <c r="AU193" s="1667"/>
      <c r="AV193" s="935"/>
      <c r="AW193" s="935"/>
      <c r="AX193" s="935"/>
      <c r="AY193" s="722"/>
      <c r="AZ193" s="722"/>
      <c r="BA193" s="722"/>
      <c r="BB193" s="722"/>
      <c r="BC193" s="722"/>
      <c r="BD193" s="722"/>
      <c r="BE193" s="706"/>
      <c r="BF193" s="706"/>
      <c r="BG193" s="694"/>
      <c r="BM193" s="609"/>
    </row>
    <row r="194" spans="1:65" ht="15.75" x14ac:dyDescent="0.25">
      <c r="A194" s="1883"/>
      <c r="B194" s="1748"/>
      <c r="C194" s="1884"/>
      <c r="D194" s="1884"/>
      <c r="E194" s="1726">
        <f t="shared" si="32"/>
        <v>0</v>
      </c>
      <c r="F194" s="1722"/>
      <c r="G194" s="1741"/>
      <c r="H194" s="1728"/>
      <c r="I194" s="1743"/>
      <c r="J194" s="1743"/>
      <c r="K194" s="1744"/>
      <c r="L194" s="1734">
        <f t="shared" si="33"/>
        <v>0</v>
      </c>
      <c r="M194" s="1735">
        <f t="shared" si="34"/>
        <v>0</v>
      </c>
      <c r="N194" s="1730"/>
      <c r="O194" s="1730"/>
      <c r="P194" s="1730"/>
      <c r="Q194" s="1730"/>
      <c r="R194" s="1730"/>
      <c r="S194" s="1730"/>
      <c r="T194" s="1730"/>
      <c r="U194" s="1730"/>
      <c r="V194" s="1730"/>
      <c r="W194" s="1730"/>
      <c r="X194" s="1903">
        <f t="shared" si="30"/>
        <v>0</v>
      </c>
      <c r="Y194" s="1733">
        <f t="shared" si="35"/>
        <v>0</v>
      </c>
      <c r="Z194" s="528"/>
      <c r="AA194" s="1620"/>
      <c r="AB194" s="1616"/>
      <c r="AC194" s="1616"/>
      <c r="AD194" s="1616"/>
      <c r="AE194" s="1621"/>
      <c r="AF194" s="1615">
        <f t="shared" si="36"/>
        <v>0</v>
      </c>
      <c r="AG194" s="1116">
        <f t="shared" si="37"/>
        <v>0</v>
      </c>
      <c r="AH194" s="1116">
        <f t="shared" si="38"/>
        <v>0</v>
      </c>
      <c r="AI194" s="1116">
        <f t="shared" si="39"/>
        <v>0</v>
      </c>
      <c r="AJ194" s="1606">
        <f t="shared" si="40"/>
        <v>0</v>
      </c>
      <c r="AK194" s="1610"/>
      <c r="AL194" s="1590"/>
      <c r="AM194" s="1590"/>
      <c r="AN194" s="1590"/>
      <c r="AO194" s="1590"/>
      <c r="AP194" s="1611"/>
      <c r="AQ194" s="1614">
        <f t="shared" si="41"/>
        <v>0</v>
      </c>
      <c r="AR194" s="1701"/>
      <c r="AS194" s="1665"/>
      <c r="AT194" s="1648">
        <f t="shared" si="31"/>
        <v>0</v>
      </c>
      <c r="AU194" s="1667"/>
      <c r="AV194" s="935"/>
      <c r="AW194" s="935"/>
      <c r="AX194" s="935"/>
      <c r="AY194" s="722"/>
      <c r="AZ194" s="722"/>
      <c r="BA194" s="722"/>
      <c r="BB194" s="722"/>
      <c r="BC194" s="722"/>
      <c r="BD194" s="722"/>
      <c r="BE194" s="706"/>
      <c r="BF194" s="706"/>
      <c r="BG194" s="694"/>
      <c r="BM194" s="609"/>
    </row>
    <row r="195" spans="1:65" ht="15.75" x14ac:dyDescent="0.25">
      <c r="A195" s="1883"/>
      <c r="B195" s="1748"/>
      <c r="C195" s="1884"/>
      <c r="D195" s="1884"/>
      <c r="E195" s="1726">
        <f t="shared" si="32"/>
        <v>0</v>
      </c>
      <c r="F195" s="1722"/>
      <c r="G195" s="1741"/>
      <c r="H195" s="1728"/>
      <c r="I195" s="1743"/>
      <c r="J195" s="1743"/>
      <c r="K195" s="1744"/>
      <c r="L195" s="1734">
        <f t="shared" si="33"/>
        <v>0</v>
      </c>
      <c r="M195" s="1735">
        <f t="shared" si="34"/>
        <v>0</v>
      </c>
      <c r="N195" s="1730"/>
      <c r="O195" s="1730"/>
      <c r="P195" s="1730"/>
      <c r="Q195" s="1730"/>
      <c r="R195" s="1730"/>
      <c r="S195" s="1730"/>
      <c r="T195" s="1730"/>
      <c r="U195" s="1730"/>
      <c r="V195" s="1730"/>
      <c r="W195" s="1730"/>
      <c r="X195" s="1903">
        <f t="shared" si="30"/>
        <v>0</v>
      </c>
      <c r="Y195" s="1733">
        <f t="shared" si="35"/>
        <v>0</v>
      </c>
      <c r="Z195" s="528"/>
      <c r="AA195" s="1620"/>
      <c r="AB195" s="1616"/>
      <c r="AC195" s="1616"/>
      <c r="AD195" s="1616"/>
      <c r="AE195" s="1621"/>
      <c r="AF195" s="1615">
        <f t="shared" si="36"/>
        <v>0</v>
      </c>
      <c r="AG195" s="1116">
        <f t="shared" si="37"/>
        <v>0</v>
      </c>
      <c r="AH195" s="1116">
        <f t="shared" si="38"/>
        <v>0</v>
      </c>
      <c r="AI195" s="1116">
        <f t="shared" si="39"/>
        <v>0</v>
      </c>
      <c r="AJ195" s="1606">
        <f t="shared" si="40"/>
        <v>0</v>
      </c>
      <c r="AK195" s="1610"/>
      <c r="AL195" s="1590"/>
      <c r="AM195" s="1590"/>
      <c r="AN195" s="1590"/>
      <c r="AO195" s="1590"/>
      <c r="AP195" s="1611"/>
      <c r="AQ195" s="1614">
        <f t="shared" si="41"/>
        <v>0</v>
      </c>
      <c r="AR195" s="1701"/>
      <c r="AS195" s="1665"/>
      <c r="AT195" s="1648">
        <f t="shared" si="31"/>
        <v>0</v>
      </c>
      <c r="AU195" s="1667"/>
      <c r="AV195" s="935"/>
      <c r="AW195" s="935"/>
      <c r="AX195" s="935"/>
      <c r="AY195" s="722"/>
      <c r="AZ195" s="722"/>
      <c r="BA195" s="722"/>
      <c r="BB195" s="722"/>
      <c r="BC195" s="722"/>
      <c r="BD195" s="722"/>
      <c r="BE195" s="706"/>
      <c r="BF195" s="706"/>
      <c r="BG195" s="694"/>
      <c r="BM195" s="609"/>
    </row>
    <row r="196" spans="1:65" ht="15.75" x14ac:dyDescent="0.25">
      <c r="A196" s="1883"/>
      <c r="B196" s="1748"/>
      <c r="C196" s="1884"/>
      <c r="D196" s="1884"/>
      <c r="E196" s="1726">
        <f t="shared" si="32"/>
        <v>0</v>
      </c>
      <c r="F196" s="1722"/>
      <c r="G196" s="1741"/>
      <c r="H196" s="1728"/>
      <c r="I196" s="1743"/>
      <c r="J196" s="1743"/>
      <c r="K196" s="1744"/>
      <c r="L196" s="1734">
        <f t="shared" si="33"/>
        <v>0</v>
      </c>
      <c r="M196" s="1735">
        <f t="shared" si="34"/>
        <v>0</v>
      </c>
      <c r="N196" s="1730"/>
      <c r="O196" s="1730"/>
      <c r="P196" s="1730"/>
      <c r="Q196" s="1730"/>
      <c r="R196" s="1730"/>
      <c r="S196" s="1730"/>
      <c r="T196" s="1730"/>
      <c r="U196" s="1730"/>
      <c r="V196" s="1730"/>
      <c r="W196" s="1730"/>
      <c r="X196" s="1903">
        <f t="shared" si="30"/>
        <v>0</v>
      </c>
      <c r="Y196" s="1733">
        <f t="shared" si="35"/>
        <v>0</v>
      </c>
      <c r="Z196" s="528"/>
      <c r="AA196" s="1620"/>
      <c r="AB196" s="1616"/>
      <c r="AC196" s="1616"/>
      <c r="AD196" s="1616"/>
      <c r="AE196" s="1621"/>
      <c r="AF196" s="1615">
        <f t="shared" si="36"/>
        <v>0</v>
      </c>
      <c r="AG196" s="1116">
        <f t="shared" si="37"/>
        <v>0</v>
      </c>
      <c r="AH196" s="1116">
        <f t="shared" si="38"/>
        <v>0</v>
      </c>
      <c r="AI196" s="1116">
        <f t="shared" si="39"/>
        <v>0</v>
      </c>
      <c r="AJ196" s="1606">
        <f t="shared" si="40"/>
        <v>0</v>
      </c>
      <c r="AK196" s="1610"/>
      <c r="AL196" s="1590"/>
      <c r="AM196" s="1590"/>
      <c r="AN196" s="1590"/>
      <c r="AO196" s="1590"/>
      <c r="AP196" s="1611"/>
      <c r="AQ196" s="1614">
        <f t="shared" si="41"/>
        <v>0</v>
      </c>
      <c r="AR196" s="1701"/>
      <c r="AS196" s="1665"/>
      <c r="AT196" s="1648">
        <f t="shared" si="31"/>
        <v>0</v>
      </c>
      <c r="AU196" s="1667"/>
      <c r="AV196" s="935"/>
      <c r="AW196" s="935"/>
      <c r="AX196" s="935"/>
      <c r="AY196" s="722"/>
      <c r="AZ196" s="722"/>
      <c r="BA196" s="722"/>
      <c r="BB196" s="722"/>
      <c r="BC196" s="722"/>
      <c r="BD196" s="722"/>
      <c r="BE196" s="706"/>
      <c r="BF196" s="706"/>
      <c r="BG196" s="694"/>
      <c r="BM196" s="609"/>
    </row>
    <row r="197" spans="1:65" ht="15.75" x14ac:dyDescent="0.25">
      <c r="A197" s="1883"/>
      <c r="B197" s="1748"/>
      <c r="C197" s="1884"/>
      <c r="D197" s="1884"/>
      <c r="E197" s="1726">
        <f t="shared" si="32"/>
        <v>0</v>
      </c>
      <c r="F197" s="1722"/>
      <c r="G197" s="1741"/>
      <c r="H197" s="1728"/>
      <c r="I197" s="1743"/>
      <c r="J197" s="1743"/>
      <c r="K197" s="1744"/>
      <c r="L197" s="1734">
        <f t="shared" si="33"/>
        <v>0</v>
      </c>
      <c r="M197" s="1735">
        <f t="shared" si="34"/>
        <v>0</v>
      </c>
      <c r="N197" s="1730"/>
      <c r="O197" s="1730"/>
      <c r="P197" s="1730"/>
      <c r="Q197" s="1730"/>
      <c r="R197" s="1730"/>
      <c r="S197" s="1730"/>
      <c r="T197" s="1730"/>
      <c r="U197" s="1730"/>
      <c r="V197" s="1730"/>
      <c r="W197" s="1730"/>
      <c r="X197" s="1903">
        <f t="shared" si="30"/>
        <v>0</v>
      </c>
      <c r="Y197" s="1733">
        <f t="shared" si="35"/>
        <v>0</v>
      </c>
      <c r="Z197" s="528"/>
      <c r="AA197" s="1620"/>
      <c r="AB197" s="1616"/>
      <c r="AC197" s="1616"/>
      <c r="AD197" s="1616"/>
      <c r="AE197" s="1621"/>
      <c r="AF197" s="1615">
        <f t="shared" si="36"/>
        <v>0</v>
      </c>
      <c r="AG197" s="1116">
        <f t="shared" si="37"/>
        <v>0</v>
      </c>
      <c r="AH197" s="1116">
        <f t="shared" si="38"/>
        <v>0</v>
      </c>
      <c r="AI197" s="1116">
        <f t="shared" si="39"/>
        <v>0</v>
      </c>
      <c r="AJ197" s="1606">
        <f t="shared" si="40"/>
        <v>0</v>
      </c>
      <c r="AK197" s="1610"/>
      <c r="AL197" s="1590"/>
      <c r="AM197" s="1590"/>
      <c r="AN197" s="1590"/>
      <c r="AO197" s="1590"/>
      <c r="AP197" s="1611"/>
      <c r="AQ197" s="1614">
        <f t="shared" si="41"/>
        <v>0</v>
      </c>
      <c r="AR197" s="1701"/>
      <c r="AS197" s="1665"/>
      <c r="AT197" s="1648">
        <f t="shared" si="31"/>
        <v>0</v>
      </c>
      <c r="AU197" s="1667"/>
      <c r="AV197" s="935"/>
      <c r="AW197" s="935"/>
      <c r="AX197" s="935"/>
      <c r="AY197" s="722"/>
      <c r="AZ197" s="722"/>
      <c r="BA197" s="722"/>
      <c r="BB197" s="722"/>
      <c r="BC197" s="722"/>
      <c r="BD197" s="722"/>
      <c r="BE197" s="706"/>
      <c r="BF197" s="706"/>
      <c r="BG197" s="694"/>
      <c r="BM197" s="609"/>
    </row>
    <row r="198" spans="1:65" ht="15.75" x14ac:dyDescent="0.25">
      <c r="A198" s="1883"/>
      <c r="B198" s="1748"/>
      <c r="C198" s="1884"/>
      <c r="D198" s="1884"/>
      <c r="E198" s="1726">
        <f t="shared" si="32"/>
        <v>0</v>
      </c>
      <c r="F198" s="1722"/>
      <c r="G198" s="1741"/>
      <c r="H198" s="1728"/>
      <c r="I198" s="1743"/>
      <c r="J198" s="1743"/>
      <c r="K198" s="1744"/>
      <c r="L198" s="1734">
        <f t="shared" si="33"/>
        <v>0</v>
      </c>
      <c r="M198" s="1735">
        <f t="shared" si="34"/>
        <v>0</v>
      </c>
      <c r="N198" s="1730"/>
      <c r="O198" s="1730"/>
      <c r="P198" s="1730"/>
      <c r="Q198" s="1730"/>
      <c r="R198" s="1730"/>
      <c r="S198" s="1730"/>
      <c r="T198" s="1730"/>
      <c r="U198" s="1730"/>
      <c r="V198" s="1730"/>
      <c r="W198" s="1730"/>
      <c r="X198" s="1903">
        <f t="shared" si="30"/>
        <v>0</v>
      </c>
      <c r="Y198" s="1733">
        <f t="shared" si="35"/>
        <v>0</v>
      </c>
      <c r="Z198" s="528"/>
      <c r="AA198" s="1620"/>
      <c r="AB198" s="1616"/>
      <c r="AC198" s="1616"/>
      <c r="AD198" s="1616"/>
      <c r="AE198" s="1621"/>
      <c r="AF198" s="1615">
        <f t="shared" si="36"/>
        <v>0</v>
      </c>
      <c r="AG198" s="1116">
        <f t="shared" si="37"/>
        <v>0</v>
      </c>
      <c r="AH198" s="1116">
        <f t="shared" si="38"/>
        <v>0</v>
      </c>
      <c r="AI198" s="1116">
        <f t="shared" si="39"/>
        <v>0</v>
      </c>
      <c r="AJ198" s="1606">
        <f t="shared" si="40"/>
        <v>0</v>
      </c>
      <c r="AK198" s="1610"/>
      <c r="AL198" s="1590"/>
      <c r="AM198" s="1590"/>
      <c r="AN198" s="1590"/>
      <c r="AO198" s="1590"/>
      <c r="AP198" s="1611"/>
      <c r="AQ198" s="1614">
        <f t="shared" si="41"/>
        <v>0</v>
      </c>
      <c r="AR198" s="1701"/>
      <c r="AS198" s="1665"/>
      <c r="AT198" s="1648">
        <f t="shared" si="31"/>
        <v>0</v>
      </c>
      <c r="AU198" s="1667"/>
      <c r="AV198" s="935"/>
      <c r="AW198" s="935"/>
      <c r="AX198" s="935"/>
      <c r="AY198" s="722"/>
      <c r="AZ198" s="722"/>
      <c r="BA198" s="722"/>
      <c r="BB198" s="722"/>
      <c r="BC198" s="722"/>
      <c r="BD198" s="722"/>
      <c r="BE198" s="706"/>
      <c r="BF198" s="706"/>
      <c r="BG198" s="694"/>
      <c r="BM198" s="609"/>
    </row>
    <row r="199" spans="1:65" ht="15.75" x14ac:dyDescent="0.25">
      <c r="A199" s="1883"/>
      <c r="B199" s="1748"/>
      <c r="C199" s="1884"/>
      <c r="D199" s="1884"/>
      <c r="E199" s="1726">
        <f t="shared" si="32"/>
        <v>0</v>
      </c>
      <c r="F199" s="1722"/>
      <c r="G199" s="1741"/>
      <c r="H199" s="1728"/>
      <c r="I199" s="1743"/>
      <c r="J199" s="1743"/>
      <c r="K199" s="1744"/>
      <c r="L199" s="1734">
        <f t="shared" si="33"/>
        <v>0</v>
      </c>
      <c r="M199" s="1735">
        <f t="shared" si="34"/>
        <v>0</v>
      </c>
      <c r="N199" s="1730"/>
      <c r="O199" s="1730"/>
      <c r="P199" s="1730"/>
      <c r="Q199" s="1730"/>
      <c r="R199" s="1730"/>
      <c r="S199" s="1730"/>
      <c r="T199" s="1730"/>
      <c r="U199" s="1730"/>
      <c r="V199" s="1730"/>
      <c r="W199" s="1730"/>
      <c r="X199" s="1903">
        <f t="shared" si="30"/>
        <v>0</v>
      </c>
      <c r="Y199" s="1733">
        <f t="shared" si="35"/>
        <v>0</v>
      </c>
      <c r="Z199" s="528"/>
      <c r="AA199" s="1620"/>
      <c r="AB199" s="1616"/>
      <c r="AC199" s="1616"/>
      <c r="AD199" s="1616"/>
      <c r="AE199" s="1621"/>
      <c r="AF199" s="1615">
        <f t="shared" si="36"/>
        <v>0</v>
      </c>
      <c r="AG199" s="1116">
        <f t="shared" si="37"/>
        <v>0</v>
      </c>
      <c r="AH199" s="1116">
        <f t="shared" si="38"/>
        <v>0</v>
      </c>
      <c r="AI199" s="1116">
        <f t="shared" si="39"/>
        <v>0</v>
      </c>
      <c r="AJ199" s="1606">
        <f t="shared" si="40"/>
        <v>0</v>
      </c>
      <c r="AK199" s="1610"/>
      <c r="AL199" s="1590"/>
      <c r="AM199" s="1590"/>
      <c r="AN199" s="1590"/>
      <c r="AO199" s="1590"/>
      <c r="AP199" s="1611"/>
      <c r="AQ199" s="1614">
        <f t="shared" si="41"/>
        <v>0</v>
      </c>
      <c r="AR199" s="1701"/>
      <c r="AS199" s="1665"/>
      <c r="AT199" s="1648">
        <f t="shared" si="31"/>
        <v>0</v>
      </c>
      <c r="AU199" s="1667"/>
      <c r="AV199" s="935"/>
      <c r="AW199" s="935"/>
      <c r="AX199" s="935"/>
      <c r="AY199" s="722"/>
      <c r="AZ199" s="722"/>
      <c r="BA199" s="722"/>
      <c r="BB199" s="722"/>
      <c r="BC199" s="722"/>
      <c r="BD199" s="722"/>
      <c r="BE199" s="706"/>
      <c r="BF199" s="706"/>
      <c r="BG199" s="694"/>
      <c r="BM199" s="609"/>
    </row>
    <row r="200" spans="1:65" ht="15.75" x14ac:dyDescent="0.25">
      <c r="A200" s="1883"/>
      <c r="B200" s="1748"/>
      <c r="C200" s="1884"/>
      <c r="D200" s="1884"/>
      <c r="E200" s="1726">
        <f t="shared" si="32"/>
        <v>0</v>
      </c>
      <c r="F200" s="1722"/>
      <c r="G200" s="1741"/>
      <c r="H200" s="1728"/>
      <c r="I200" s="1743"/>
      <c r="J200" s="1743"/>
      <c r="K200" s="1744"/>
      <c r="L200" s="1734">
        <f t="shared" si="33"/>
        <v>0</v>
      </c>
      <c r="M200" s="1735">
        <f t="shared" si="34"/>
        <v>0</v>
      </c>
      <c r="N200" s="1730"/>
      <c r="O200" s="1730"/>
      <c r="P200" s="1730"/>
      <c r="Q200" s="1730"/>
      <c r="R200" s="1730"/>
      <c r="S200" s="1730"/>
      <c r="T200" s="1730"/>
      <c r="U200" s="1730"/>
      <c r="V200" s="1730"/>
      <c r="W200" s="1730"/>
      <c r="X200" s="1903">
        <f t="shared" si="30"/>
        <v>0</v>
      </c>
      <c r="Y200" s="1733">
        <f t="shared" si="35"/>
        <v>0</v>
      </c>
      <c r="Z200" s="528"/>
      <c r="AA200" s="1620"/>
      <c r="AB200" s="1616"/>
      <c r="AC200" s="1616"/>
      <c r="AD200" s="1616"/>
      <c r="AE200" s="1621"/>
      <c r="AF200" s="1615">
        <f t="shared" si="36"/>
        <v>0</v>
      </c>
      <c r="AG200" s="1116">
        <f t="shared" si="37"/>
        <v>0</v>
      </c>
      <c r="AH200" s="1116">
        <f t="shared" si="38"/>
        <v>0</v>
      </c>
      <c r="AI200" s="1116">
        <f t="shared" si="39"/>
        <v>0</v>
      </c>
      <c r="AJ200" s="1606">
        <f t="shared" si="40"/>
        <v>0</v>
      </c>
      <c r="AK200" s="1610"/>
      <c r="AL200" s="1590"/>
      <c r="AM200" s="1590"/>
      <c r="AN200" s="1590"/>
      <c r="AO200" s="1590"/>
      <c r="AP200" s="1611"/>
      <c r="AQ200" s="1614">
        <f t="shared" si="41"/>
        <v>0</v>
      </c>
      <c r="AR200" s="1701"/>
      <c r="AS200" s="1665"/>
      <c r="AT200" s="1648">
        <f t="shared" si="31"/>
        <v>0</v>
      </c>
      <c r="AU200" s="1667"/>
      <c r="AV200" s="935"/>
      <c r="AW200" s="935"/>
      <c r="AX200" s="935"/>
      <c r="AY200" s="722"/>
      <c r="AZ200" s="722"/>
      <c r="BA200" s="722"/>
      <c r="BB200" s="722"/>
      <c r="BC200" s="722"/>
      <c r="BD200" s="722"/>
      <c r="BE200" s="706"/>
      <c r="BF200" s="706"/>
      <c r="BG200" s="694"/>
      <c r="BM200" s="609"/>
    </row>
    <row r="201" spans="1:65" ht="15.75" x14ac:dyDescent="0.25">
      <c r="A201" s="1883"/>
      <c r="B201" s="1748"/>
      <c r="C201" s="1884"/>
      <c r="D201" s="1884"/>
      <c r="E201" s="1726">
        <f t="shared" si="32"/>
        <v>0</v>
      </c>
      <c r="F201" s="1722"/>
      <c r="G201" s="1741"/>
      <c r="H201" s="1728"/>
      <c r="I201" s="1743"/>
      <c r="J201" s="1743"/>
      <c r="K201" s="1744"/>
      <c r="L201" s="1734">
        <f t="shared" si="33"/>
        <v>0</v>
      </c>
      <c r="M201" s="1735">
        <f t="shared" si="34"/>
        <v>0</v>
      </c>
      <c r="N201" s="1730"/>
      <c r="O201" s="1730"/>
      <c r="P201" s="1730"/>
      <c r="Q201" s="1730"/>
      <c r="R201" s="1730"/>
      <c r="S201" s="1730"/>
      <c r="T201" s="1730"/>
      <c r="U201" s="1730"/>
      <c r="V201" s="1730"/>
      <c r="W201" s="1730"/>
      <c r="X201" s="1903">
        <f t="shared" si="30"/>
        <v>0</v>
      </c>
      <c r="Y201" s="1733">
        <f t="shared" si="35"/>
        <v>0</v>
      </c>
      <c r="Z201" s="528"/>
      <c r="AA201" s="1620"/>
      <c r="AB201" s="1616"/>
      <c r="AC201" s="1616"/>
      <c r="AD201" s="1616"/>
      <c r="AE201" s="1621"/>
      <c r="AF201" s="1615">
        <f t="shared" si="36"/>
        <v>0</v>
      </c>
      <c r="AG201" s="1116">
        <f t="shared" si="37"/>
        <v>0</v>
      </c>
      <c r="AH201" s="1116">
        <f t="shared" si="38"/>
        <v>0</v>
      </c>
      <c r="AI201" s="1116">
        <f t="shared" si="39"/>
        <v>0</v>
      </c>
      <c r="AJ201" s="1606">
        <f t="shared" si="40"/>
        <v>0</v>
      </c>
      <c r="AK201" s="1610"/>
      <c r="AL201" s="1590"/>
      <c r="AM201" s="1590"/>
      <c r="AN201" s="1590"/>
      <c r="AO201" s="1590"/>
      <c r="AP201" s="1611"/>
      <c r="AQ201" s="1614">
        <f t="shared" si="41"/>
        <v>0</v>
      </c>
      <c r="AR201" s="1701"/>
      <c r="AS201" s="1665"/>
      <c r="AT201" s="1648">
        <f t="shared" si="31"/>
        <v>0</v>
      </c>
      <c r="AU201" s="1667"/>
      <c r="AV201" s="935"/>
      <c r="AW201" s="935"/>
      <c r="AX201" s="935"/>
      <c r="AY201" s="722"/>
      <c r="AZ201" s="722"/>
      <c r="BA201" s="722"/>
      <c r="BB201" s="722"/>
      <c r="BC201" s="722"/>
      <c r="BD201" s="722"/>
      <c r="BE201" s="706"/>
      <c r="BF201" s="706"/>
      <c r="BG201" s="694"/>
      <c r="BM201" s="609"/>
    </row>
    <row r="202" spans="1:65" ht="15.75" x14ac:dyDescent="0.25">
      <c r="A202" s="1883"/>
      <c r="B202" s="1748"/>
      <c r="C202" s="1884"/>
      <c r="D202" s="1884"/>
      <c r="E202" s="1726">
        <f t="shared" si="32"/>
        <v>0</v>
      </c>
      <c r="F202" s="1722"/>
      <c r="G202" s="1741"/>
      <c r="H202" s="1728"/>
      <c r="I202" s="1743"/>
      <c r="J202" s="1743"/>
      <c r="K202" s="1744"/>
      <c r="L202" s="1734">
        <f t="shared" si="33"/>
        <v>0</v>
      </c>
      <c r="M202" s="1735">
        <f t="shared" si="34"/>
        <v>0</v>
      </c>
      <c r="N202" s="1730"/>
      <c r="O202" s="1730"/>
      <c r="P202" s="1730"/>
      <c r="Q202" s="1730"/>
      <c r="R202" s="1730"/>
      <c r="S202" s="1730"/>
      <c r="T202" s="1730"/>
      <c r="U202" s="1730"/>
      <c r="V202" s="1730"/>
      <c r="W202" s="1730"/>
      <c r="X202" s="1903">
        <f t="shared" si="30"/>
        <v>0</v>
      </c>
      <c r="Y202" s="1733">
        <f t="shared" si="35"/>
        <v>0</v>
      </c>
      <c r="Z202" s="528"/>
      <c r="AA202" s="1620"/>
      <c r="AB202" s="1616"/>
      <c r="AC202" s="1616"/>
      <c r="AD202" s="1616"/>
      <c r="AE202" s="1621"/>
      <c r="AF202" s="1615">
        <f t="shared" si="36"/>
        <v>0</v>
      </c>
      <c r="AG202" s="1116">
        <f t="shared" si="37"/>
        <v>0</v>
      </c>
      <c r="AH202" s="1116">
        <f t="shared" si="38"/>
        <v>0</v>
      </c>
      <c r="AI202" s="1116">
        <f t="shared" si="39"/>
        <v>0</v>
      </c>
      <c r="AJ202" s="1606">
        <f t="shared" si="40"/>
        <v>0</v>
      </c>
      <c r="AK202" s="1610"/>
      <c r="AL202" s="1590"/>
      <c r="AM202" s="1590"/>
      <c r="AN202" s="1590"/>
      <c r="AO202" s="1590"/>
      <c r="AP202" s="1611"/>
      <c r="AQ202" s="1614">
        <f t="shared" si="41"/>
        <v>0</v>
      </c>
      <c r="AR202" s="1701"/>
      <c r="AS202" s="1665"/>
      <c r="AT202" s="1648">
        <f t="shared" si="31"/>
        <v>0</v>
      </c>
      <c r="AU202" s="1667"/>
      <c r="AV202" s="935"/>
      <c r="AW202" s="935"/>
      <c r="AX202" s="935"/>
      <c r="AY202" s="722"/>
      <c r="AZ202" s="722"/>
      <c r="BA202" s="722"/>
      <c r="BB202" s="722"/>
      <c r="BC202" s="722"/>
      <c r="BD202" s="722"/>
      <c r="BE202" s="706"/>
      <c r="BF202" s="706"/>
      <c r="BG202" s="694"/>
      <c r="BM202" s="609"/>
    </row>
    <row r="203" spans="1:65" ht="15.75" x14ac:dyDescent="0.25">
      <c r="A203" s="1883"/>
      <c r="B203" s="1748"/>
      <c r="C203" s="1884"/>
      <c r="D203" s="1884"/>
      <c r="E203" s="1726">
        <f t="shared" si="32"/>
        <v>0</v>
      </c>
      <c r="F203" s="1722"/>
      <c r="G203" s="1741"/>
      <c r="H203" s="1728"/>
      <c r="I203" s="1743"/>
      <c r="J203" s="1743"/>
      <c r="K203" s="1744"/>
      <c r="L203" s="1734">
        <f t="shared" si="33"/>
        <v>0</v>
      </c>
      <c r="M203" s="1735">
        <f t="shared" si="34"/>
        <v>0</v>
      </c>
      <c r="N203" s="1730"/>
      <c r="O203" s="1730"/>
      <c r="P203" s="1730"/>
      <c r="Q203" s="1730"/>
      <c r="R203" s="1730"/>
      <c r="S203" s="1730"/>
      <c r="T203" s="1730"/>
      <c r="U203" s="1730"/>
      <c r="V203" s="1730"/>
      <c r="W203" s="1730"/>
      <c r="X203" s="1903">
        <f t="shared" si="30"/>
        <v>0</v>
      </c>
      <c r="Y203" s="1733">
        <f t="shared" si="35"/>
        <v>0</v>
      </c>
      <c r="Z203" s="528"/>
      <c r="AA203" s="1620"/>
      <c r="AB203" s="1616"/>
      <c r="AC203" s="1616"/>
      <c r="AD203" s="1616"/>
      <c r="AE203" s="1621"/>
      <c r="AF203" s="1615">
        <f t="shared" si="36"/>
        <v>0</v>
      </c>
      <c r="AG203" s="1116">
        <f t="shared" si="37"/>
        <v>0</v>
      </c>
      <c r="AH203" s="1116">
        <f t="shared" si="38"/>
        <v>0</v>
      </c>
      <c r="AI203" s="1116">
        <f t="shared" si="39"/>
        <v>0</v>
      </c>
      <c r="AJ203" s="1606">
        <f t="shared" si="40"/>
        <v>0</v>
      </c>
      <c r="AK203" s="1610"/>
      <c r="AL203" s="1590"/>
      <c r="AM203" s="1590"/>
      <c r="AN203" s="1590"/>
      <c r="AO203" s="1590"/>
      <c r="AP203" s="1611"/>
      <c r="AQ203" s="1614">
        <f t="shared" si="41"/>
        <v>0</v>
      </c>
      <c r="AR203" s="1701"/>
      <c r="AS203" s="1665"/>
      <c r="AT203" s="1648">
        <f t="shared" si="31"/>
        <v>0</v>
      </c>
      <c r="AU203" s="1667"/>
      <c r="AV203" s="935"/>
      <c r="AW203" s="935"/>
      <c r="AX203" s="935"/>
      <c r="AY203" s="722"/>
      <c r="AZ203" s="722"/>
      <c r="BA203" s="722"/>
      <c r="BB203" s="722"/>
      <c r="BC203" s="722"/>
      <c r="BD203" s="722"/>
      <c r="BE203" s="706"/>
      <c r="BF203" s="706"/>
      <c r="BG203" s="694"/>
      <c r="BM203" s="609"/>
    </row>
    <row r="204" spans="1:65" ht="15.75" x14ac:dyDescent="0.25">
      <c r="A204" s="1883"/>
      <c r="B204" s="1748"/>
      <c r="C204" s="1884"/>
      <c r="D204" s="1884"/>
      <c r="E204" s="1726">
        <f t="shared" si="32"/>
        <v>0</v>
      </c>
      <c r="F204" s="1722"/>
      <c r="G204" s="1741"/>
      <c r="H204" s="1728"/>
      <c r="I204" s="1743"/>
      <c r="J204" s="1743"/>
      <c r="K204" s="1744"/>
      <c r="L204" s="1734">
        <f t="shared" si="33"/>
        <v>0</v>
      </c>
      <c r="M204" s="1735">
        <f t="shared" si="34"/>
        <v>0</v>
      </c>
      <c r="N204" s="1730"/>
      <c r="O204" s="1730"/>
      <c r="P204" s="1730"/>
      <c r="Q204" s="1730"/>
      <c r="R204" s="1730"/>
      <c r="S204" s="1730"/>
      <c r="T204" s="1730"/>
      <c r="U204" s="1730"/>
      <c r="V204" s="1730"/>
      <c r="W204" s="1730"/>
      <c r="X204" s="1903">
        <f t="shared" si="30"/>
        <v>0</v>
      </c>
      <c r="Y204" s="1733">
        <f t="shared" si="35"/>
        <v>0</v>
      </c>
      <c r="Z204" s="528"/>
      <c r="AA204" s="1620"/>
      <c r="AB204" s="1616"/>
      <c r="AC204" s="1616"/>
      <c r="AD204" s="1616"/>
      <c r="AE204" s="1621"/>
      <c r="AF204" s="1615">
        <f t="shared" si="36"/>
        <v>0</v>
      </c>
      <c r="AG204" s="1116">
        <f t="shared" si="37"/>
        <v>0</v>
      </c>
      <c r="AH204" s="1116">
        <f t="shared" si="38"/>
        <v>0</v>
      </c>
      <c r="AI204" s="1116">
        <f t="shared" si="39"/>
        <v>0</v>
      </c>
      <c r="AJ204" s="1606">
        <f t="shared" si="40"/>
        <v>0</v>
      </c>
      <c r="AK204" s="1610"/>
      <c r="AL204" s="1590"/>
      <c r="AM204" s="1590"/>
      <c r="AN204" s="1590"/>
      <c r="AO204" s="1590"/>
      <c r="AP204" s="1611"/>
      <c r="AQ204" s="1614">
        <f t="shared" si="41"/>
        <v>0</v>
      </c>
      <c r="AR204" s="1701"/>
      <c r="AS204" s="1665"/>
      <c r="AT204" s="1648">
        <f t="shared" si="31"/>
        <v>0</v>
      </c>
      <c r="AU204" s="1667"/>
      <c r="AV204" s="935"/>
      <c r="AW204" s="935"/>
      <c r="AX204" s="935"/>
      <c r="AY204" s="722"/>
      <c r="AZ204" s="722"/>
      <c r="BA204" s="722"/>
      <c r="BB204" s="722"/>
      <c r="BC204" s="722"/>
      <c r="BD204" s="722"/>
      <c r="BE204" s="706"/>
      <c r="BF204" s="706"/>
      <c r="BG204" s="694"/>
      <c r="BM204" s="609"/>
    </row>
    <row r="205" spans="1:65" ht="15.75" x14ac:dyDescent="0.25">
      <c r="A205" s="1883"/>
      <c r="B205" s="1748"/>
      <c r="C205" s="1884"/>
      <c r="D205" s="1884"/>
      <c r="E205" s="1726">
        <f t="shared" si="32"/>
        <v>0</v>
      </c>
      <c r="F205" s="1722"/>
      <c r="G205" s="1741"/>
      <c r="H205" s="1728"/>
      <c r="I205" s="1743"/>
      <c r="J205" s="1743"/>
      <c r="K205" s="1744"/>
      <c r="L205" s="1734">
        <f t="shared" si="33"/>
        <v>0</v>
      </c>
      <c r="M205" s="1735">
        <f t="shared" si="34"/>
        <v>0</v>
      </c>
      <c r="N205" s="1730"/>
      <c r="O205" s="1730"/>
      <c r="P205" s="1730"/>
      <c r="Q205" s="1730"/>
      <c r="R205" s="1730"/>
      <c r="S205" s="1730"/>
      <c r="T205" s="1730"/>
      <c r="U205" s="1730"/>
      <c r="V205" s="1730"/>
      <c r="W205" s="1730"/>
      <c r="X205" s="1903">
        <f t="shared" si="30"/>
        <v>0</v>
      </c>
      <c r="Y205" s="1733">
        <f t="shared" si="35"/>
        <v>0</v>
      </c>
      <c r="Z205" s="528"/>
      <c r="AA205" s="1620"/>
      <c r="AB205" s="1616"/>
      <c r="AC205" s="1616"/>
      <c r="AD205" s="1616"/>
      <c r="AE205" s="1621"/>
      <c r="AF205" s="1615">
        <f t="shared" si="36"/>
        <v>0</v>
      </c>
      <c r="AG205" s="1116">
        <f t="shared" si="37"/>
        <v>0</v>
      </c>
      <c r="AH205" s="1116">
        <f t="shared" si="38"/>
        <v>0</v>
      </c>
      <c r="AI205" s="1116">
        <f t="shared" si="39"/>
        <v>0</v>
      </c>
      <c r="AJ205" s="1606">
        <f t="shared" si="40"/>
        <v>0</v>
      </c>
      <c r="AK205" s="1610"/>
      <c r="AL205" s="1590"/>
      <c r="AM205" s="1590"/>
      <c r="AN205" s="1590"/>
      <c r="AO205" s="1590"/>
      <c r="AP205" s="1611"/>
      <c r="AQ205" s="1614">
        <f t="shared" si="41"/>
        <v>0</v>
      </c>
      <c r="AR205" s="1701"/>
      <c r="AS205" s="1665"/>
      <c r="AT205" s="1648">
        <f t="shared" si="31"/>
        <v>0</v>
      </c>
      <c r="AU205" s="1667"/>
      <c r="AV205" s="935"/>
      <c r="AW205" s="935"/>
      <c r="AX205" s="935"/>
      <c r="AY205" s="722"/>
      <c r="AZ205" s="722"/>
      <c r="BA205" s="722"/>
      <c r="BB205" s="722"/>
      <c r="BC205" s="722"/>
      <c r="BD205" s="722"/>
      <c r="BE205" s="706"/>
      <c r="BF205" s="706"/>
      <c r="BG205" s="694"/>
      <c r="BM205" s="609"/>
    </row>
    <row r="206" spans="1:65" ht="15.75" x14ac:dyDescent="0.25">
      <c r="A206" s="1883"/>
      <c r="B206" s="1748"/>
      <c r="C206" s="1884"/>
      <c r="D206" s="1884"/>
      <c r="E206" s="1726">
        <f t="shared" si="32"/>
        <v>0</v>
      </c>
      <c r="F206" s="1722"/>
      <c r="G206" s="1741"/>
      <c r="H206" s="1728"/>
      <c r="I206" s="1743"/>
      <c r="J206" s="1743"/>
      <c r="K206" s="1744"/>
      <c r="L206" s="1734">
        <f t="shared" si="33"/>
        <v>0</v>
      </c>
      <c r="M206" s="1735">
        <f t="shared" si="34"/>
        <v>0</v>
      </c>
      <c r="N206" s="1730"/>
      <c r="O206" s="1730"/>
      <c r="P206" s="1730"/>
      <c r="Q206" s="1730"/>
      <c r="R206" s="1730"/>
      <c r="S206" s="1730"/>
      <c r="T206" s="1730"/>
      <c r="U206" s="1730"/>
      <c r="V206" s="1730"/>
      <c r="W206" s="1730"/>
      <c r="X206" s="1903">
        <f t="shared" si="30"/>
        <v>0</v>
      </c>
      <c r="Y206" s="1733">
        <f t="shared" si="35"/>
        <v>0</v>
      </c>
      <c r="Z206" s="528"/>
      <c r="AA206" s="1620"/>
      <c r="AB206" s="1616"/>
      <c r="AC206" s="1616"/>
      <c r="AD206" s="1616"/>
      <c r="AE206" s="1621"/>
      <c r="AF206" s="1615">
        <f t="shared" si="36"/>
        <v>0</v>
      </c>
      <c r="AG206" s="1116">
        <f t="shared" si="37"/>
        <v>0</v>
      </c>
      <c r="AH206" s="1116">
        <f t="shared" si="38"/>
        <v>0</v>
      </c>
      <c r="AI206" s="1116">
        <f t="shared" si="39"/>
        <v>0</v>
      </c>
      <c r="AJ206" s="1606">
        <f t="shared" si="40"/>
        <v>0</v>
      </c>
      <c r="AK206" s="1610"/>
      <c r="AL206" s="1590"/>
      <c r="AM206" s="1590"/>
      <c r="AN206" s="1590"/>
      <c r="AO206" s="1590"/>
      <c r="AP206" s="1611"/>
      <c r="AQ206" s="1614">
        <f t="shared" si="41"/>
        <v>0</v>
      </c>
      <c r="AR206" s="1701"/>
      <c r="AS206" s="1665"/>
      <c r="AT206" s="1648">
        <f t="shared" si="31"/>
        <v>0</v>
      </c>
      <c r="AU206" s="1667"/>
      <c r="AV206" s="935"/>
      <c r="AW206" s="935"/>
      <c r="AX206" s="935"/>
      <c r="AY206" s="722"/>
      <c r="AZ206" s="722"/>
      <c r="BA206" s="722"/>
      <c r="BB206" s="722"/>
      <c r="BC206" s="722"/>
      <c r="BD206" s="722"/>
      <c r="BE206" s="706"/>
      <c r="BF206" s="706"/>
      <c r="BG206" s="694"/>
      <c r="BM206" s="609"/>
    </row>
    <row r="207" spans="1:65" ht="15.75" x14ac:dyDescent="0.25">
      <c r="A207" s="1883"/>
      <c r="B207" s="1748"/>
      <c r="C207" s="1884"/>
      <c r="D207" s="1884"/>
      <c r="E207" s="1726">
        <f t="shared" si="32"/>
        <v>0</v>
      </c>
      <c r="F207" s="1722"/>
      <c r="G207" s="1741"/>
      <c r="H207" s="1728"/>
      <c r="I207" s="1743"/>
      <c r="J207" s="1743"/>
      <c r="K207" s="1744"/>
      <c r="L207" s="1734">
        <f t="shared" si="33"/>
        <v>0</v>
      </c>
      <c r="M207" s="1735">
        <f t="shared" si="34"/>
        <v>0</v>
      </c>
      <c r="N207" s="1730"/>
      <c r="O207" s="1730"/>
      <c r="P207" s="1730"/>
      <c r="Q207" s="1730"/>
      <c r="R207" s="1730"/>
      <c r="S207" s="1730"/>
      <c r="T207" s="1730"/>
      <c r="U207" s="1730"/>
      <c r="V207" s="1730"/>
      <c r="W207" s="1730"/>
      <c r="X207" s="1903">
        <f t="shared" si="30"/>
        <v>0</v>
      </c>
      <c r="Y207" s="1733">
        <f t="shared" si="35"/>
        <v>0</v>
      </c>
      <c r="Z207" s="528"/>
      <c r="AA207" s="1620"/>
      <c r="AB207" s="1616"/>
      <c r="AC207" s="1616"/>
      <c r="AD207" s="1616"/>
      <c r="AE207" s="1621"/>
      <c r="AF207" s="1615">
        <f t="shared" si="36"/>
        <v>0</v>
      </c>
      <c r="AG207" s="1116">
        <f t="shared" si="37"/>
        <v>0</v>
      </c>
      <c r="AH207" s="1116">
        <f t="shared" si="38"/>
        <v>0</v>
      </c>
      <c r="AI207" s="1116">
        <f t="shared" si="39"/>
        <v>0</v>
      </c>
      <c r="AJ207" s="1606">
        <f t="shared" si="40"/>
        <v>0</v>
      </c>
      <c r="AK207" s="1610"/>
      <c r="AL207" s="1590"/>
      <c r="AM207" s="1590"/>
      <c r="AN207" s="1590"/>
      <c r="AO207" s="1590"/>
      <c r="AP207" s="1611"/>
      <c r="AQ207" s="1614">
        <f t="shared" si="41"/>
        <v>0</v>
      </c>
      <c r="AR207" s="1701"/>
      <c r="AS207" s="1665"/>
      <c r="AT207" s="1648">
        <f t="shared" si="31"/>
        <v>0</v>
      </c>
      <c r="AU207" s="1667"/>
      <c r="AV207" s="935"/>
      <c r="AW207" s="935"/>
      <c r="AX207" s="935"/>
      <c r="AY207" s="722"/>
      <c r="AZ207" s="722"/>
      <c r="BA207" s="722"/>
      <c r="BB207" s="722"/>
      <c r="BC207" s="722"/>
      <c r="BD207" s="722"/>
      <c r="BE207" s="706"/>
      <c r="BF207" s="706"/>
      <c r="BG207" s="694"/>
      <c r="BM207" s="609"/>
    </row>
    <row r="208" spans="1:65" ht="15.75" x14ac:dyDescent="0.25">
      <c r="A208" s="1883"/>
      <c r="B208" s="1748"/>
      <c r="C208" s="1884"/>
      <c r="D208" s="1884"/>
      <c r="E208" s="1726">
        <f t="shared" si="32"/>
        <v>0</v>
      </c>
      <c r="F208" s="1722"/>
      <c r="G208" s="1741"/>
      <c r="H208" s="1728"/>
      <c r="I208" s="1743"/>
      <c r="J208" s="1743"/>
      <c r="K208" s="1744"/>
      <c r="L208" s="1734">
        <f t="shared" si="33"/>
        <v>0</v>
      </c>
      <c r="M208" s="1735">
        <f t="shared" si="34"/>
        <v>0</v>
      </c>
      <c r="N208" s="1730"/>
      <c r="O208" s="1730"/>
      <c r="P208" s="1730"/>
      <c r="Q208" s="1730"/>
      <c r="R208" s="1730"/>
      <c r="S208" s="1730"/>
      <c r="T208" s="1730"/>
      <c r="U208" s="1730"/>
      <c r="V208" s="1730"/>
      <c r="W208" s="1730"/>
      <c r="X208" s="1903">
        <f t="shared" si="30"/>
        <v>0</v>
      </c>
      <c r="Y208" s="1733">
        <f t="shared" si="35"/>
        <v>0</v>
      </c>
      <c r="Z208" s="528"/>
      <c r="AA208" s="1620"/>
      <c r="AB208" s="1616"/>
      <c r="AC208" s="1616"/>
      <c r="AD208" s="1616"/>
      <c r="AE208" s="1621"/>
      <c r="AF208" s="1615">
        <f t="shared" si="36"/>
        <v>0</v>
      </c>
      <c r="AG208" s="1116">
        <f t="shared" si="37"/>
        <v>0</v>
      </c>
      <c r="AH208" s="1116">
        <f t="shared" si="38"/>
        <v>0</v>
      </c>
      <c r="AI208" s="1116">
        <f t="shared" si="39"/>
        <v>0</v>
      </c>
      <c r="AJ208" s="1606">
        <f t="shared" si="40"/>
        <v>0</v>
      </c>
      <c r="AK208" s="1610"/>
      <c r="AL208" s="1590"/>
      <c r="AM208" s="1590"/>
      <c r="AN208" s="1590"/>
      <c r="AO208" s="1590"/>
      <c r="AP208" s="1611"/>
      <c r="AQ208" s="1614">
        <f t="shared" si="41"/>
        <v>0</v>
      </c>
      <c r="AR208" s="1701"/>
      <c r="AS208" s="1665"/>
      <c r="AT208" s="1648">
        <f t="shared" si="31"/>
        <v>0</v>
      </c>
      <c r="AU208" s="1667"/>
      <c r="AV208" s="935"/>
      <c r="AW208" s="935"/>
      <c r="AX208" s="935"/>
      <c r="AY208" s="722"/>
      <c r="AZ208" s="722"/>
      <c r="BA208" s="722"/>
      <c r="BB208" s="722"/>
      <c r="BC208" s="722"/>
      <c r="BD208" s="722"/>
      <c r="BE208" s="706"/>
      <c r="BF208" s="706"/>
      <c r="BG208" s="694"/>
      <c r="BM208" s="609"/>
    </row>
    <row r="209" spans="1:65" ht="15.75" x14ac:dyDescent="0.25">
      <c r="A209" s="1883"/>
      <c r="B209" s="1748"/>
      <c r="C209" s="1884"/>
      <c r="D209" s="1884"/>
      <c r="E209" s="1726">
        <f t="shared" si="32"/>
        <v>0</v>
      </c>
      <c r="F209" s="1722"/>
      <c r="G209" s="1741"/>
      <c r="H209" s="1728"/>
      <c r="I209" s="1743"/>
      <c r="J209" s="1743"/>
      <c r="K209" s="1744"/>
      <c r="L209" s="1734">
        <f t="shared" si="33"/>
        <v>0</v>
      </c>
      <c r="M209" s="1735">
        <f t="shared" si="34"/>
        <v>0</v>
      </c>
      <c r="N209" s="1730"/>
      <c r="O209" s="1730"/>
      <c r="P209" s="1730"/>
      <c r="Q209" s="1730"/>
      <c r="R209" s="1730"/>
      <c r="S209" s="1730"/>
      <c r="T209" s="1730"/>
      <c r="U209" s="1730"/>
      <c r="V209" s="1730"/>
      <c r="W209" s="1730"/>
      <c r="X209" s="1903">
        <f t="shared" si="30"/>
        <v>0</v>
      </c>
      <c r="Y209" s="1733">
        <f t="shared" si="35"/>
        <v>0</v>
      </c>
      <c r="Z209" s="528"/>
      <c r="AA209" s="1620"/>
      <c r="AB209" s="1616"/>
      <c r="AC209" s="1616"/>
      <c r="AD209" s="1616"/>
      <c r="AE209" s="1621"/>
      <c r="AF209" s="1615">
        <f t="shared" si="36"/>
        <v>0</v>
      </c>
      <c r="AG209" s="1116">
        <f t="shared" si="37"/>
        <v>0</v>
      </c>
      <c r="AH209" s="1116">
        <f t="shared" si="38"/>
        <v>0</v>
      </c>
      <c r="AI209" s="1116">
        <f t="shared" si="39"/>
        <v>0</v>
      </c>
      <c r="AJ209" s="1606">
        <f t="shared" si="40"/>
        <v>0</v>
      </c>
      <c r="AK209" s="1610"/>
      <c r="AL209" s="1590"/>
      <c r="AM209" s="1590"/>
      <c r="AN209" s="1590"/>
      <c r="AO209" s="1590"/>
      <c r="AP209" s="1611"/>
      <c r="AQ209" s="1614">
        <f t="shared" si="41"/>
        <v>0</v>
      </c>
      <c r="AR209" s="1701"/>
      <c r="AS209" s="1665"/>
      <c r="AT209" s="1648">
        <f t="shared" si="31"/>
        <v>0</v>
      </c>
      <c r="AU209" s="1667"/>
      <c r="AV209" s="935"/>
      <c r="AW209" s="935"/>
      <c r="AX209" s="935"/>
      <c r="AY209" s="722"/>
      <c r="AZ209" s="722"/>
      <c r="BA209" s="722"/>
      <c r="BB209" s="722"/>
      <c r="BC209" s="722"/>
      <c r="BD209" s="722"/>
      <c r="BE209" s="706"/>
      <c r="BF209" s="706"/>
      <c r="BG209" s="694"/>
      <c r="BM209" s="609"/>
    </row>
    <row r="210" spans="1:65" ht="15.75" x14ac:dyDescent="0.25">
      <c r="A210" s="1883"/>
      <c r="B210" s="1748"/>
      <c r="C210" s="1884"/>
      <c r="D210" s="1884"/>
      <c r="E210" s="1726">
        <f t="shared" si="32"/>
        <v>0</v>
      </c>
      <c r="F210" s="1722"/>
      <c r="G210" s="1741"/>
      <c r="H210" s="1728"/>
      <c r="I210" s="1743"/>
      <c r="J210" s="1743"/>
      <c r="K210" s="1744"/>
      <c r="L210" s="1734">
        <f t="shared" si="33"/>
        <v>0</v>
      </c>
      <c r="M210" s="1735">
        <f t="shared" si="34"/>
        <v>0</v>
      </c>
      <c r="N210" s="1730"/>
      <c r="O210" s="1730"/>
      <c r="P210" s="1730"/>
      <c r="Q210" s="1730"/>
      <c r="R210" s="1730"/>
      <c r="S210" s="1730"/>
      <c r="T210" s="1730"/>
      <c r="U210" s="1730"/>
      <c r="V210" s="1730"/>
      <c r="W210" s="1730"/>
      <c r="X210" s="1903">
        <f t="shared" si="30"/>
        <v>0</v>
      </c>
      <c r="Y210" s="1733">
        <f t="shared" si="35"/>
        <v>0</v>
      </c>
      <c r="Z210" s="528"/>
      <c r="AA210" s="1620"/>
      <c r="AB210" s="1616"/>
      <c r="AC210" s="1616"/>
      <c r="AD210" s="1616"/>
      <c r="AE210" s="1621"/>
      <c r="AF210" s="1615">
        <f t="shared" si="36"/>
        <v>0</v>
      </c>
      <c r="AG210" s="1116">
        <f t="shared" si="37"/>
        <v>0</v>
      </c>
      <c r="AH210" s="1116">
        <f t="shared" si="38"/>
        <v>0</v>
      </c>
      <c r="AI210" s="1116">
        <f t="shared" si="39"/>
        <v>0</v>
      </c>
      <c r="AJ210" s="1606">
        <f t="shared" si="40"/>
        <v>0</v>
      </c>
      <c r="AK210" s="1610"/>
      <c r="AL210" s="1590"/>
      <c r="AM210" s="1590"/>
      <c r="AN210" s="1590"/>
      <c r="AO210" s="1590"/>
      <c r="AP210" s="1611"/>
      <c r="AQ210" s="1614">
        <f t="shared" si="41"/>
        <v>0</v>
      </c>
      <c r="AR210" s="1701"/>
      <c r="AS210" s="1665"/>
      <c r="AT210" s="1648">
        <f t="shared" si="31"/>
        <v>0</v>
      </c>
      <c r="AU210" s="1667"/>
      <c r="AV210" s="935"/>
      <c r="AW210" s="935"/>
      <c r="AX210" s="935"/>
      <c r="AY210" s="722"/>
      <c r="AZ210" s="722"/>
      <c r="BA210" s="722"/>
      <c r="BB210" s="722"/>
      <c r="BC210" s="722"/>
      <c r="BD210" s="722"/>
      <c r="BE210" s="706"/>
      <c r="BF210" s="706"/>
      <c r="BG210" s="694"/>
      <c r="BM210" s="609"/>
    </row>
    <row r="211" spans="1:65" ht="15.75" x14ac:dyDescent="0.25">
      <c r="A211" s="1883"/>
      <c r="B211" s="1748"/>
      <c r="C211" s="1884"/>
      <c r="D211" s="1884"/>
      <c r="E211" s="1726">
        <f t="shared" si="32"/>
        <v>0</v>
      </c>
      <c r="F211" s="1722"/>
      <c r="G211" s="1741"/>
      <c r="H211" s="1728"/>
      <c r="I211" s="1743"/>
      <c r="J211" s="1743"/>
      <c r="K211" s="1744"/>
      <c r="L211" s="1734">
        <f t="shared" si="33"/>
        <v>0</v>
      </c>
      <c r="M211" s="1735">
        <f t="shared" si="34"/>
        <v>0</v>
      </c>
      <c r="N211" s="1730"/>
      <c r="O211" s="1730"/>
      <c r="P211" s="1730"/>
      <c r="Q211" s="1730"/>
      <c r="R211" s="1730"/>
      <c r="S211" s="1730"/>
      <c r="T211" s="1730"/>
      <c r="U211" s="1730"/>
      <c r="V211" s="1730"/>
      <c r="W211" s="1730"/>
      <c r="X211" s="1903">
        <f t="shared" si="30"/>
        <v>0</v>
      </c>
      <c r="Y211" s="1733">
        <f t="shared" si="35"/>
        <v>0</v>
      </c>
      <c r="Z211" s="528"/>
      <c r="AA211" s="1620"/>
      <c r="AB211" s="1616"/>
      <c r="AC211" s="1616"/>
      <c r="AD211" s="1616"/>
      <c r="AE211" s="1621"/>
      <c r="AF211" s="1615">
        <f t="shared" si="36"/>
        <v>0</v>
      </c>
      <c r="AG211" s="1116">
        <f t="shared" si="37"/>
        <v>0</v>
      </c>
      <c r="AH211" s="1116">
        <f t="shared" si="38"/>
        <v>0</v>
      </c>
      <c r="AI211" s="1116">
        <f t="shared" si="39"/>
        <v>0</v>
      </c>
      <c r="AJ211" s="1606">
        <f t="shared" si="40"/>
        <v>0</v>
      </c>
      <c r="AK211" s="1610"/>
      <c r="AL211" s="1590"/>
      <c r="AM211" s="1590"/>
      <c r="AN211" s="1590"/>
      <c r="AO211" s="1590"/>
      <c r="AP211" s="1611"/>
      <c r="AQ211" s="1614">
        <f t="shared" si="41"/>
        <v>0</v>
      </c>
      <c r="AR211" s="1701"/>
      <c r="AS211" s="1665"/>
      <c r="AT211" s="1648">
        <f t="shared" si="31"/>
        <v>0</v>
      </c>
      <c r="AU211" s="1667"/>
      <c r="AV211" s="935"/>
      <c r="AW211" s="935"/>
      <c r="AX211" s="935"/>
      <c r="AY211" s="722"/>
      <c r="AZ211" s="722"/>
      <c r="BA211" s="722"/>
      <c r="BB211" s="722"/>
      <c r="BC211" s="722"/>
      <c r="BD211" s="722"/>
      <c r="BE211" s="706"/>
      <c r="BF211" s="706"/>
      <c r="BG211" s="694"/>
      <c r="BM211" s="609"/>
    </row>
    <row r="212" spans="1:65" ht="15.75" x14ac:dyDescent="0.25">
      <c r="A212" s="1883"/>
      <c r="B212" s="1748"/>
      <c r="C212" s="1884"/>
      <c r="D212" s="1884"/>
      <c r="E212" s="1726">
        <f t="shared" si="32"/>
        <v>0</v>
      </c>
      <c r="F212" s="1722"/>
      <c r="G212" s="1741"/>
      <c r="H212" s="1728"/>
      <c r="I212" s="1743"/>
      <c r="J212" s="1743"/>
      <c r="K212" s="1744"/>
      <c r="L212" s="1734">
        <f t="shared" si="33"/>
        <v>0</v>
      </c>
      <c r="M212" s="1735">
        <f t="shared" si="34"/>
        <v>0</v>
      </c>
      <c r="N212" s="1730"/>
      <c r="O212" s="1730"/>
      <c r="P212" s="1730"/>
      <c r="Q212" s="1730"/>
      <c r="R212" s="1730"/>
      <c r="S212" s="1730"/>
      <c r="T212" s="1730"/>
      <c r="U212" s="1730"/>
      <c r="V212" s="1730"/>
      <c r="W212" s="1730"/>
      <c r="X212" s="1903">
        <f t="shared" si="30"/>
        <v>0</v>
      </c>
      <c r="Y212" s="1733">
        <f t="shared" si="35"/>
        <v>0</v>
      </c>
      <c r="Z212" s="528"/>
      <c r="AA212" s="1620"/>
      <c r="AB212" s="1616"/>
      <c r="AC212" s="1616"/>
      <c r="AD212" s="1616"/>
      <c r="AE212" s="1621"/>
      <c r="AF212" s="1615">
        <f t="shared" si="36"/>
        <v>0</v>
      </c>
      <c r="AG212" s="1116">
        <f t="shared" si="37"/>
        <v>0</v>
      </c>
      <c r="AH212" s="1116">
        <f t="shared" si="38"/>
        <v>0</v>
      </c>
      <c r="AI212" s="1116">
        <f t="shared" si="39"/>
        <v>0</v>
      </c>
      <c r="AJ212" s="1606">
        <f t="shared" si="40"/>
        <v>0</v>
      </c>
      <c r="AK212" s="1610"/>
      <c r="AL212" s="1590"/>
      <c r="AM212" s="1590"/>
      <c r="AN212" s="1590"/>
      <c r="AO212" s="1590"/>
      <c r="AP212" s="1611"/>
      <c r="AQ212" s="1614">
        <f t="shared" si="41"/>
        <v>0</v>
      </c>
      <c r="AR212" s="1701"/>
      <c r="AS212" s="1665"/>
      <c r="AT212" s="1648">
        <f t="shared" si="31"/>
        <v>0</v>
      </c>
      <c r="AU212" s="1667"/>
      <c r="AV212" s="935"/>
      <c r="AW212" s="935"/>
      <c r="AX212" s="935"/>
      <c r="AY212" s="722"/>
      <c r="AZ212" s="722"/>
      <c r="BA212" s="722"/>
      <c r="BB212" s="722"/>
      <c r="BC212" s="722"/>
      <c r="BD212" s="722"/>
      <c r="BE212" s="706"/>
      <c r="BF212" s="706"/>
      <c r="BG212" s="694"/>
      <c r="BM212" s="609"/>
    </row>
    <row r="213" spans="1:65" ht="15.75" x14ac:dyDescent="0.25">
      <c r="A213" s="1883"/>
      <c r="B213" s="1748"/>
      <c r="C213" s="1884"/>
      <c r="D213" s="1884"/>
      <c r="E213" s="1726">
        <f t="shared" si="32"/>
        <v>0</v>
      </c>
      <c r="F213" s="1722"/>
      <c r="G213" s="1741"/>
      <c r="H213" s="1728"/>
      <c r="I213" s="1743"/>
      <c r="J213" s="1743"/>
      <c r="K213" s="1744"/>
      <c r="L213" s="1734">
        <f t="shared" si="33"/>
        <v>0</v>
      </c>
      <c r="M213" s="1735">
        <f t="shared" si="34"/>
        <v>0</v>
      </c>
      <c r="N213" s="1730"/>
      <c r="O213" s="1730"/>
      <c r="P213" s="1730"/>
      <c r="Q213" s="1730"/>
      <c r="R213" s="1730"/>
      <c r="S213" s="1730"/>
      <c r="T213" s="1730"/>
      <c r="U213" s="1730"/>
      <c r="V213" s="1730"/>
      <c r="W213" s="1730"/>
      <c r="X213" s="1903">
        <f t="shared" si="30"/>
        <v>0</v>
      </c>
      <c r="Y213" s="1733">
        <f t="shared" si="35"/>
        <v>0</v>
      </c>
      <c r="Z213" s="528"/>
      <c r="AA213" s="1620"/>
      <c r="AB213" s="1616"/>
      <c r="AC213" s="1616"/>
      <c r="AD213" s="1616"/>
      <c r="AE213" s="1621"/>
      <c r="AF213" s="1615">
        <f t="shared" si="36"/>
        <v>0</v>
      </c>
      <c r="AG213" s="1116">
        <f t="shared" si="37"/>
        <v>0</v>
      </c>
      <c r="AH213" s="1116">
        <f t="shared" si="38"/>
        <v>0</v>
      </c>
      <c r="AI213" s="1116">
        <f t="shared" si="39"/>
        <v>0</v>
      </c>
      <c r="AJ213" s="1606">
        <f t="shared" si="40"/>
        <v>0</v>
      </c>
      <c r="AK213" s="1610"/>
      <c r="AL213" s="1590"/>
      <c r="AM213" s="1590"/>
      <c r="AN213" s="1590"/>
      <c r="AO213" s="1590"/>
      <c r="AP213" s="1611"/>
      <c r="AQ213" s="1614">
        <f t="shared" si="41"/>
        <v>0</v>
      </c>
      <c r="AR213" s="1701"/>
      <c r="AS213" s="1665"/>
      <c r="AT213" s="1648">
        <f t="shared" si="31"/>
        <v>0</v>
      </c>
      <c r="AU213" s="1667"/>
      <c r="AV213" s="935"/>
      <c r="AW213" s="935"/>
      <c r="AX213" s="935"/>
      <c r="AY213" s="722"/>
      <c r="AZ213" s="722"/>
      <c r="BA213" s="722"/>
      <c r="BB213" s="722"/>
      <c r="BC213" s="722"/>
      <c r="BD213" s="722"/>
      <c r="BE213" s="706"/>
      <c r="BF213" s="706"/>
      <c r="BG213" s="694"/>
      <c r="BM213" s="609"/>
    </row>
    <row r="214" spans="1:65" ht="15.75" x14ac:dyDescent="0.25">
      <c r="A214" s="1883"/>
      <c r="B214" s="1748"/>
      <c r="C214" s="1884"/>
      <c r="D214" s="1884"/>
      <c r="E214" s="1726">
        <f t="shared" si="32"/>
        <v>0</v>
      </c>
      <c r="F214" s="1722"/>
      <c r="G214" s="1741"/>
      <c r="H214" s="1728"/>
      <c r="I214" s="1743"/>
      <c r="J214" s="1743"/>
      <c r="K214" s="1744"/>
      <c r="L214" s="1734">
        <f t="shared" si="33"/>
        <v>0</v>
      </c>
      <c r="M214" s="1735">
        <f t="shared" si="34"/>
        <v>0</v>
      </c>
      <c r="N214" s="1730"/>
      <c r="O214" s="1730"/>
      <c r="P214" s="1730"/>
      <c r="Q214" s="1730"/>
      <c r="R214" s="1730"/>
      <c r="S214" s="1730"/>
      <c r="T214" s="1730"/>
      <c r="U214" s="1730"/>
      <c r="V214" s="1730"/>
      <c r="W214" s="1730"/>
      <c r="X214" s="1903">
        <f t="shared" si="30"/>
        <v>0</v>
      </c>
      <c r="Y214" s="1733">
        <f t="shared" si="35"/>
        <v>0</v>
      </c>
      <c r="Z214" s="528"/>
      <c r="AA214" s="1620"/>
      <c r="AB214" s="1616"/>
      <c r="AC214" s="1616"/>
      <c r="AD214" s="1616"/>
      <c r="AE214" s="1621"/>
      <c r="AF214" s="1615">
        <f t="shared" si="36"/>
        <v>0</v>
      </c>
      <c r="AG214" s="1116">
        <f t="shared" si="37"/>
        <v>0</v>
      </c>
      <c r="AH214" s="1116">
        <f t="shared" si="38"/>
        <v>0</v>
      </c>
      <c r="AI214" s="1116">
        <f t="shared" si="39"/>
        <v>0</v>
      </c>
      <c r="AJ214" s="1606">
        <f t="shared" si="40"/>
        <v>0</v>
      </c>
      <c r="AK214" s="1610"/>
      <c r="AL214" s="1590"/>
      <c r="AM214" s="1590"/>
      <c r="AN214" s="1590"/>
      <c r="AO214" s="1590"/>
      <c r="AP214" s="1611"/>
      <c r="AQ214" s="1614">
        <f t="shared" si="41"/>
        <v>0</v>
      </c>
      <c r="AR214" s="1701"/>
      <c r="AS214" s="1665"/>
      <c r="AT214" s="1648">
        <f t="shared" si="31"/>
        <v>0</v>
      </c>
      <c r="AU214" s="1667"/>
      <c r="AV214" s="935"/>
      <c r="AW214" s="935"/>
      <c r="AX214" s="935"/>
      <c r="AY214" s="722"/>
      <c r="AZ214" s="722"/>
      <c r="BA214" s="722"/>
      <c r="BB214" s="722"/>
      <c r="BC214" s="722"/>
      <c r="BD214" s="722"/>
      <c r="BE214" s="706"/>
      <c r="BF214" s="706"/>
      <c r="BG214" s="694"/>
      <c r="BM214" s="609"/>
    </row>
    <row r="215" spans="1:65" ht="15.75" x14ac:dyDescent="0.25">
      <c r="A215" s="1883"/>
      <c r="B215" s="1748"/>
      <c r="C215" s="1884"/>
      <c r="D215" s="1884"/>
      <c r="E215" s="1726">
        <f t="shared" si="32"/>
        <v>0</v>
      </c>
      <c r="F215" s="1722"/>
      <c r="G215" s="1741"/>
      <c r="H215" s="1728"/>
      <c r="I215" s="1743"/>
      <c r="J215" s="1743"/>
      <c r="K215" s="1744"/>
      <c r="L215" s="1734">
        <f t="shared" si="33"/>
        <v>0</v>
      </c>
      <c r="M215" s="1735">
        <f t="shared" si="34"/>
        <v>0</v>
      </c>
      <c r="N215" s="1730"/>
      <c r="O215" s="1730"/>
      <c r="P215" s="1730"/>
      <c r="Q215" s="1730"/>
      <c r="R215" s="1730"/>
      <c r="S215" s="1730"/>
      <c r="T215" s="1730"/>
      <c r="U215" s="1730"/>
      <c r="V215" s="1730"/>
      <c r="W215" s="1730"/>
      <c r="X215" s="1903">
        <f t="shared" si="30"/>
        <v>0</v>
      </c>
      <c r="Y215" s="1733">
        <f t="shared" si="35"/>
        <v>0</v>
      </c>
      <c r="Z215" s="528"/>
      <c r="AA215" s="1620"/>
      <c r="AB215" s="1616"/>
      <c r="AC215" s="1616"/>
      <c r="AD215" s="1616"/>
      <c r="AE215" s="1621"/>
      <c r="AF215" s="1615">
        <f t="shared" si="36"/>
        <v>0</v>
      </c>
      <c r="AG215" s="1116">
        <f t="shared" si="37"/>
        <v>0</v>
      </c>
      <c r="AH215" s="1116">
        <f t="shared" si="38"/>
        <v>0</v>
      </c>
      <c r="AI215" s="1116">
        <f t="shared" si="39"/>
        <v>0</v>
      </c>
      <c r="AJ215" s="1606">
        <f t="shared" si="40"/>
        <v>0</v>
      </c>
      <c r="AK215" s="1610"/>
      <c r="AL215" s="1590"/>
      <c r="AM215" s="1590"/>
      <c r="AN215" s="1590"/>
      <c r="AO215" s="1590"/>
      <c r="AP215" s="1611"/>
      <c r="AQ215" s="1614">
        <f t="shared" si="41"/>
        <v>0</v>
      </c>
      <c r="AR215" s="1701"/>
      <c r="AS215" s="1665"/>
      <c r="AT215" s="1648">
        <f t="shared" si="31"/>
        <v>0</v>
      </c>
      <c r="AU215" s="1667"/>
      <c r="AV215" s="935"/>
      <c r="AW215" s="935"/>
      <c r="AX215" s="935"/>
      <c r="AY215" s="722"/>
      <c r="AZ215" s="722"/>
      <c r="BA215" s="722"/>
      <c r="BB215" s="722"/>
      <c r="BC215" s="722"/>
      <c r="BD215" s="722"/>
      <c r="BE215" s="706"/>
      <c r="BF215" s="706"/>
      <c r="BG215" s="694"/>
      <c r="BM215" s="609"/>
    </row>
    <row r="216" spans="1:65" ht="15.75" x14ac:dyDescent="0.25">
      <c r="A216" s="1883"/>
      <c r="B216" s="1748"/>
      <c r="C216" s="1884"/>
      <c r="D216" s="1884"/>
      <c r="E216" s="1726">
        <f t="shared" si="32"/>
        <v>0</v>
      </c>
      <c r="F216" s="1722"/>
      <c r="G216" s="1741"/>
      <c r="H216" s="1728"/>
      <c r="I216" s="1743"/>
      <c r="J216" s="1743"/>
      <c r="K216" s="1744"/>
      <c r="L216" s="1734">
        <f t="shared" si="33"/>
        <v>0</v>
      </c>
      <c r="M216" s="1735">
        <f t="shared" si="34"/>
        <v>0</v>
      </c>
      <c r="N216" s="1730"/>
      <c r="O216" s="1730"/>
      <c r="P216" s="1730"/>
      <c r="Q216" s="1730"/>
      <c r="R216" s="1730"/>
      <c r="S216" s="1730"/>
      <c r="T216" s="1730"/>
      <c r="U216" s="1730"/>
      <c r="V216" s="1730"/>
      <c r="W216" s="1730"/>
      <c r="X216" s="1903">
        <f t="shared" si="30"/>
        <v>0</v>
      </c>
      <c r="Y216" s="1733">
        <f t="shared" si="35"/>
        <v>0</v>
      </c>
      <c r="Z216" s="528"/>
      <c r="AA216" s="1620"/>
      <c r="AB216" s="1616"/>
      <c r="AC216" s="1616"/>
      <c r="AD216" s="1616"/>
      <c r="AE216" s="1621"/>
      <c r="AF216" s="1615">
        <f t="shared" si="36"/>
        <v>0</v>
      </c>
      <c r="AG216" s="1116">
        <f t="shared" si="37"/>
        <v>0</v>
      </c>
      <c r="AH216" s="1116">
        <f t="shared" si="38"/>
        <v>0</v>
      </c>
      <c r="AI216" s="1116">
        <f t="shared" si="39"/>
        <v>0</v>
      </c>
      <c r="AJ216" s="1606">
        <f t="shared" si="40"/>
        <v>0</v>
      </c>
      <c r="AK216" s="1610"/>
      <c r="AL216" s="1590"/>
      <c r="AM216" s="1590"/>
      <c r="AN216" s="1590"/>
      <c r="AO216" s="1590"/>
      <c r="AP216" s="1611"/>
      <c r="AQ216" s="1614">
        <f t="shared" si="41"/>
        <v>0</v>
      </c>
      <c r="AR216" s="1701"/>
      <c r="AS216" s="1665"/>
      <c r="AT216" s="1648">
        <f t="shared" si="31"/>
        <v>0</v>
      </c>
      <c r="AU216" s="1667"/>
      <c r="AV216" s="935"/>
      <c r="AW216" s="935"/>
      <c r="AX216" s="935"/>
      <c r="AY216" s="722"/>
      <c r="AZ216" s="722"/>
      <c r="BA216" s="722"/>
      <c r="BB216" s="722"/>
      <c r="BC216" s="722"/>
      <c r="BD216" s="722"/>
      <c r="BE216" s="706"/>
      <c r="BF216" s="706"/>
      <c r="BG216" s="694"/>
      <c r="BM216" s="609"/>
    </row>
    <row r="217" spans="1:65" ht="15.75" x14ac:dyDescent="0.25">
      <c r="A217" s="1883"/>
      <c r="B217" s="1748"/>
      <c r="C217" s="1884"/>
      <c r="D217" s="1884"/>
      <c r="E217" s="1726">
        <f t="shared" si="32"/>
        <v>0</v>
      </c>
      <c r="F217" s="1722"/>
      <c r="G217" s="1741"/>
      <c r="H217" s="1728"/>
      <c r="I217" s="1743"/>
      <c r="J217" s="1743"/>
      <c r="K217" s="1744"/>
      <c r="L217" s="1734">
        <f t="shared" si="33"/>
        <v>0</v>
      </c>
      <c r="M217" s="1735">
        <f t="shared" si="34"/>
        <v>0</v>
      </c>
      <c r="N217" s="1730"/>
      <c r="O217" s="1730"/>
      <c r="P217" s="1730"/>
      <c r="Q217" s="1730"/>
      <c r="R217" s="1730"/>
      <c r="S217" s="1730"/>
      <c r="T217" s="1730"/>
      <c r="U217" s="1730"/>
      <c r="V217" s="1730"/>
      <c r="W217" s="1730"/>
      <c r="X217" s="1903">
        <f t="shared" si="30"/>
        <v>0</v>
      </c>
      <c r="Y217" s="1733">
        <f t="shared" si="35"/>
        <v>0</v>
      </c>
      <c r="Z217" s="528"/>
      <c r="AA217" s="1620"/>
      <c r="AB217" s="1616"/>
      <c r="AC217" s="1616"/>
      <c r="AD217" s="1616"/>
      <c r="AE217" s="1621"/>
      <c r="AF217" s="1615">
        <f t="shared" si="36"/>
        <v>0</v>
      </c>
      <c r="AG217" s="1116">
        <f t="shared" si="37"/>
        <v>0</v>
      </c>
      <c r="AH217" s="1116">
        <f t="shared" si="38"/>
        <v>0</v>
      </c>
      <c r="AI217" s="1116">
        <f t="shared" si="39"/>
        <v>0</v>
      </c>
      <c r="AJ217" s="1606">
        <f t="shared" si="40"/>
        <v>0</v>
      </c>
      <c r="AK217" s="1610"/>
      <c r="AL217" s="1590"/>
      <c r="AM217" s="1590"/>
      <c r="AN217" s="1590"/>
      <c r="AO217" s="1590"/>
      <c r="AP217" s="1611"/>
      <c r="AQ217" s="1614">
        <f t="shared" si="41"/>
        <v>0</v>
      </c>
      <c r="AR217" s="1701"/>
      <c r="AS217" s="1665"/>
      <c r="AT217" s="1648">
        <f t="shared" si="31"/>
        <v>0</v>
      </c>
      <c r="AU217" s="1667"/>
      <c r="AV217" s="935"/>
      <c r="AW217" s="935"/>
      <c r="AX217" s="935"/>
      <c r="AY217" s="722"/>
      <c r="AZ217" s="722"/>
      <c r="BA217" s="722"/>
      <c r="BB217" s="722"/>
      <c r="BC217" s="722"/>
      <c r="BD217" s="722"/>
      <c r="BE217" s="706"/>
      <c r="BF217" s="706"/>
      <c r="BG217" s="694"/>
      <c r="BM217" s="609"/>
    </row>
    <row r="218" spans="1:65" ht="15.75" x14ac:dyDescent="0.25">
      <c r="A218" s="1883"/>
      <c r="B218" s="1748"/>
      <c r="C218" s="1884"/>
      <c r="D218" s="1884"/>
      <c r="E218" s="1726">
        <f t="shared" si="32"/>
        <v>0</v>
      </c>
      <c r="F218" s="1722"/>
      <c r="G218" s="1741"/>
      <c r="H218" s="1728"/>
      <c r="I218" s="1743"/>
      <c r="J218" s="1743"/>
      <c r="K218" s="1744"/>
      <c r="L218" s="1734">
        <f t="shared" si="33"/>
        <v>0</v>
      </c>
      <c r="M218" s="1735">
        <f t="shared" si="34"/>
        <v>0</v>
      </c>
      <c r="N218" s="1730"/>
      <c r="O218" s="1730"/>
      <c r="P218" s="1730"/>
      <c r="Q218" s="1730"/>
      <c r="R218" s="1730"/>
      <c r="S218" s="1730"/>
      <c r="T218" s="1730"/>
      <c r="U218" s="1730"/>
      <c r="V218" s="1730"/>
      <c r="W218" s="1730"/>
      <c r="X218" s="1903">
        <f t="shared" ref="X218:X254" si="42">IF(AND(H218&gt;0,F218&lt;&gt;"GfB"),(SUM(M218:P218,R218,V218,Q218)*12+(T218+U218))*(100+$P$17+$P$18)%+((S218+W218)*12),IF(AND(H218&gt;0,F218="GfB"),(SUM(M218:P218,R218,V218,Q218)*12+(T218+U218))*(100+$P$20+$P$18)%+((S218+W218)*12),0))</f>
        <v>0</v>
      </c>
      <c r="Y218" s="1733">
        <f t="shared" si="35"/>
        <v>0</v>
      </c>
      <c r="Z218" s="528"/>
      <c r="AA218" s="1620"/>
      <c r="AB218" s="1616"/>
      <c r="AC218" s="1616"/>
      <c r="AD218" s="1616"/>
      <c r="AE218" s="1621"/>
      <c r="AF218" s="1615">
        <f t="shared" si="36"/>
        <v>0</v>
      </c>
      <c r="AG218" s="1116">
        <f t="shared" si="37"/>
        <v>0</v>
      </c>
      <c r="AH218" s="1116">
        <f t="shared" si="38"/>
        <v>0</v>
      </c>
      <c r="AI218" s="1116">
        <f t="shared" si="39"/>
        <v>0</v>
      </c>
      <c r="AJ218" s="1606">
        <f t="shared" si="40"/>
        <v>0</v>
      </c>
      <c r="AK218" s="1610"/>
      <c r="AL218" s="1590"/>
      <c r="AM218" s="1590"/>
      <c r="AN218" s="1590"/>
      <c r="AO218" s="1590"/>
      <c r="AP218" s="1611"/>
      <c r="AQ218" s="1614">
        <f t="shared" si="41"/>
        <v>0</v>
      </c>
      <c r="AR218" s="1701"/>
      <c r="AS218" s="1665"/>
      <c r="AT218" s="1648">
        <f t="shared" ref="AT218:AT223" si="43">IF(AND($H218&gt;0,$K218&gt;0),$X218,0)</f>
        <v>0</v>
      </c>
      <c r="AU218" s="1667"/>
      <c r="AV218" s="935"/>
      <c r="AW218" s="935"/>
      <c r="AX218" s="935"/>
      <c r="AY218" s="722"/>
      <c r="AZ218" s="722"/>
      <c r="BA218" s="722"/>
      <c r="BB218" s="722"/>
      <c r="BC218" s="722"/>
      <c r="BD218" s="722"/>
      <c r="BE218" s="706"/>
      <c r="BF218" s="706"/>
      <c r="BG218" s="694"/>
      <c r="BM218" s="609"/>
    </row>
    <row r="219" spans="1:65" ht="15.75" x14ac:dyDescent="0.25">
      <c r="A219" s="1883"/>
      <c r="B219" s="1748"/>
      <c r="C219" s="1884"/>
      <c r="D219" s="1884"/>
      <c r="E219" s="1726">
        <f t="shared" si="32"/>
        <v>0</v>
      </c>
      <c r="F219" s="1722"/>
      <c r="G219" s="1741"/>
      <c r="H219" s="1728"/>
      <c r="I219" s="1743"/>
      <c r="J219" s="1743"/>
      <c r="K219" s="1744"/>
      <c r="L219" s="1734">
        <f>IFERROR(IF($K$24="VK",K219,K219/H219),0)</f>
        <v>0</v>
      </c>
      <c r="M219" s="1735">
        <f>IFERROR(L219*H219,"")</f>
        <v>0</v>
      </c>
      <c r="N219" s="1730"/>
      <c r="O219" s="1730"/>
      <c r="P219" s="1730"/>
      <c r="Q219" s="1730"/>
      <c r="R219" s="1730"/>
      <c r="S219" s="1730"/>
      <c r="T219" s="1730"/>
      <c r="U219" s="1730"/>
      <c r="V219" s="1730"/>
      <c r="W219" s="1730"/>
      <c r="X219" s="1903">
        <f t="shared" si="42"/>
        <v>0</v>
      </c>
      <c r="Y219" s="1733">
        <f>IF(ISERROR(X219/H219),0,(X219/H219))</f>
        <v>0</v>
      </c>
      <c r="Z219" s="528"/>
      <c r="AA219" s="1620"/>
      <c r="AB219" s="1616"/>
      <c r="AC219" s="1616"/>
      <c r="AD219" s="1616"/>
      <c r="AE219" s="1621"/>
      <c r="AF219" s="1615">
        <f t="shared" ref="AF219:AF254" si="44">(IF(AND($H219&gt;0,$K219&gt;0),($M219+$N219),0))</f>
        <v>0</v>
      </c>
      <c r="AG219" s="1116">
        <f t="shared" ref="AG219:AG254" si="45">(IF(AND($H219&gt;0,$K219&gt;0),$O219,0))</f>
        <v>0</v>
      </c>
      <c r="AH219" s="1116">
        <f t="shared" ref="AH219:AH254" si="46">(IF(AND($H219&gt;0,$K219&gt;0),$P219,0))</f>
        <v>0</v>
      </c>
      <c r="AI219" s="1116">
        <f t="shared" ref="AI219:AI254" si="47">(IF(AND($H219&gt;0,$K219&gt;0),$Q219,0))</f>
        <v>0</v>
      </c>
      <c r="AJ219" s="1606">
        <f t="shared" ref="AJ219:AJ254" si="48">(IF(AND($H219&gt;0,$K219&gt;0),(($T219+$U219)/12),0))</f>
        <v>0</v>
      </c>
      <c r="AK219" s="1610"/>
      <c r="AL219" s="1590"/>
      <c r="AM219" s="1590"/>
      <c r="AN219" s="1590"/>
      <c r="AO219" s="1590"/>
      <c r="AP219" s="1611"/>
      <c r="AQ219" s="1614">
        <f t="shared" ref="AQ219:AQ254" si="49">IF(AND($H219&gt;0,$K219&gt;0),$H219,0)</f>
        <v>0</v>
      </c>
      <c r="AR219" s="1701"/>
      <c r="AS219" s="1665"/>
      <c r="AT219" s="1648">
        <f t="shared" si="43"/>
        <v>0</v>
      </c>
      <c r="AU219" s="1667"/>
      <c r="AV219" s="935"/>
      <c r="AW219" s="935"/>
      <c r="AX219" s="935"/>
      <c r="AY219" s="722"/>
      <c r="AZ219" s="722"/>
      <c r="BA219" s="722"/>
      <c r="BB219" s="722"/>
      <c r="BC219" s="722"/>
      <c r="BD219" s="722"/>
      <c r="BE219" s="706"/>
      <c r="BF219" s="706"/>
      <c r="BG219" s="694"/>
      <c r="BM219" s="609"/>
    </row>
    <row r="220" spans="1:65" ht="15.75" x14ac:dyDescent="0.25">
      <c r="A220" s="1883"/>
      <c r="B220" s="1748"/>
      <c r="C220" s="1884"/>
      <c r="D220" s="1884"/>
      <c r="E220" s="1726">
        <f t="shared" si="32"/>
        <v>0</v>
      </c>
      <c r="F220" s="1722"/>
      <c r="G220" s="1741"/>
      <c r="H220" s="1728"/>
      <c r="I220" s="1743"/>
      <c r="J220" s="1743"/>
      <c r="K220" s="1744"/>
      <c r="L220" s="1734">
        <f>IFERROR(IF($K$24="VK",K220,K220/H220),0)</f>
        <v>0</v>
      </c>
      <c r="M220" s="1735">
        <f>IFERROR(L220*H220,"")</f>
        <v>0</v>
      </c>
      <c r="N220" s="1730"/>
      <c r="O220" s="1730"/>
      <c r="P220" s="1730"/>
      <c r="Q220" s="1730"/>
      <c r="R220" s="1730"/>
      <c r="S220" s="1730"/>
      <c r="T220" s="1730"/>
      <c r="U220" s="1730"/>
      <c r="V220" s="1730"/>
      <c r="W220" s="1730"/>
      <c r="X220" s="1903">
        <f t="shared" si="42"/>
        <v>0</v>
      </c>
      <c r="Y220" s="1733">
        <f>IF(ISERROR(X220/H220),0,(X220/H220))</f>
        <v>0</v>
      </c>
      <c r="Z220" s="528"/>
      <c r="AA220" s="1620"/>
      <c r="AB220" s="1616"/>
      <c r="AC220" s="1616"/>
      <c r="AD220" s="1616"/>
      <c r="AE220" s="1621"/>
      <c r="AF220" s="1615">
        <f t="shared" si="44"/>
        <v>0</v>
      </c>
      <c r="AG220" s="1116">
        <f t="shared" si="45"/>
        <v>0</v>
      </c>
      <c r="AH220" s="1116">
        <f t="shared" si="46"/>
        <v>0</v>
      </c>
      <c r="AI220" s="1116">
        <f t="shared" si="47"/>
        <v>0</v>
      </c>
      <c r="AJ220" s="1606">
        <f t="shared" si="48"/>
        <v>0</v>
      </c>
      <c r="AK220" s="1610"/>
      <c r="AL220" s="1590"/>
      <c r="AM220" s="1590"/>
      <c r="AN220" s="1590"/>
      <c r="AO220" s="1590"/>
      <c r="AP220" s="1611"/>
      <c r="AQ220" s="1614">
        <f t="shared" si="49"/>
        <v>0</v>
      </c>
      <c r="AR220" s="1701"/>
      <c r="AS220" s="1665"/>
      <c r="AT220" s="1648">
        <f t="shared" si="43"/>
        <v>0</v>
      </c>
      <c r="AU220" s="1667"/>
      <c r="AV220" s="935"/>
      <c r="AW220" s="935"/>
      <c r="AX220" s="935"/>
      <c r="AY220" s="722"/>
      <c r="AZ220" s="722"/>
      <c r="BA220" s="722"/>
      <c r="BB220" s="722"/>
      <c r="BC220" s="722"/>
      <c r="BD220" s="722"/>
      <c r="BE220" s="706"/>
      <c r="BF220" s="706"/>
      <c r="BG220" s="694"/>
      <c r="BM220" s="609"/>
    </row>
    <row r="221" spans="1:65" ht="15.75" x14ac:dyDescent="0.25">
      <c r="A221" s="1883"/>
      <c r="B221" s="1748"/>
      <c r="C221" s="1884"/>
      <c r="D221" s="1884"/>
      <c r="E221" s="1726">
        <f t="shared" si="32"/>
        <v>0</v>
      </c>
      <c r="F221" s="1722"/>
      <c r="G221" s="1741"/>
      <c r="H221" s="1728"/>
      <c r="I221" s="1743"/>
      <c r="J221" s="1743"/>
      <c r="K221" s="1744"/>
      <c r="L221" s="1734">
        <f>IFERROR(IF($K$24="VK",K221,K221/H221),0)</f>
        <v>0</v>
      </c>
      <c r="M221" s="1735">
        <f>IFERROR(L221*H221,"")</f>
        <v>0</v>
      </c>
      <c r="N221" s="1730"/>
      <c r="O221" s="1730"/>
      <c r="P221" s="1730"/>
      <c r="Q221" s="1730"/>
      <c r="R221" s="1730"/>
      <c r="S221" s="1730"/>
      <c r="T221" s="1730"/>
      <c r="U221" s="1730"/>
      <c r="V221" s="1730"/>
      <c r="W221" s="1730"/>
      <c r="X221" s="1903">
        <f t="shared" si="42"/>
        <v>0</v>
      </c>
      <c r="Y221" s="1733">
        <f>IF(ISERROR(X221/H221),0,(X221/H221))</f>
        <v>0</v>
      </c>
      <c r="Z221" s="528"/>
      <c r="AA221" s="1620"/>
      <c r="AB221" s="1616"/>
      <c r="AC221" s="1616"/>
      <c r="AD221" s="1616"/>
      <c r="AE221" s="1621"/>
      <c r="AF221" s="1615">
        <f t="shared" si="44"/>
        <v>0</v>
      </c>
      <c r="AG221" s="1116">
        <f t="shared" si="45"/>
        <v>0</v>
      </c>
      <c r="AH221" s="1116">
        <f t="shared" si="46"/>
        <v>0</v>
      </c>
      <c r="AI221" s="1116">
        <f t="shared" si="47"/>
        <v>0</v>
      </c>
      <c r="AJ221" s="1606">
        <f t="shared" si="48"/>
        <v>0</v>
      </c>
      <c r="AK221" s="1610"/>
      <c r="AL221" s="1590"/>
      <c r="AM221" s="1590"/>
      <c r="AN221" s="1590"/>
      <c r="AO221" s="1590"/>
      <c r="AP221" s="1611"/>
      <c r="AQ221" s="1614">
        <f t="shared" si="49"/>
        <v>0</v>
      </c>
      <c r="AR221" s="1701"/>
      <c r="AS221" s="1665"/>
      <c r="AT221" s="1648">
        <f t="shared" si="43"/>
        <v>0</v>
      </c>
      <c r="AU221" s="1667"/>
      <c r="AV221" s="935"/>
      <c r="AW221" s="935"/>
      <c r="AX221" s="935"/>
      <c r="AY221" s="722"/>
      <c r="AZ221" s="722"/>
      <c r="BA221" s="722"/>
      <c r="BB221" s="722"/>
      <c r="BC221" s="722"/>
      <c r="BD221" s="722"/>
      <c r="BE221" s="706"/>
      <c r="BF221" s="706"/>
      <c r="BG221" s="694"/>
      <c r="BM221" s="609"/>
    </row>
    <row r="222" spans="1:65" ht="15.75" x14ac:dyDescent="0.25">
      <c r="A222" s="1883"/>
      <c r="B222" s="1748"/>
      <c r="C222" s="1884"/>
      <c r="D222" s="1884"/>
      <c r="E222" s="1726">
        <f t="shared" si="32"/>
        <v>0</v>
      </c>
      <c r="F222" s="1722"/>
      <c r="G222" s="1741"/>
      <c r="H222" s="1728"/>
      <c r="I222" s="1743"/>
      <c r="J222" s="1743"/>
      <c r="K222" s="1744"/>
      <c r="L222" s="1734">
        <f>IFERROR(IF($K$24="VK",K222,K222/H222),0)</f>
        <v>0</v>
      </c>
      <c r="M222" s="1735">
        <f>IFERROR(L222*H222,"")</f>
        <v>0</v>
      </c>
      <c r="N222" s="1730"/>
      <c r="O222" s="1730"/>
      <c r="P222" s="1730"/>
      <c r="Q222" s="1730"/>
      <c r="R222" s="1730"/>
      <c r="S222" s="1730"/>
      <c r="T222" s="1730"/>
      <c r="U222" s="1730"/>
      <c r="V222" s="1730"/>
      <c r="W222" s="1730"/>
      <c r="X222" s="1903">
        <f t="shared" si="42"/>
        <v>0</v>
      </c>
      <c r="Y222" s="1733">
        <f>IF(ISERROR(X222/H222),0,(X222/H222))</f>
        <v>0</v>
      </c>
      <c r="Z222" s="528"/>
      <c r="AA222" s="1620"/>
      <c r="AB222" s="1616"/>
      <c r="AC222" s="1616"/>
      <c r="AD222" s="1616"/>
      <c r="AE222" s="1621"/>
      <c r="AF222" s="1615">
        <f t="shared" si="44"/>
        <v>0</v>
      </c>
      <c r="AG222" s="1116">
        <f t="shared" si="45"/>
        <v>0</v>
      </c>
      <c r="AH222" s="1116">
        <f t="shared" si="46"/>
        <v>0</v>
      </c>
      <c r="AI222" s="1116">
        <f t="shared" si="47"/>
        <v>0</v>
      </c>
      <c r="AJ222" s="1606">
        <f t="shared" si="48"/>
        <v>0</v>
      </c>
      <c r="AK222" s="1610"/>
      <c r="AL222" s="1590"/>
      <c r="AM222" s="1590"/>
      <c r="AN222" s="1590"/>
      <c r="AO222" s="1590"/>
      <c r="AP222" s="1611"/>
      <c r="AQ222" s="1614">
        <f t="shared" si="49"/>
        <v>0</v>
      </c>
      <c r="AR222" s="1701"/>
      <c r="AS222" s="1665"/>
      <c r="AT222" s="1648">
        <f t="shared" si="43"/>
        <v>0</v>
      </c>
      <c r="AU222" s="1667"/>
      <c r="AV222" s="935"/>
      <c r="AW222" s="935"/>
      <c r="AX222" s="935"/>
      <c r="AY222" s="722"/>
      <c r="AZ222" s="722"/>
      <c r="BA222" s="722"/>
      <c r="BB222" s="722"/>
      <c r="BC222" s="722"/>
      <c r="BD222" s="722"/>
      <c r="BE222" s="706"/>
      <c r="BF222" s="706"/>
      <c r="BG222" s="694"/>
      <c r="BM222" s="609"/>
    </row>
    <row r="223" spans="1:65" ht="15.75" x14ac:dyDescent="0.25">
      <c r="A223" s="1883"/>
      <c r="B223" s="1748"/>
      <c r="C223" s="1884"/>
      <c r="D223" s="1884"/>
      <c r="E223" s="1726">
        <f t="shared" si="32"/>
        <v>0</v>
      </c>
      <c r="F223" s="1722"/>
      <c r="G223" s="1741"/>
      <c r="H223" s="1728"/>
      <c r="I223" s="1743"/>
      <c r="J223" s="1743"/>
      <c r="K223" s="1744"/>
      <c r="L223" s="1734">
        <f>IFERROR(IF($K$24="VK",K223,K223/H223),0)</f>
        <v>0</v>
      </c>
      <c r="M223" s="1735">
        <f>IFERROR(L223*H223,"")</f>
        <v>0</v>
      </c>
      <c r="N223" s="1730"/>
      <c r="O223" s="1730"/>
      <c r="P223" s="1730"/>
      <c r="Q223" s="1730"/>
      <c r="R223" s="1730"/>
      <c r="S223" s="1730"/>
      <c r="T223" s="1730"/>
      <c r="U223" s="1730"/>
      <c r="V223" s="1730"/>
      <c r="W223" s="1730"/>
      <c r="X223" s="1903">
        <f t="shared" si="42"/>
        <v>0</v>
      </c>
      <c r="Y223" s="1733">
        <f>IF(ISERROR(X223/H223),0,(X223/H223))</f>
        <v>0</v>
      </c>
      <c r="Z223" s="528"/>
      <c r="AA223" s="1620"/>
      <c r="AB223" s="1616"/>
      <c r="AC223" s="1616"/>
      <c r="AD223" s="1616"/>
      <c r="AE223" s="1621"/>
      <c r="AF223" s="1693">
        <f t="shared" si="44"/>
        <v>0</v>
      </c>
      <c r="AG223" s="1669">
        <f t="shared" si="45"/>
        <v>0</v>
      </c>
      <c r="AH223" s="1669">
        <f t="shared" si="46"/>
        <v>0</v>
      </c>
      <c r="AI223" s="1669">
        <f t="shared" si="47"/>
        <v>0</v>
      </c>
      <c r="AJ223" s="1685">
        <f t="shared" si="48"/>
        <v>0</v>
      </c>
      <c r="AK223" s="1610"/>
      <c r="AL223" s="1590"/>
      <c r="AM223" s="1590"/>
      <c r="AN223" s="1590"/>
      <c r="AO223" s="1590"/>
      <c r="AP223" s="1611"/>
      <c r="AQ223" s="1681">
        <f t="shared" si="49"/>
        <v>0</v>
      </c>
      <c r="AR223" s="1701"/>
      <c r="AS223" s="1665"/>
      <c r="AT223" s="1672">
        <f t="shared" si="43"/>
        <v>0</v>
      </c>
      <c r="AU223" s="1667"/>
      <c r="AV223" s="935"/>
      <c r="AW223" s="935"/>
      <c r="AX223" s="935"/>
      <c r="AY223" s="722"/>
      <c r="AZ223" s="722"/>
      <c r="BA223" s="722"/>
      <c r="BB223" s="722"/>
      <c r="BC223" s="722"/>
      <c r="BD223" s="722"/>
      <c r="BE223" s="706"/>
      <c r="BF223" s="706"/>
      <c r="BG223" s="694"/>
      <c r="BM223" s="609"/>
    </row>
    <row r="224" spans="1:65" s="10" customFormat="1" ht="15.75" x14ac:dyDescent="0.25">
      <c r="A224" s="790" t="s">
        <v>388</v>
      </c>
      <c r="B224" s="791"/>
      <c r="C224" s="150"/>
      <c r="D224" s="150"/>
      <c r="E224" s="150"/>
      <c r="F224" s="792" t="s">
        <v>397</v>
      </c>
      <c r="G224" s="793"/>
      <c r="H224" s="800"/>
      <c r="I224" s="794"/>
      <c r="J224" s="794"/>
      <c r="K224" s="795"/>
      <c r="L224" s="795"/>
      <c r="M224" s="796"/>
      <c r="N224" s="796"/>
      <c r="O224" s="796"/>
      <c r="P224" s="796"/>
      <c r="Q224" s="796"/>
      <c r="R224" s="796"/>
      <c r="S224" s="796"/>
      <c r="T224" s="796"/>
      <c r="U224" s="796"/>
      <c r="V224" s="796"/>
      <c r="W224" s="796"/>
      <c r="X224" s="796"/>
      <c r="Y224" s="798"/>
      <c r="Z224" s="799"/>
      <c r="AA224" s="1656"/>
      <c r="AB224" s="1657"/>
      <c r="AC224" s="1657"/>
      <c r="AD224" s="1657"/>
      <c r="AE224" s="1657"/>
      <c r="AF224" s="1658"/>
      <c r="AG224" s="1659"/>
      <c r="AH224" s="1659"/>
      <c r="AI224" s="1659"/>
      <c r="AJ224" s="1659"/>
      <c r="AK224" s="1660"/>
      <c r="AL224" s="1661"/>
      <c r="AM224" s="1661"/>
      <c r="AN224" s="1661"/>
      <c r="AO224" s="1661"/>
      <c r="AP224" s="1586"/>
      <c r="AQ224" s="1614"/>
      <c r="AR224" s="1662"/>
      <c r="AS224" s="1638"/>
      <c r="AT224" s="1648"/>
      <c r="AU224" s="1649"/>
      <c r="AV224" s="935"/>
      <c r="AW224" s="935"/>
      <c r="AX224" s="935"/>
      <c r="AY224" s="732"/>
      <c r="AZ224" s="732"/>
      <c r="BA224" s="732"/>
      <c r="BB224" s="732"/>
      <c r="BC224" s="732"/>
      <c r="BD224" s="732"/>
      <c r="BE224" s="717"/>
      <c r="BF224" s="717"/>
      <c r="BG224" s="704"/>
      <c r="BH224" s="330"/>
      <c r="BI224" s="330"/>
      <c r="BJ224" s="330"/>
      <c r="BK224" s="330"/>
      <c r="BM224" s="590"/>
    </row>
    <row r="225" spans="1:65" ht="15.75" x14ac:dyDescent="0.25">
      <c r="A225" s="1883"/>
      <c r="B225" s="1748"/>
      <c r="C225" s="1884"/>
      <c r="D225" s="1884"/>
      <c r="E225" s="1726">
        <f t="shared" ref="E225:E254" si="50">IFERROR(D225/B225,0)</f>
        <v>0</v>
      </c>
      <c r="F225" s="1722"/>
      <c r="G225" s="1741"/>
      <c r="H225" s="1728"/>
      <c r="I225" s="1743"/>
      <c r="J225" s="1743"/>
      <c r="K225" s="1744"/>
      <c r="L225" s="1734">
        <f>IFERROR(IF($K$24="VK",K225,K225/H225),0)</f>
        <v>0</v>
      </c>
      <c r="M225" s="1735">
        <f>IFERROR(L225*H225,"")</f>
        <v>0</v>
      </c>
      <c r="N225" s="1730"/>
      <c r="O225" s="1730"/>
      <c r="P225" s="1730"/>
      <c r="Q225" s="1730"/>
      <c r="R225" s="1730"/>
      <c r="S225" s="1730"/>
      <c r="T225" s="1730"/>
      <c r="U225" s="1730"/>
      <c r="V225" s="1730"/>
      <c r="W225" s="1730"/>
      <c r="X225" s="1903">
        <f t="shared" si="42"/>
        <v>0</v>
      </c>
      <c r="Y225" s="1733">
        <f>IF(ISERROR(X225/H225),0,(X225/H225))</f>
        <v>0</v>
      </c>
      <c r="Z225" s="528"/>
      <c r="AA225" s="1620"/>
      <c r="AB225" s="1616"/>
      <c r="AC225" s="1616"/>
      <c r="AD225" s="1616"/>
      <c r="AE225" s="1621"/>
      <c r="AF225" s="1692">
        <f t="shared" si="44"/>
        <v>0</v>
      </c>
      <c r="AG225" s="1654">
        <f t="shared" si="45"/>
        <v>0</v>
      </c>
      <c r="AH225" s="1654">
        <f t="shared" si="46"/>
        <v>0</v>
      </c>
      <c r="AI225" s="1654">
        <f t="shared" si="47"/>
        <v>0</v>
      </c>
      <c r="AJ225" s="1684">
        <f t="shared" si="48"/>
        <v>0</v>
      </c>
      <c r="AK225" s="1610"/>
      <c r="AL225" s="1590"/>
      <c r="AM225" s="1590"/>
      <c r="AN225" s="1590"/>
      <c r="AO225" s="1590"/>
      <c r="AP225" s="1611"/>
      <c r="AQ225" s="1696">
        <f t="shared" si="49"/>
        <v>0</v>
      </c>
      <c r="AR225" s="1701"/>
      <c r="AS225" s="1665"/>
      <c r="AT225" s="1663">
        <f t="shared" ref="AT225:AT253" si="51">IF(AND($H225&gt;0,$K225&gt;0),$X225,0)</f>
        <v>0</v>
      </c>
      <c r="AU225" s="1667"/>
      <c r="AV225" s="935"/>
      <c r="AW225" s="935"/>
      <c r="AX225" s="935"/>
      <c r="AY225" s="722"/>
      <c r="AZ225" s="722"/>
      <c r="BA225" s="722"/>
      <c r="BB225" s="722"/>
      <c r="BC225" s="722"/>
      <c r="BD225" s="722"/>
      <c r="BE225" s="706"/>
      <c r="BF225" s="706"/>
      <c r="BG225" s="694"/>
      <c r="BM225" s="609"/>
    </row>
    <row r="226" spans="1:65" ht="15.75" x14ac:dyDescent="0.25">
      <c r="A226" s="1883"/>
      <c r="B226" s="1748"/>
      <c r="C226" s="1884"/>
      <c r="D226" s="1884"/>
      <c r="E226" s="1726">
        <f t="shared" si="50"/>
        <v>0</v>
      </c>
      <c r="F226" s="1722"/>
      <c r="G226" s="1741"/>
      <c r="H226" s="1728"/>
      <c r="I226" s="1743"/>
      <c r="J226" s="1743"/>
      <c r="K226" s="1744"/>
      <c r="L226" s="1734">
        <f t="shared" ref="L226:L254" si="52">IFERROR(IF($K$24="VK",K226,K226/H226),0)</f>
        <v>0</v>
      </c>
      <c r="M226" s="1735">
        <f t="shared" ref="M226:M254" si="53">IFERROR(L226*H226,"")</f>
        <v>0</v>
      </c>
      <c r="N226" s="1730"/>
      <c r="O226" s="1730"/>
      <c r="P226" s="1730"/>
      <c r="Q226" s="1730"/>
      <c r="R226" s="1730"/>
      <c r="S226" s="1730"/>
      <c r="T226" s="1730"/>
      <c r="U226" s="1730"/>
      <c r="V226" s="1730"/>
      <c r="W226" s="1730"/>
      <c r="X226" s="1903">
        <f t="shared" si="42"/>
        <v>0</v>
      </c>
      <c r="Y226" s="1733">
        <f t="shared" ref="Y226:Y254" si="54">IF(ISERROR(X226/H226),0,(X226/H226))</f>
        <v>0</v>
      </c>
      <c r="Z226" s="528"/>
      <c r="AA226" s="1620"/>
      <c r="AB226" s="1616"/>
      <c r="AC226" s="1616"/>
      <c r="AD226" s="1616"/>
      <c r="AE226" s="1621"/>
      <c r="AF226" s="1615">
        <f t="shared" si="44"/>
        <v>0</v>
      </c>
      <c r="AG226" s="1116">
        <f t="shared" si="45"/>
        <v>0</v>
      </c>
      <c r="AH226" s="1116">
        <f t="shared" si="46"/>
        <v>0</v>
      </c>
      <c r="AI226" s="1116">
        <f t="shared" si="47"/>
        <v>0</v>
      </c>
      <c r="AJ226" s="1606">
        <f t="shared" si="48"/>
        <v>0</v>
      </c>
      <c r="AK226" s="1610"/>
      <c r="AL226" s="1590"/>
      <c r="AM226" s="1590"/>
      <c r="AN226" s="1590"/>
      <c r="AO226" s="1590"/>
      <c r="AP226" s="1611"/>
      <c r="AQ226" s="1614">
        <f t="shared" si="49"/>
        <v>0</v>
      </c>
      <c r="AR226" s="1701"/>
      <c r="AS226" s="1665"/>
      <c r="AT226" s="1648">
        <f t="shared" si="51"/>
        <v>0</v>
      </c>
      <c r="AU226" s="1667"/>
      <c r="AV226" s="935"/>
      <c r="AW226" s="935"/>
      <c r="AX226" s="935"/>
      <c r="AY226" s="722"/>
      <c r="AZ226" s="722"/>
      <c r="BA226" s="722"/>
      <c r="BB226" s="722"/>
      <c r="BC226" s="722"/>
      <c r="BD226" s="722"/>
      <c r="BE226" s="706"/>
      <c r="BF226" s="706"/>
      <c r="BG226" s="694"/>
      <c r="BM226" s="609"/>
    </row>
    <row r="227" spans="1:65" ht="15.75" x14ac:dyDescent="0.25">
      <c r="A227" s="1883"/>
      <c r="B227" s="1748"/>
      <c r="C227" s="1884"/>
      <c r="D227" s="1884"/>
      <c r="E227" s="1726">
        <f t="shared" si="50"/>
        <v>0</v>
      </c>
      <c r="F227" s="1722"/>
      <c r="G227" s="1741"/>
      <c r="H227" s="1728"/>
      <c r="I227" s="1743"/>
      <c r="J227" s="1743"/>
      <c r="K227" s="1744"/>
      <c r="L227" s="1734">
        <f t="shared" si="52"/>
        <v>0</v>
      </c>
      <c r="M227" s="1735">
        <f t="shared" si="53"/>
        <v>0</v>
      </c>
      <c r="N227" s="1730"/>
      <c r="O227" s="1730"/>
      <c r="P227" s="1730"/>
      <c r="Q227" s="1730"/>
      <c r="R227" s="1730"/>
      <c r="S227" s="1730"/>
      <c r="T227" s="1730"/>
      <c r="U227" s="1730"/>
      <c r="V227" s="1730"/>
      <c r="W227" s="1730"/>
      <c r="X227" s="1903">
        <f t="shared" si="42"/>
        <v>0</v>
      </c>
      <c r="Y227" s="1733">
        <f t="shared" si="54"/>
        <v>0</v>
      </c>
      <c r="Z227" s="528"/>
      <c r="AA227" s="1620"/>
      <c r="AB227" s="1616"/>
      <c r="AC227" s="1616"/>
      <c r="AD227" s="1616"/>
      <c r="AE227" s="1621"/>
      <c r="AF227" s="1615">
        <f t="shared" si="44"/>
        <v>0</v>
      </c>
      <c r="AG227" s="1116">
        <f t="shared" si="45"/>
        <v>0</v>
      </c>
      <c r="AH227" s="1116">
        <f t="shared" si="46"/>
        <v>0</v>
      </c>
      <c r="AI227" s="1116">
        <f t="shared" si="47"/>
        <v>0</v>
      </c>
      <c r="AJ227" s="1606">
        <f t="shared" si="48"/>
        <v>0</v>
      </c>
      <c r="AK227" s="1610"/>
      <c r="AL227" s="1590"/>
      <c r="AM227" s="1590"/>
      <c r="AN227" s="1590"/>
      <c r="AO227" s="1590"/>
      <c r="AP227" s="1611"/>
      <c r="AQ227" s="1614">
        <f t="shared" si="49"/>
        <v>0</v>
      </c>
      <c r="AR227" s="1701"/>
      <c r="AS227" s="1665"/>
      <c r="AT227" s="1648">
        <f t="shared" si="51"/>
        <v>0</v>
      </c>
      <c r="AU227" s="1667"/>
      <c r="AV227" s="935"/>
      <c r="AW227" s="935"/>
      <c r="AX227" s="935"/>
      <c r="AY227" s="722"/>
      <c r="AZ227" s="722"/>
      <c r="BA227" s="722"/>
      <c r="BB227" s="722"/>
      <c r="BC227" s="722"/>
      <c r="BD227" s="722"/>
      <c r="BE227" s="706"/>
      <c r="BF227" s="706"/>
      <c r="BG227" s="694"/>
      <c r="BM227" s="609"/>
    </row>
    <row r="228" spans="1:65" ht="15.75" x14ac:dyDescent="0.25">
      <c r="A228" s="1883"/>
      <c r="B228" s="1748"/>
      <c r="C228" s="1884"/>
      <c r="D228" s="1884"/>
      <c r="E228" s="1726">
        <f t="shared" si="50"/>
        <v>0</v>
      </c>
      <c r="F228" s="1722"/>
      <c r="G228" s="1741"/>
      <c r="H228" s="1728"/>
      <c r="I228" s="1743"/>
      <c r="J228" s="1743"/>
      <c r="K228" s="1744"/>
      <c r="L228" s="1734">
        <f t="shared" si="52"/>
        <v>0</v>
      </c>
      <c r="M228" s="1735">
        <f t="shared" si="53"/>
        <v>0</v>
      </c>
      <c r="N228" s="1730"/>
      <c r="O228" s="1730"/>
      <c r="P228" s="1730"/>
      <c r="Q228" s="1730"/>
      <c r="R228" s="1730"/>
      <c r="S228" s="1730"/>
      <c r="T228" s="1730"/>
      <c r="U228" s="1730"/>
      <c r="V228" s="1730"/>
      <c r="W228" s="1730"/>
      <c r="X228" s="1903">
        <f t="shared" si="42"/>
        <v>0</v>
      </c>
      <c r="Y228" s="1733">
        <f t="shared" si="54"/>
        <v>0</v>
      </c>
      <c r="Z228" s="528"/>
      <c r="AA228" s="1620"/>
      <c r="AB228" s="1616"/>
      <c r="AC228" s="1616"/>
      <c r="AD228" s="1616"/>
      <c r="AE228" s="1621"/>
      <c r="AF228" s="1615">
        <f t="shared" si="44"/>
        <v>0</v>
      </c>
      <c r="AG228" s="1116">
        <f t="shared" si="45"/>
        <v>0</v>
      </c>
      <c r="AH228" s="1116">
        <f t="shared" si="46"/>
        <v>0</v>
      </c>
      <c r="AI228" s="1116">
        <f t="shared" si="47"/>
        <v>0</v>
      </c>
      <c r="AJ228" s="1606">
        <f t="shared" si="48"/>
        <v>0</v>
      </c>
      <c r="AK228" s="1610"/>
      <c r="AL228" s="1590"/>
      <c r="AM228" s="1590"/>
      <c r="AN228" s="1590"/>
      <c r="AO228" s="1590"/>
      <c r="AP228" s="1611"/>
      <c r="AQ228" s="1614">
        <f t="shared" si="49"/>
        <v>0</v>
      </c>
      <c r="AR228" s="1701"/>
      <c r="AS228" s="1665"/>
      <c r="AT228" s="1648">
        <f t="shared" si="51"/>
        <v>0</v>
      </c>
      <c r="AU228" s="1667"/>
      <c r="AV228" s="935"/>
      <c r="AW228" s="935"/>
      <c r="AX228" s="935"/>
      <c r="AY228" s="722"/>
      <c r="AZ228" s="722"/>
      <c r="BA228" s="722"/>
      <c r="BB228" s="722"/>
      <c r="BC228" s="722"/>
      <c r="BD228" s="722"/>
      <c r="BE228" s="706"/>
      <c r="BF228" s="706"/>
      <c r="BG228" s="694"/>
      <c r="BM228" s="609"/>
    </row>
    <row r="229" spans="1:65" ht="15.75" x14ac:dyDescent="0.25">
      <c r="A229" s="1883"/>
      <c r="B229" s="1748"/>
      <c r="C229" s="1884"/>
      <c r="D229" s="1884"/>
      <c r="E229" s="1726">
        <f t="shared" si="50"/>
        <v>0</v>
      </c>
      <c r="F229" s="1722"/>
      <c r="G229" s="1741"/>
      <c r="H229" s="1728"/>
      <c r="I229" s="1743"/>
      <c r="J229" s="1743"/>
      <c r="K229" s="1744"/>
      <c r="L229" s="1734">
        <f t="shared" si="52"/>
        <v>0</v>
      </c>
      <c r="M229" s="1735">
        <f t="shared" si="53"/>
        <v>0</v>
      </c>
      <c r="N229" s="1730"/>
      <c r="O229" s="1730"/>
      <c r="P229" s="1730"/>
      <c r="Q229" s="1730"/>
      <c r="R229" s="1730"/>
      <c r="S229" s="1730"/>
      <c r="T229" s="1730"/>
      <c r="U229" s="1730"/>
      <c r="V229" s="1730"/>
      <c r="W229" s="1730"/>
      <c r="X229" s="1903">
        <f t="shared" si="42"/>
        <v>0</v>
      </c>
      <c r="Y229" s="1733">
        <f t="shared" si="54"/>
        <v>0</v>
      </c>
      <c r="Z229" s="528"/>
      <c r="AA229" s="1620"/>
      <c r="AB229" s="1616"/>
      <c r="AC229" s="1616"/>
      <c r="AD229" s="1616"/>
      <c r="AE229" s="1621"/>
      <c r="AF229" s="1615">
        <f t="shared" si="44"/>
        <v>0</v>
      </c>
      <c r="AG229" s="1116">
        <f t="shared" si="45"/>
        <v>0</v>
      </c>
      <c r="AH229" s="1116">
        <f t="shared" si="46"/>
        <v>0</v>
      </c>
      <c r="AI229" s="1116">
        <f t="shared" si="47"/>
        <v>0</v>
      </c>
      <c r="AJ229" s="1606">
        <f t="shared" si="48"/>
        <v>0</v>
      </c>
      <c r="AK229" s="1610"/>
      <c r="AL229" s="1590"/>
      <c r="AM229" s="1590"/>
      <c r="AN229" s="1590"/>
      <c r="AO229" s="1590"/>
      <c r="AP229" s="1611"/>
      <c r="AQ229" s="1614">
        <f t="shared" si="49"/>
        <v>0</v>
      </c>
      <c r="AR229" s="1701"/>
      <c r="AS229" s="1665"/>
      <c r="AT229" s="1648">
        <f t="shared" si="51"/>
        <v>0</v>
      </c>
      <c r="AU229" s="1667"/>
      <c r="AV229" s="935"/>
      <c r="AW229" s="935"/>
      <c r="AX229" s="935"/>
      <c r="AY229" s="722"/>
      <c r="AZ229" s="722"/>
      <c r="BA229" s="722"/>
      <c r="BB229" s="722"/>
      <c r="BC229" s="722"/>
      <c r="BD229" s="722"/>
      <c r="BE229" s="706"/>
      <c r="BF229" s="706"/>
      <c r="BG229" s="694"/>
      <c r="BM229" s="609"/>
    </row>
    <row r="230" spans="1:65" ht="15.75" x14ac:dyDescent="0.25">
      <c r="A230" s="1883"/>
      <c r="B230" s="1748"/>
      <c r="C230" s="1884"/>
      <c r="D230" s="1884"/>
      <c r="E230" s="1726">
        <f t="shared" si="50"/>
        <v>0</v>
      </c>
      <c r="F230" s="1722"/>
      <c r="G230" s="1741"/>
      <c r="H230" s="1728"/>
      <c r="I230" s="1743"/>
      <c r="J230" s="1743"/>
      <c r="K230" s="1744"/>
      <c r="L230" s="1734">
        <f t="shared" si="52"/>
        <v>0</v>
      </c>
      <c r="M230" s="1735">
        <f t="shared" si="53"/>
        <v>0</v>
      </c>
      <c r="N230" s="1730"/>
      <c r="O230" s="1730"/>
      <c r="P230" s="1730"/>
      <c r="Q230" s="1730"/>
      <c r="R230" s="1730"/>
      <c r="S230" s="1730"/>
      <c r="T230" s="1730"/>
      <c r="U230" s="1730"/>
      <c r="V230" s="1730"/>
      <c r="W230" s="1730"/>
      <c r="X230" s="1903">
        <f t="shared" si="42"/>
        <v>0</v>
      </c>
      <c r="Y230" s="1733">
        <f t="shared" si="54"/>
        <v>0</v>
      </c>
      <c r="Z230" s="528"/>
      <c r="AA230" s="1620"/>
      <c r="AB230" s="1616"/>
      <c r="AC230" s="1616"/>
      <c r="AD230" s="1616"/>
      <c r="AE230" s="1621"/>
      <c r="AF230" s="1615">
        <f t="shared" si="44"/>
        <v>0</v>
      </c>
      <c r="AG230" s="1116">
        <f t="shared" si="45"/>
        <v>0</v>
      </c>
      <c r="AH230" s="1116">
        <f t="shared" si="46"/>
        <v>0</v>
      </c>
      <c r="AI230" s="1116">
        <f t="shared" si="47"/>
        <v>0</v>
      </c>
      <c r="AJ230" s="1606">
        <f t="shared" si="48"/>
        <v>0</v>
      </c>
      <c r="AK230" s="1610"/>
      <c r="AL230" s="1590"/>
      <c r="AM230" s="1590"/>
      <c r="AN230" s="1590"/>
      <c r="AO230" s="1590"/>
      <c r="AP230" s="1611"/>
      <c r="AQ230" s="1614">
        <f t="shared" si="49"/>
        <v>0</v>
      </c>
      <c r="AR230" s="1701"/>
      <c r="AS230" s="1665"/>
      <c r="AT230" s="1648">
        <f t="shared" si="51"/>
        <v>0</v>
      </c>
      <c r="AU230" s="1667"/>
      <c r="AV230" s="935"/>
      <c r="AW230" s="935"/>
      <c r="AX230" s="935"/>
      <c r="AY230" s="722"/>
      <c r="AZ230" s="722"/>
      <c r="BA230" s="722"/>
      <c r="BB230" s="722"/>
      <c r="BC230" s="722"/>
      <c r="BD230" s="722"/>
      <c r="BE230" s="706"/>
      <c r="BF230" s="706"/>
      <c r="BG230" s="694"/>
      <c r="BM230" s="609"/>
    </row>
    <row r="231" spans="1:65" ht="15.75" x14ac:dyDescent="0.25">
      <c r="A231" s="1883"/>
      <c r="B231" s="1748"/>
      <c r="C231" s="1884"/>
      <c r="D231" s="1884"/>
      <c r="E231" s="1726">
        <f t="shared" si="50"/>
        <v>0</v>
      </c>
      <c r="F231" s="1722"/>
      <c r="G231" s="1741"/>
      <c r="H231" s="1728"/>
      <c r="I231" s="1743"/>
      <c r="J231" s="1743"/>
      <c r="K231" s="1744"/>
      <c r="L231" s="1734">
        <f t="shared" si="52"/>
        <v>0</v>
      </c>
      <c r="M231" s="1735">
        <f t="shared" si="53"/>
        <v>0</v>
      </c>
      <c r="N231" s="1730"/>
      <c r="O231" s="1730"/>
      <c r="P231" s="1730"/>
      <c r="Q231" s="1730"/>
      <c r="R231" s="1730"/>
      <c r="S231" s="1730"/>
      <c r="T231" s="1730"/>
      <c r="U231" s="1730"/>
      <c r="V231" s="1730"/>
      <c r="W231" s="1730"/>
      <c r="X231" s="1903">
        <f t="shared" si="42"/>
        <v>0</v>
      </c>
      <c r="Y231" s="1733">
        <f t="shared" si="54"/>
        <v>0</v>
      </c>
      <c r="Z231" s="528"/>
      <c r="AA231" s="1620"/>
      <c r="AB231" s="1616"/>
      <c r="AC231" s="1616"/>
      <c r="AD231" s="1616"/>
      <c r="AE231" s="1621"/>
      <c r="AF231" s="1615">
        <f t="shared" si="44"/>
        <v>0</v>
      </c>
      <c r="AG231" s="1116">
        <f t="shared" si="45"/>
        <v>0</v>
      </c>
      <c r="AH231" s="1116">
        <f t="shared" si="46"/>
        <v>0</v>
      </c>
      <c r="AI231" s="1116">
        <f t="shared" si="47"/>
        <v>0</v>
      </c>
      <c r="AJ231" s="1606">
        <f t="shared" si="48"/>
        <v>0</v>
      </c>
      <c r="AK231" s="1610"/>
      <c r="AL231" s="1590"/>
      <c r="AM231" s="1590"/>
      <c r="AN231" s="1590"/>
      <c r="AO231" s="1590"/>
      <c r="AP231" s="1611"/>
      <c r="AQ231" s="1614">
        <f t="shared" si="49"/>
        <v>0</v>
      </c>
      <c r="AR231" s="1701"/>
      <c r="AS231" s="1665"/>
      <c r="AT231" s="1648">
        <f t="shared" si="51"/>
        <v>0</v>
      </c>
      <c r="AU231" s="1667"/>
      <c r="AV231" s="935"/>
      <c r="AW231" s="935"/>
      <c r="AX231" s="935"/>
      <c r="AY231" s="722"/>
      <c r="AZ231" s="722"/>
      <c r="BA231" s="722"/>
      <c r="BB231" s="722"/>
      <c r="BC231" s="722"/>
      <c r="BD231" s="722"/>
      <c r="BE231" s="706"/>
      <c r="BF231" s="706"/>
      <c r="BG231" s="694"/>
      <c r="BM231" s="609"/>
    </row>
    <row r="232" spans="1:65" ht="15.75" x14ac:dyDescent="0.25">
      <c r="A232" s="1883"/>
      <c r="B232" s="1748"/>
      <c r="C232" s="1884"/>
      <c r="D232" s="1884"/>
      <c r="E232" s="1726">
        <f t="shared" si="50"/>
        <v>0</v>
      </c>
      <c r="F232" s="1722"/>
      <c r="G232" s="1741"/>
      <c r="H232" s="1728"/>
      <c r="I232" s="1743"/>
      <c r="J232" s="1743"/>
      <c r="K232" s="1744"/>
      <c r="L232" s="1734">
        <f t="shared" si="52"/>
        <v>0</v>
      </c>
      <c r="M232" s="1735">
        <f t="shared" si="53"/>
        <v>0</v>
      </c>
      <c r="N232" s="1730"/>
      <c r="O232" s="1730"/>
      <c r="P232" s="1730"/>
      <c r="Q232" s="1730"/>
      <c r="R232" s="1730"/>
      <c r="S232" s="1730"/>
      <c r="T232" s="1730"/>
      <c r="U232" s="1730"/>
      <c r="V232" s="1730"/>
      <c r="W232" s="1730"/>
      <c r="X232" s="1903">
        <f t="shared" si="42"/>
        <v>0</v>
      </c>
      <c r="Y232" s="1733">
        <f t="shared" si="54"/>
        <v>0</v>
      </c>
      <c r="Z232" s="528"/>
      <c r="AA232" s="1620"/>
      <c r="AB232" s="1616"/>
      <c r="AC232" s="1616"/>
      <c r="AD232" s="1616"/>
      <c r="AE232" s="1621"/>
      <c r="AF232" s="1615">
        <f t="shared" si="44"/>
        <v>0</v>
      </c>
      <c r="AG232" s="1116">
        <f t="shared" si="45"/>
        <v>0</v>
      </c>
      <c r="AH232" s="1116">
        <f t="shared" si="46"/>
        <v>0</v>
      </c>
      <c r="AI232" s="1116">
        <f t="shared" si="47"/>
        <v>0</v>
      </c>
      <c r="AJ232" s="1606">
        <f t="shared" si="48"/>
        <v>0</v>
      </c>
      <c r="AK232" s="1610"/>
      <c r="AL232" s="1590"/>
      <c r="AM232" s="1590"/>
      <c r="AN232" s="1590"/>
      <c r="AO232" s="1590"/>
      <c r="AP232" s="1611"/>
      <c r="AQ232" s="1614">
        <f t="shared" si="49"/>
        <v>0</v>
      </c>
      <c r="AR232" s="1701"/>
      <c r="AS232" s="1665"/>
      <c r="AT232" s="1648">
        <f t="shared" si="51"/>
        <v>0</v>
      </c>
      <c r="AU232" s="1667"/>
      <c r="AV232" s="935"/>
      <c r="AW232" s="935"/>
      <c r="AX232" s="935"/>
      <c r="AY232" s="722"/>
      <c r="AZ232" s="722"/>
      <c r="BA232" s="722"/>
      <c r="BB232" s="722"/>
      <c r="BC232" s="722"/>
      <c r="BD232" s="722"/>
      <c r="BE232" s="706"/>
      <c r="BF232" s="706"/>
      <c r="BG232" s="694"/>
      <c r="BM232" s="609"/>
    </row>
    <row r="233" spans="1:65" ht="15.75" x14ac:dyDescent="0.25">
      <c r="A233" s="1883"/>
      <c r="B233" s="1748"/>
      <c r="C233" s="1884"/>
      <c r="D233" s="1884"/>
      <c r="E233" s="1726">
        <f t="shared" si="50"/>
        <v>0</v>
      </c>
      <c r="F233" s="1722"/>
      <c r="G233" s="1741"/>
      <c r="H233" s="1728"/>
      <c r="I233" s="1743"/>
      <c r="J233" s="1743"/>
      <c r="K233" s="1744"/>
      <c r="L233" s="1734">
        <f t="shared" si="52"/>
        <v>0</v>
      </c>
      <c r="M233" s="1735">
        <f t="shared" si="53"/>
        <v>0</v>
      </c>
      <c r="N233" s="1730"/>
      <c r="O233" s="1730"/>
      <c r="P233" s="1730"/>
      <c r="Q233" s="1730"/>
      <c r="R233" s="1730"/>
      <c r="S233" s="1730"/>
      <c r="T233" s="1730"/>
      <c r="U233" s="1730"/>
      <c r="V233" s="1730"/>
      <c r="W233" s="1730"/>
      <c r="X233" s="1903">
        <f t="shared" si="42"/>
        <v>0</v>
      </c>
      <c r="Y233" s="1733">
        <f t="shared" si="54"/>
        <v>0</v>
      </c>
      <c r="Z233" s="528"/>
      <c r="AA233" s="1620"/>
      <c r="AB233" s="1616"/>
      <c r="AC233" s="1616"/>
      <c r="AD233" s="1616"/>
      <c r="AE233" s="1621"/>
      <c r="AF233" s="1615">
        <f t="shared" si="44"/>
        <v>0</v>
      </c>
      <c r="AG233" s="1116">
        <f t="shared" si="45"/>
        <v>0</v>
      </c>
      <c r="AH233" s="1116">
        <f t="shared" si="46"/>
        <v>0</v>
      </c>
      <c r="AI233" s="1116">
        <f t="shared" si="47"/>
        <v>0</v>
      </c>
      <c r="AJ233" s="1606">
        <f t="shared" si="48"/>
        <v>0</v>
      </c>
      <c r="AK233" s="1610"/>
      <c r="AL233" s="1590"/>
      <c r="AM233" s="1590"/>
      <c r="AN233" s="1590"/>
      <c r="AO233" s="1590"/>
      <c r="AP233" s="1611"/>
      <c r="AQ233" s="1614">
        <f t="shared" si="49"/>
        <v>0</v>
      </c>
      <c r="AR233" s="1701"/>
      <c r="AS233" s="1665"/>
      <c r="AT233" s="1648">
        <f t="shared" si="51"/>
        <v>0</v>
      </c>
      <c r="AU233" s="1667"/>
      <c r="AV233" s="935"/>
      <c r="AW233" s="935"/>
      <c r="AX233" s="935"/>
      <c r="AY233" s="722"/>
      <c r="AZ233" s="722"/>
      <c r="BA233" s="722"/>
      <c r="BB233" s="722"/>
      <c r="BC233" s="722"/>
      <c r="BD233" s="722"/>
      <c r="BE233" s="706"/>
      <c r="BF233" s="706"/>
      <c r="BG233" s="694"/>
      <c r="BM233" s="609"/>
    </row>
    <row r="234" spans="1:65" ht="15.75" x14ac:dyDescent="0.25">
      <c r="A234" s="1883"/>
      <c r="B234" s="1748"/>
      <c r="C234" s="1884"/>
      <c r="D234" s="1884"/>
      <c r="E234" s="1726">
        <f t="shared" si="50"/>
        <v>0</v>
      </c>
      <c r="F234" s="1722"/>
      <c r="G234" s="1741"/>
      <c r="H234" s="1728"/>
      <c r="I234" s="1743"/>
      <c r="J234" s="1743"/>
      <c r="K234" s="1744"/>
      <c r="L234" s="1734">
        <f t="shared" si="52"/>
        <v>0</v>
      </c>
      <c r="M234" s="1735">
        <f t="shared" si="53"/>
        <v>0</v>
      </c>
      <c r="N234" s="1730"/>
      <c r="O234" s="1730"/>
      <c r="P234" s="1730"/>
      <c r="Q234" s="1730"/>
      <c r="R234" s="1730"/>
      <c r="S234" s="1730"/>
      <c r="T234" s="1730"/>
      <c r="U234" s="1730"/>
      <c r="V234" s="1730"/>
      <c r="W234" s="1730"/>
      <c r="X234" s="1903">
        <f t="shared" si="42"/>
        <v>0</v>
      </c>
      <c r="Y234" s="1733">
        <f t="shared" si="54"/>
        <v>0</v>
      </c>
      <c r="Z234" s="528"/>
      <c r="AA234" s="1620"/>
      <c r="AB234" s="1616"/>
      <c r="AC234" s="1616"/>
      <c r="AD234" s="1616"/>
      <c r="AE234" s="1621"/>
      <c r="AF234" s="1615">
        <f t="shared" si="44"/>
        <v>0</v>
      </c>
      <c r="AG234" s="1116">
        <f t="shared" si="45"/>
        <v>0</v>
      </c>
      <c r="AH234" s="1116">
        <f t="shared" si="46"/>
        <v>0</v>
      </c>
      <c r="AI234" s="1116">
        <f t="shared" si="47"/>
        <v>0</v>
      </c>
      <c r="AJ234" s="1606">
        <f t="shared" si="48"/>
        <v>0</v>
      </c>
      <c r="AK234" s="1610"/>
      <c r="AL234" s="1590"/>
      <c r="AM234" s="1590"/>
      <c r="AN234" s="1590"/>
      <c r="AO234" s="1590"/>
      <c r="AP234" s="1611"/>
      <c r="AQ234" s="1614">
        <f t="shared" si="49"/>
        <v>0</v>
      </c>
      <c r="AR234" s="1701"/>
      <c r="AS234" s="1665"/>
      <c r="AT234" s="1648">
        <f t="shared" si="51"/>
        <v>0</v>
      </c>
      <c r="AU234" s="1667"/>
      <c r="AV234" s="935"/>
      <c r="AW234" s="935"/>
      <c r="AX234" s="935"/>
      <c r="AY234" s="722"/>
      <c r="AZ234" s="722"/>
      <c r="BA234" s="722"/>
      <c r="BB234" s="722"/>
      <c r="BC234" s="722"/>
      <c r="BD234" s="722"/>
      <c r="BE234" s="706"/>
      <c r="BF234" s="706"/>
      <c r="BG234" s="694"/>
      <c r="BM234" s="609"/>
    </row>
    <row r="235" spans="1:65" ht="15.75" x14ac:dyDescent="0.25">
      <c r="A235" s="1883"/>
      <c r="B235" s="1748"/>
      <c r="C235" s="1884"/>
      <c r="D235" s="1884"/>
      <c r="E235" s="1726">
        <f t="shared" si="50"/>
        <v>0</v>
      </c>
      <c r="F235" s="1722"/>
      <c r="G235" s="1741"/>
      <c r="H235" s="1728"/>
      <c r="I235" s="1743"/>
      <c r="J235" s="1743"/>
      <c r="K235" s="1744"/>
      <c r="L235" s="1734">
        <f t="shared" si="52"/>
        <v>0</v>
      </c>
      <c r="M235" s="1735">
        <f t="shared" si="53"/>
        <v>0</v>
      </c>
      <c r="N235" s="1730"/>
      <c r="O235" s="1730"/>
      <c r="P235" s="1730"/>
      <c r="Q235" s="1730"/>
      <c r="R235" s="1730"/>
      <c r="S235" s="1730"/>
      <c r="T235" s="1730"/>
      <c r="U235" s="1730"/>
      <c r="V235" s="1730"/>
      <c r="W235" s="1730"/>
      <c r="X235" s="1903">
        <f t="shared" si="42"/>
        <v>0</v>
      </c>
      <c r="Y235" s="1733">
        <f t="shared" si="54"/>
        <v>0</v>
      </c>
      <c r="Z235" s="528"/>
      <c r="AA235" s="1620"/>
      <c r="AB235" s="1616"/>
      <c r="AC235" s="1616"/>
      <c r="AD235" s="1616"/>
      <c r="AE235" s="1621"/>
      <c r="AF235" s="1615">
        <f t="shared" si="44"/>
        <v>0</v>
      </c>
      <c r="AG235" s="1116">
        <f t="shared" si="45"/>
        <v>0</v>
      </c>
      <c r="AH235" s="1116">
        <f t="shared" si="46"/>
        <v>0</v>
      </c>
      <c r="AI235" s="1116">
        <f t="shared" si="47"/>
        <v>0</v>
      </c>
      <c r="AJ235" s="1606">
        <f t="shared" si="48"/>
        <v>0</v>
      </c>
      <c r="AK235" s="1610"/>
      <c r="AL235" s="1590"/>
      <c r="AM235" s="1590"/>
      <c r="AN235" s="1590"/>
      <c r="AO235" s="1590"/>
      <c r="AP235" s="1611"/>
      <c r="AQ235" s="1614">
        <f t="shared" si="49"/>
        <v>0</v>
      </c>
      <c r="AR235" s="1701"/>
      <c r="AS235" s="1665"/>
      <c r="AT235" s="1648">
        <f t="shared" si="51"/>
        <v>0</v>
      </c>
      <c r="AU235" s="1667"/>
      <c r="AV235" s="935"/>
      <c r="AW235" s="935"/>
      <c r="AX235" s="935"/>
      <c r="AY235" s="722"/>
      <c r="AZ235" s="722"/>
      <c r="BA235" s="722"/>
      <c r="BB235" s="722"/>
      <c r="BC235" s="722"/>
      <c r="BD235" s="722"/>
      <c r="BE235" s="706"/>
      <c r="BF235" s="706"/>
      <c r="BG235" s="694"/>
      <c r="BM235" s="609"/>
    </row>
    <row r="236" spans="1:65" ht="15.75" x14ac:dyDescent="0.25">
      <c r="A236" s="1883"/>
      <c r="B236" s="1748"/>
      <c r="C236" s="1884"/>
      <c r="D236" s="1884"/>
      <c r="E236" s="1726">
        <f t="shared" si="50"/>
        <v>0</v>
      </c>
      <c r="F236" s="1722"/>
      <c r="G236" s="1741"/>
      <c r="H236" s="1728"/>
      <c r="I236" s="1743"/>
      <c r="J236" s="1743"/>
      <c r="K236" s="1744"/>
      <c r="L236" s="1734">
        <f t="shared" si="52"/>
        <v>0</v>
      </c>
      <c r="M236" s="1735">
        <f t="shared" si="53"/>
        <v>0</v>
      </c>
      <c r="N236" s="1730"/>
      <c r="O236" s="1730"/>
      <c r="P236" s="1730"/>
      <c r="Q236" s="1730"/>
      <c r="R236" s="1730"/>
      <c r="S236" s="1730"/>
      <c r="T236" s="1730"/>
      <c r="U236" s="1730"/>
      <c r="V236" s="1730"/>
      <c r="W236" s="1730"/>
      <c r="X236" s="1903">
        <f t="shared" si="42"/>
        <v>0</v>
      </c>
      <c r="Y236" s="1733">
        <f t="shared" si="54"/>
        <v>0</v>
      </c>
      <c r="Z236" s="528"/>
      <c r="AA236" s="1620"/>
      <c r="AB236" s="1616"/>
      <c r="AC236" s="1616"/>
      <c r="AD236" s="1616"/>
      <c r="AE236" s="1621"/>
      <c r="AF236" s="1615">
        <f t="shared" si="44"/>
        <v>0</v>
      </c>
      <c r="AG236" s="1116">
        <f t="shared" si="45"/>
        <v>0</v>
      </c>
      <c r="AH236" s="1116">
        <f t="shared" si="46"/>
        <v>0</v>
      </c>
      <c r="AI236" s="1116">
        <f t="shared" si="47"/>
        <v>0</v>
      </c>
      <c r="AJ236" s="1606">
        <f t="shared" si="48"/>
        <v>0</v>
      </c>
      <c r="AK236" s="1610"/>
      <c r="AL236" s="1590"/>
      <c r="AM236" s="1590"/>
      <c r="AN236" s="1590"/>
      <c r="AO236" s="1590"/>
      <c r="AP236" s="1611"/>
      <c r="AQ236" s="1614">
        <f t="shared" si="49"/>
        <v>0</v>
      </c>
      <c r="AR236" s="1701"/>
      <c r="AS236" s="1665"/>
      <c r="AT236" s="1648">
        <f t="shared" si="51"/>
        <v>0</v>
      </c>
      <c r="AU236" s="1667"/>
      <c r="AV236" s="935"/>
      <c r="AW236" s="935"/>
      <c r="AX236" s="935"/>
      <c r="AY236" s="722"/>
      <c r="AZ236" s="722"/>
      <c r="BA236" s="722"/>
      <c r="BB236" s="722"/>
      <c r="BC236" s="722"/>
      <c r="BD236" s="722"/>
      <c r="BE236" s="706"/>
      <c r="BF236" s="706"/>
      <c r="BG236" s="694"/>
      <c r="BM236" s="609"/>
    </row>
    <row r="237" spans="1:65" ht="15.75" x14ac:dyDescent="0.25">
      <c r="A237" s="1883"/>
      <c r="B237" s="1748"/>
      <c r="C237" s="1884"/>
      <c r="D237" s="1884"/>
      <c r="E237" s="1726">
        <f t="shared" si="50"/>
        <v>0</v>
      </c>
      <c r="F237" s="1722"/>
      <c r="G237" s="1741"/>
      <c r="H237" s="1728"/>
      <c r="I237" s="1743"/>
      <c r="J237" s="1743"/>
      <c r="K237" s="1744"/>
      <c r="L237" s="1734">
        <f t="shared" si="52"/>
        <v>0</v>
      </c>
      <c r="M237" s="1735">
        <f t="shared" si="53"/>
        <v>0</v>
      </c>
      <c r="N237" s="1730"/>
      <c r="O237" s="1730"/>
      <c r="P237" s="1730"/>
      <c r="Q237" s="1730"/>
      <c r="R237" s="1730"/>
      <c r="S237" s="1730"/>
      <c r="T237" s="1730"/>
      <c r="U237" s="1730"/>
      <c r="V237" s="1730"/>
      <c r="W237" s="1730"/>
      <c r="X237" s="1903">
        <f t="shared" si="42"/>
        <v>0</v>
      </c>
      <c r="Y237" s="1733">
        <f t="shared" si="54"/>
        <v>0</v>
      </c>
      <c r="Z237" s="528"/>
      <c r="AA237" s="1620"/>
      <c r="AB237" s="1616"/>
      <c r="AC237" s="1616"/>
      <c r="AD237" s="1616"/>
      <c r="AE237" s="1621"/>
      <c r="AF237" s="1615">
        <f t="shared" si="44"/>
        <v>0</v>
      </c>
      <c r="AG237" s="1116">
        <f t="shared" si="45"/>
        <v>0</v>
      </c>
      <c r="AH237" s="1116">
        <f t="shared" si="46"/>
        <v>0</v>
      </c>
      <c r="AI237" s="1116">
        <f t="shared" si="47"/>
        <v>0</v>
      </c>
      <c r="AJ237" s="1606">
        <f t="shared" si="48"/>
        <v>0</v>
      </c>
      <c r="AK237" s="1610"/>
      <c r="AL237" s="1590"/>
      <c r="AM237" s="1590"/>
      <c r="AN237" s="1590"/>
      <c r="AO237" s="1590"/>
      <c r="AP237" s="1611"/>
      <c r="AQ237" s="1614">
        <f t="shared" si="49"/>
        <v>0</v>
      </c>
      <c r="AR237" s="1701"/>
      <c r="AS237" s="1665"/>
      <c r="AT237" s="1648">
        <f t="shared" si="51"/>
        <v>0</v>
      </c>
      <c r="AU237" s="1667"/>
      <c r="AV237" s="935"/>
      <c r="AW237" s="935"/>
      <c r="AX237" s="935"/>
      <c r="AY237" s="722"/>
      <c r="AZ237" s="722"/>
      <c r="BA237" s="722"/>
      <c r="BB237" s="722"/>
      <c r="BC237" s="722"/>
      <c r="BD237" s="722"/>
      <c r="BE237" s="706"/>
      <c r="BF237" s="706"/>
      <c r="BG237" s="694"/>
      <c r="BM237" s="609"/>
    </row>
    <row r="238" spans="1:65" ht="15.75" x14ac:dyDescent="0.25">
      <c r="A238" s="1883"/>
      <c r="B238" s="1748"/>
      <c r="C238" s="1884"/>
      <c r="D238" s="1884"/>
      <c r="E238" s="1726">
        <f t="shared" si="50"/>
        <v>0</v>
      </c>
      <c r="F238" s="1722"/>
      <c r="G238" s="1741"/>
      <c r="H238" s="1728"/>
      <c r="I238" s="1743"/>
      <c r="J238" s="1743"/>
      <c r="K238" s="1744"/>
      <c r="L238" s="1734">
        <f t="shared" si="52"/>
        <v>0</v>
      </c>
      <c r="M238" s="1735">
        <f t="shared" si="53"/>
        <v>0</v>
      </c>
      <c r="N238" s="1730"/>
      <c r="O238" s="1730"/>
      <c r="P238" s="1730"/>
      <c r="Q238" s="1730"/>
      <c r="R238" s="1730"/>
      <c r="S238" s="1730"/>
      <c r="T238" s="1730"/>
      <c r="U238" s="1730"/>
      <c r="V238" s="1730"/>
      <c r="W238" s="1730"/>
      <c r="X238" s="1903">
        <f t="shared" si="42"/>
        <v>0</v>
      </c>
      <c r="Y238" s="1733">
        <f t="shared" si="54"/>
        <v>0</v>
      </c>
      <c r="Z238" s="528"/>
      <c r="AA238" s="1620"/>
      <c r="AB238" s="1616"/>
      <c r="AC238" s="1616"/>
      <c r="AD238" s="1616"/>
      <c r="AE238" s="1621"/>
      <c r="AF238" s="1615">
        <f t="shared" si="44"/>
        <v>0</v>
      </c>
      <c r="AG238" s="1116">
        <f t="shared" si="45"/>
        <v>0</v>
      </c>
      <c r="AH238" s="1116">
        <f t="shared" si="46"/>
        <v>0</v>
      </c>
      <c r="AI238" s="1116">
        <f t="shared" si="47"/>
        <v>0</v>
      </c>
      <c r="AJ238" s="1606">
        <f t="shared" si="48"/>
        <v>0</v>
      </c>
      <c r="AK238" s="1610"/>
      <c r="AL238" s="1590"/>
      <c r="AM238" s="1590"/>
      <c r="AN238" s="1590"/>
      <c r="AO238" s="1590"/>
      <c r="AP238" s="1611"/>
      <c r="AQ238" s="1614">
        <f t="shared" si="49"/>
        <v>0</v>
      </c>
      <c r="AR238" s="1701"/>
      <c r="AS238" s="1665"/>
      <c r="AT238" s="1648">
        <f t="shared" si="51"/>
        <v>0</v>
      </c>
      <c r="AU238" s="1667"/>
      <c r="AV238" s="935"/>
      <c r="AW238" s="935"/>
      <c r="AX238" s="935"/>
      <c r="AY238" s="722"/>
      <c r="AZ238" s="722"/>
      <c r="BA238" s="722"/>
      <c r="BB238" s="722"/>
      <c r="BC238" s="722"/>
      <c r="BD238" s="722"/>
      <c r="BE238" s="706"/>
      <c r="BF238" s="706"/>
      <c r="BG238" s="694"/>
      <c r="BM238" s="609"/>
    </row>
    <row r="239" spans="1:65" ht="15.75" x14ac:dyDescent="0.25">
      <c r="A239" s="1883"/>
      <c r="B239" s="1748"/>
      <c r="C239" s="1884"/>
      <c r="D239" s="1884"/>
      <c r="E239" s="1726">
        <f t="shared" si="50"/>
        <v>0</v>
      </c>
      <c r="F239" s="1722"/>
      <c r="G239" s="1741"/>
      <c r="H239" s="1728"/>
      <c r="I239" s="1743"/>
      <c r="J239" s="1743"/>
      <c r="K239" s="1744"/>
      <c r="L239" s="1734">
        <f t="shared" si="52"/>
        <v>0</v>
      </c>
      <c r="M239" s="1735">
        <f t="shared" si="53"/>
        <v>0</v>
      </c>
      <c r="N239" s="1730"/>
      <c r="O239" s="1730"/>
      <c r="P239" s="1730"/>
      <c r="Q239" s="1730"/>
      <c r="R239" s="1730"/>
      <c r="S239" s="1730"/>
      <c r="T239" s="1730"/>
      <c r="U239" s="1730"/>
      <c r="V239" s="1730"/>
      <c r="W239" s="1730"/>
      <c r="X239" s="1903">
        <f t="shared" si="42"/>
        <v>0</v>
      </c>
      <c r="Y239" s="1733">
        <f t="shared" si="54"/>
        <v>0</v>
      </c>
      <c r="Z239" s="528"/>
      <c r="AA239" s="1620"/>
      <c r="AB239" s="1616"/>
      <c r="AC239" s="1616"/>
      <c r="AD239" s="1616"/>
      <c r="AE239" s="1621"/>
      <c r="AF239" s="1615">
        <f t="shared" si="44"/>
        <v>0</v>
      </c>
      <c r="AG239" s="1116">
        <f t="shared" si="45"/>
        <v>0</v>
      </c>
      <c r="AH239" s="1116">
        <f t="shared" si="46"/>
        <v>0</v>
      </c>
      <c r="AI239" s="1116">
        <f t="shared" si="47"/>
        <v>0</v>
      </c>
      <c r="AJ239" s="1606">
        <f t="shared" si="48"/>
        <v>0</v>
      </c>
      <c r="AK239" s="1610"/>
      <c r="AL239" s="1590"/>
      <c r="AM239" s="1590"/>
      <c r="AN239" s="1590"/>
      <c r="AO239" s="1590"/>
      <c r="AP239" s="1611"/>
      <c r="AQ239" s="1614">
        <f t="shared" si="49"/>
        <v>0</v>
      </c>
      <c r="AR239" s="1701"/>
      <c r="AS239" s="1665"/>
      <c r="AT239" s="1648">
        <f t="shared" si="51"/>
        <v>0</v>
      </c>
      <c r="AU239" s="1667"/>
      <c r="AV239" s="935"/>
      <c r="AW239" s="935"/>
      <c r="AX239" s="935"/>
      <c r="AY239" s="722"/>
      <c r="AZ239" s="722"/>
      <c r="BA239" s="722"/>
      <c r="BB239" s="722"/>
      <c r="BC239" s="722"/>
      <c r="BD239" s="722"/>
      <c r="BE239" s="706"/>
      <c r="BF239" s="706"/>
      <c r="BG239" s="694"/>
      <c r="BM239" s="609"/>
    </row>
    <row r="240" spans="1:65" ht="15.75" x14ac:dyDescent="0.25">
      <c r="A240" s="1883"/>
      <c r="B240" s="1748"/>
      <c r="C240" s="1884"/>
      <c r="D240" s="1884"/>
      <c r="E240" s="1726">
        <f t="shared" si="50"/>
        <v>0</v>
      </c>
      <c r="F240" s="1722"/>
      <c r="G240" s="1741"/>
      <c r="H240" s="1728"/>
      <c r="I240" s="1743"/>
      <c r="J240" s="1743"/>
      <c r="K240" s="1744"/>
      <c r="L240" s="1734">
        <f t="shared" si="52"/>
        <v>0</v>
      </c>
      <c r="M240" s="1735">
        <f t="shared" si="53"/>
        <v>0</v>
      </c>
      <c r="N240" s="1730"/>
      <c r="O240" s="1730"/>
      <c r="P240" s="1730"/>
      <c r="Q240" s="1730"/>
      <c r="R240" s="1730"/>
      <c r="S240" s="1730"/>
      <c r="T240" s="1730"/>
      <c r="U240" s="1730"/>
      <c r="V240" s="1730"/>
      <c r="W240" s="1730"/>
      <c r="X240" s="1903">
        <f t="shared" si="42"/>
        <v>0</v>
      </c>
      <c r="Y240" s="1733">
        <f t="shared" si="54"/>
        <v>0</v>
      </c>
      <c r="Z240" s="528"/>
      <c r="AA240" s="1620"/>
      <c r="AB240" s="1616"/>
      <c r="AC240" s="1616"/>
      <c r="AD240" s="1616"/>
      <c r="AE240" s="1621"/>
      <c r="AF240" s="1615">
        <f t="shared" si="44"/>
        <v>0</v>
      </c>
      <c r="AG240" s="1116">
        <f t="shared" si="45"/>
        <v>0</v>
      </c>
      <c r="AH240" s="1116">
        <f t="shared" si="46"/>
        <v>0</v>
      </c>
      <c r="AI240" s="1116">
        <f t="shared" si="47"/>
        <v>0</v>
      </c>
      <c r="AJ240" s="1606">
        <f t="shared" si="48"/>
        <v>0</v>
      </c>
      <c r="AK240" s="1610"/>
      <c r="AL240" s="1590"/>
      <c r="AM240" s="1590"/>
      <c r="AN240" s="1590"/>
      <c r="AO240" s="1590"/>
      <c r="AP240" s="1611"/>
      <c r="AQ240" s="1614">
        <f t="shared" si="49"/>
        <v>0</v>
      </c>
      <c r="AR240" s="1701"/>
      <c r="AS240" s="1665"/>
      <c r="AT240" s="1648">
        <f t="shared" si="51"/>
        <v>0</v>
      </c>
      <c r="AU240" s="1667"/>
      <c r="AV240" s="935"/>
      <c r="AW240" s="935"/>
      <c r="AX240" s="935"/>
      <c r="AY240" s="722"/>
      <c r="AZ240" s="722"/>
      <c r="BA240" s="722"/>
      <c r="BB240" s="722"/>
      <c r="BC240" s="722"/>
      <c r="BD240" s="722"/>
      <c r="BE240" s="706"/>
      <c r="BF240" s="706"/>
      <c r="BG240" s="694"/>
    </row>
    <row r="241" spans="1:64" ht="15.75" x14ac:dyDescent="0.25">
      <c r="A241" s="1883"/>
      <c r="B241" s="1748"/>
      <c r="C241" s="1884"/>
      <c r="D241" s="1884"/>
      <c r="E241" s="1726">
        <f t="shared" si="50"/>
        <v>0</v>
      </c>
      <c r="F241" s="1722"/>
      <c r="G241" s="1741"/>
      <c r="H241" s="1728"/>
      <c r="I241" s="1743"/>
      <c r="J241" s="1743"/>
      <c r="K241" s="1744"/>
      <c r="L241" s="1734">
        <f t="shared" si="52"/>
        <v>0</v>
      </c>
      <c r="M241" s="1735">
        <f t="shared" si="53"/>
        <v>0</v>
      </c>
      <c r="N241" s="1730"/>
      <c r="O241" s="1730"/>
      <c r="P241" s="1730"/>
      <c r="Q241" s="1730"/>
      <c r="R241" s="1730"/>
      <c r="S241" s="1730"/>
      <c r="T241" s="1730"/>
      <c r="U241" s="1730"/>
      <c r="V241" s="1730"/>
      <c r="W241" s="1730"/>
      <c r="X241" s="1903">
        <f t="shared" si="42"/>
        <v>0</v>
      </c>
      <c r="Y241" s="1733">
        <f t="shared" si="54"/>
        <v>0</v>
      </c>
      <c r="Z241" s="528"/>
      <c r="AA241" s="1620"/>
      <c r="AB241" s="1616"/>
      <c r="AC241" s="1616"/>
      <c r="AD241" s="1616"/>
      <c r="AE241" s="1621"/>
      <c r="AF241" s="1615">
        <f t="shared" si="44"/>
        <v>0</v>
      </c>
      <c r="AG241" s="1116">
        <f t="shared" si="45"/>
        <v>0</v>
      </c>
      <c r="AH241" s="1116">
        <f t="shared" si="46"/>
        <v>0</v>
      </c>
      <c r="AI241" s="1116">
        <f t="shared" si="47"/>
        <v>0</v>
      </c>
      <c r="AJ241" s="1606">
        <f t="shared" si="48"/>
        <v>0</v>
      </c>
      <c r="AK241" s="1610"/>
      <c r="AL241" s="1590"/>
      <c r="AM241" s="1590"/>
      <c r="AN241" s="1590"/>
      <c r="AO241" s="1590"/>
      <c r="AP241" s="1611"/>
      <c r="AQ241" s="1614">
        <f t="shared" si="49"/>
        <v>0</v>
      </c>
      <c r="AR241" s="1701"/>
      <c r="AS241" s="1665"/>
      <c r="AT241" s="1648">
        <f t="shared" si="51"/>
        <v>0</v>
      </c>
      <c r="AU241" s="1667"/>
      <c r="AV241" s="935"/>
      <c r="AW241" s="935"/>
      <c r="AX241" s="935"/>
      <c r="AY241" s="722"/>
      <c r="AZ241" s="722"/>
      <c r="BA241" s="722"/>
      <c r="BB241" s="722"/>
      <c r="BC241" s="722"/>
      <c r="BD241" s="722"/>
      <c r="BE241" s="706"/>
      <c r="BF241" s="706"/>
      <c r="BG241" s="694"/>
    </row>
    <row r="242" spans="1:64" ht="15.75" x14ac:dyDescent="0.25">
      <c r="A242" s="1883"/>
      <c r="B242" s="1748"/>
      <c r="C242" s="1884"/>
      <c r="D242" s="1884"/>
      <c r="E242" s="1726">
        <f t="shared" si="50"/>
        <v>0</v>
      </c>
      <c r="F242" s="1722"/>
      <c r="G242" s="1741"/>
      <c r="H242" s="1728"/>
      <c r="I242" s="1743"/>
      <c r="J242" s="1743"/>
      <c r="K242" s="1744"/>
      <c r="L242" s="1734">
        <f t="shared" si="52"/>
        <v>0</v>
      </c>
      <c r="M242" s="1735">
        <f t="shared" si="53"/>
        <v>0</v>
      </c>
      <c r="N242" s="1730"/>
      <c r="O242" s="1730"/>
      <c r="P242" s="1730"/>
      <c r="Q242" s="1730"/>
      <c r="R242" s="1730"/>
      <c r="S242" s="1730"/>
      <c r="T242" s="1730"/>
      <c r="U242" s="1730"/>
      <c r="V242" s="1730"/>
      <c r="W242" s="1730"/>
      <c r="X242" s="1903">
        <f t="shared" si="42"/>
        <v>0</v>
      </c>
      <c r="Y242" s="1733">
        <f t="shared" si="54"/>
        <v>0</v>
      </c>
      <c r="Z242" s="528"/>
      <c r="AA242" s="1620"/>
      <c r="AB242" s="1616"/>
      <c r="AC242" s="1616"/>
      <c r="AD242" s="1616"/>
      <c r="AE242" s="1621"/>
      <c r="AF242" s="1615">
        <f t="shared" si="44"/>
        <v>0</v>
      </c>
      <c r="AG242" s="1116">
        <f t="shared" si="45"/>
        <v>0</v>
      </c>
      <c r="AH242" s="1116">
        <f t="shared" si="46"/>
        <v>0</v>
      </c>
      <c r="AI242" s="1116">
        <f t="shared" si="47"/>
        <v>0</v>
      </c>
      <c r="AJ242" s="1606">
        <f t="shared" si="48"/>
        <v>0</v>
      </c>
      <c r="AK242" s="1610"/>
      <c r="AL242" s="1590"/>
      <c r="AM242" s="1590"/>
      <c r="AN242" s="1590"/>
      <c r="AO242" s="1590"/>
      <c r="AP242" s="1611"/>
      <c r="AQ242" s="1614">
        <f t="shared" si="49"/>
        <v>0</v>
      </c>
      <c r="AR242" s="1701"/>
      <c r="AS242" s="1665"/>
      <c r="AT242" s="1648">
        <f t="shared" si="51"/>
        <v>0</v>
      </c>
      <c r="AU242" s="1667"/>
      <c r="AV242" s="935"/>
      <c r="AW242" s="935"/>
      <c r="AX242" s="935"/>
      <c r="AY242" s="722"/>
      <c r="AZ242" s="722"/>
      <c r="BA242" s="722"/>
      <c r="BB242" s="722"/>
      <c r="BC242" s="722"/>
      <c r="BD242" s="722"/>
      <c r="BE242" s="706"/>
      <c r="BF242" s="706"/>
      <c r="BG242" s="694"/>
    </row>
    <row r="243" spans="1:64" ht="15.75" x14ac:dyDescent="0.25">
      <c r="A243" s="1883"/>
      <c r="B243" s="1748"/>
      <c r="C243" s="1884"/>
      <c r="D243" s="1884"/>
      <c r="E243" s="1726">
        <f t="shared" si="50"/>
        <v>0</v>
      </c>
      <c r="F243" s="1722"/>
      <c r="G243" s="1741"/>
      <c r="H243" s="1728"/>
      <c r="I243" s="1743"/>
      <c r="J243" s="1743"/>
      <c r="K243" s="1744"/>
      <c r="L243" s="1734">
        <f t="shared" si="52"/>
        <v>0</v>
      </c>
      <c r="M243" s="1735">
        <f t="shared" si="53"/>
        <v>0</v>
      </c>
      <c r="N243" s="1730"/>
      <c r="O243" s="1730"/>
      <c r="P243" s="1730"/>
      <c r="Q243" s="1730"/>
      <c r="R243" s="1730"/>
      <c r="S243" s="1730"/>
      <c r="T243" s="1730"/>
      <c r="U243" s="1730"/>
      <c r="V243" s="1730"/>
      <c r="W243" s="1730"/>
      <c r="X243" s="1903">
        <f t="shared" si="42"/>
        <v>0</v>
      </c>
      <c r="Y243" s="1733">
        <f t="shared" si="54"/>
        <v>0</v>
      </c>
      <c r="Z243" s="528"/>
      <c r="AA243" s="1620"/>
      <c r="AB243" s="1616"/>
      <c r="AC243" s="1616"/>
      <c r="AD243" s="1616"/>
      <c r="AE243" s="1621"/>
      <c r="AF243" s="1615">
        <f t="shared" si="44"/>
        <v>0</v>
      </c>
      <c r="AG243" s="1116">
        <f t="shared" si="45"/>
        <v>0</v>
      </c>
      <c r="AH243" s="1116">
        <f t="shared" si="46"/>
        <v>0</v>
      </c>
      <c r="AI243" s="1116">
        <f t="shared" si="47"/>
        <v>0</v>
      </c>
      <c r="AJ243" s="1606">
        <f t="shared" si="48"/>
        <v>0</v>
      </c>
      <c r="AK243" s="1610"/>
      <c r="AL243" s="1590"/>
      <c r="AM243" s="1590"/>
      <c r="AN243" s="1590"/>
      <c r="AO243" s="1590"/>
      <c r="AP243" s="1611"/>
      <c r="AQ243" s="1614">
        <f t="shared" si="49"/>
        <v>0</v>
      </c>
      <c r="AR243" s="1701"/>
      <c r="AS243" s="1665"/>
      <c r="AT243" s="1648">
        <f t="shared" si="51"/>
        <v>0</v>
      </c>
      <c r="AU243" s="1667"/>
      <c r="AV243" s="935"/>
      <c r="AW243" s="935"/>
      <c r="AX243" s="935"/>
      <c r="AY243" s="722"/>
      <c r="AZ243" s="722"/>
      <c r="BA243" s="722"/>
      <c r="BB243" s="722"/>
      <c r="BC243" s="722"/>
      <c r="BD243" s="722"/>
      <c r="BE243" s="706"/>
      <c r="BF243" s="706"/>
      <c r="BG243" s="694"/>
    </row>
    <row r="244" spans="1:64" ht="15.75" x14ac:dyDescent="0.25">
      <c r="A244" s="1883"/>
      <c r="B244" s="1748"/>
      <c r="C244" s="1884"/>
      <c r="D244" s="1884"/>
      <c r="E244" s="1726">
        <f t="shared" si="50"/>
        <v>0</v>
      </c>
      <c r="F244" s="1722"/>
      <c r="G244" s="1741"/>
      <c r="H244" s="1728"/>
      <c r="I244" s="1743"/>
      <c r="J244" s="1743"/>
      <c r="K244" s="1744"/>
      <c r="L244" s="1734">
        <f t="shared" si="52"/>
        <v>0</v>
      </c>
      <c r="M244" s="1735">
        <f t="shared" si="53"/>
        <v>0</v>
      </c>
      <c r="N244" s="1730"/>
      <c r="O244" s="1730"/>
      <c r="P244" s="1730"/>
      <c r="Q244" s="1730"/>
      <c r="R244" s="1730"/>
      <c r="S244" s="1730"/>
      <c r="T244" s="1730"/>
      <c r="U244" s="1730"/>
      <c r="V244" s="1730"/>
      <c r="W244" s="1730"/>
      <c r="X244" s="1903">
        <f t="shared" si="42"/>
        <v>0</v>
      </c>
      <c r="Y244" s="1733">
        <f t="shared" si="54"/>
        <v>0</v>
      </c>
      <c r="Z244" s="528"/>
      <c r="AA244" s="1620"/>
      <c r="AB244" s="1616"/>
      <c r="AC244" s="1616"/>
      <c r="AD244" s="1616"/>
      <c r="AE244" s="1621"/>
      <c r="AF244" s="1615">
        <f t="shared" si="44"/>
        <v>0</v>
      </c>
      <c r="AG244" s="1116">
        <f t="shared" si="45"/>
        <v>0</v>
      </c>
      <c r="AH244" s="1116">
        <f t="shared" si="46"/>
        <v>0</v>
      </c>
      <c r="AI244" s="1116">
        <f t="shared" si="47"/>
        <v>0</v>
      </c>
      <c r="AJ244" s="1606">
        <f t="shared" si="48"/>
        <v>0</v>
      </c>
      <c r="AK244" s="1610"/>
      <c r="AL244" s="1590"/>
      <c r="AM244" s="1590"/>
      <c r="AN244" s="1590"/>
      <c r="AO244" s="1590"/>
      <c r="AP244" s="1611"/>
      <c r="AQ244" s="1614">
        <f t="shared" si="49"/>
        <v>0</v>
      </c>
      <c r="AR244" s="1701"/>
      <c r="AS244" s="1665"/>
      <c r="AT244" s="1648">
        <f t="shared" si="51"/>
        <v>0</v>
      </c>
      <c r="AU244" s="1667"/>
      <c r="AV244" s="935"/>
      <c r="AW244" s="935"/>
      <c r="AX244" s="935"/>
      <c r="AY244" s="722"/>
      <c r="AZ244" s="722"/>
      <c r="BA244" s="722"/>
      <c r="BB244" s="722"/>
      <c r="BC244" s="722"/>
      <c r="BD244" s="722"/>
      <c r="BE244" s="706"/>
      <c r="BF244" s="706"/>
      <c r="BG244" s="694"/>
    </row>
    <row r="245" spans="1:64" ht="15.75" x14ac:dyDescent="0.25">
      <c r="A245" s="1883"/>
      <c r="B245" s="1748"/>
      <c r="C245" s="1884"/>
      <c r="D245" s="1884"/>
      <c r="E245" s="1726">
        <f t="shared" si="50"/>
        <v>0</v>
      </c>
      <c r="F245" s="1722"/>
      <c r="G245" s="1741"/>
      <c r="H245" s="1728"/>
      <c r="I245" s="1743"/>
      <c r="J245" s="1743"/>
      <c r="K245" s="1744"/>
      <c r="L245" s="1734">
        <f t="shared" si="52"/>
        <v>0</v>
      </c>
      <c r="M245" s="1735">
        <f t="shared" si="53"/>
        <v>0</v>
      </c>
      <c r="N245" s="1730"/>
      <c r="O245" s="1730"/>
      <c r="P245" s="1730"/>
      <c r="Q245" s="1730"/>
      <c r="R245" s="1730"/>
      <c r="S245" s="1730"/>
      <c r="T245" s="1730"/>
      <c r="U245" s="1730"/>
      <c r="V245" s="1730"/>
      <c r="W245" s="1730"/>
      <c r="X245" s="1903">
        <f t="shared" si="42"/>
        <v>0</v>
      </c>
      <c r="Y245" s="1733">
        <f t="shared" si="54"/>
        <v>0</v>
      </c>
      <c r="Z245" s="528"/>
      <c r="AA245" s="1620"/>
      <c r="AB245" s="1616"/>
      <c r="AC245" s="1616"/>
      <c r="AD245" s="1616"/>
      <c r="AE245" s="1621"/>
      <c r="AF245" s="1615">
        <f t="shared" si="44"/>
        <v>0</v>
      </c>
      <c r="AG245" s="1116">
        <f t="shared" si="45"/>
        <v>0</v>
      </c>
      <c r="AH245" s="1116">
        <f t="shared" si="46"/>
        <v>0</v>
      </c>
      <c r="AI245" s="1116">
        <f t="shared" si="47"/>
        <v>0</v>
      </c>
      <c r="AJ245" s="1606">
        <f t="shared" si="48"/>
        <v>0</v>
      </c>
      <c r="AK245" s="1610"/>
      <c r="AL245" s="1590"/>
      <c r="AM245" s="1590"/>
      <c r="AN245" s="1590"/>
      <c r="AO245" s="1590"/>
      <c r="AP245" s="1611"/>
      <c r="AQ245" s="1614">
        <f t="shared" si="49"/>
        <v>0</v>
      </c>
      <c r="AR245" s="1701"/>
      <c r="AS245" s="1665"/>
      <c r="AT245" s="1648">
        <f t="shared" si="51"/>
        <v>0</v>
      </c>
      <c r="AU245" s="1667"/>
      <c r="AV245" s="935"/>
      <c r="AW245" s="935"/>
      <c r="AX245" s="935"/>
      <c r="AY245" s="722"/>
      <c r="AZ245" s="722"/>
      <c r="BA245" s="722"/>
      <c r="BB245" s="722"/>
      <c r="BC245" s="722"/>
      <c r="BD245" s="722"/>
      <c r="BE245" s="706"/>
      <c r="BF245" s="706"/>
      <c r="BG245" s="694"/>
    </row>
    <row r="246" spans="1:64" ht="15.75" x14ac:dyDescent="0.25">
      <c r="A246" s="1883"/>
      <c r="B246" s="1748"/>
      <c r="C246" s="1884"/>
      <c r="D246" s="1884"/>
      <c r="E246" s="1726">
        <f t="shared" si="50"/>
        <v>0</v>
      </c>
      <c r="F246" s="1722"/>
      <c r="G246" s="1741"/>
      <c r="H246" s="1728"/>
      <c r="I246" s="1743"/>
      <c r="J246" s="1743"/>
      <c r="K246" s="1744"/>
      <c r="L246" s="1734">
        <f t="shared" si="52"/>
        <v>0</v>
      </c>
      <c r="M246" s="1735">
        <f t="shared" si="53"/>
        <v>0</v>
      </c>
      <c r="N246" s="1730"/>
      <c r="O246" s="1730"/>
      <c r="P246" s="1730"/>
      <c r="Q246" s="1730"/>
      <c r="R246" s="1730"/>
      <c r="S246" s="1730"/>
      <c r="T246" s="1730"/>
      <c r="U246" s="1730"/>
      <c r="V246" s="1730"/>
      <c r="W246" s="1730"/>
      <c r="X246" s="1903">
        <f t="shared" si="42"/>
        <v>0</v>
      </c>
      <c r="Y246" s="1733">
        <f t="shared" si="54"/>
        <v>0</v>
      </c>
      <c r="Z246" s="528"/>
      <c r="AA246" s="1620"/>
      <c r="AB246" s="1616"/>
      <c r="AC246" s="1616"/>
      <c r="AD246" s="1616"/>
      <c r="AE246" s="1621"/>
      <c r="AF246" s="1615">
        <f t="shared" si="44"/>
        <v>0</v>
      </c>
      <c r="AG246" s="1116">
        <f t="shared" si="45"/>
        <v>0</v>
      </c>
      <c r="AH246" s="1116">
        <f t="shared" si="46"/>
        <v>0</v>
      </c>
      <c r="AI246" s="1116">
        <f t="shared" si="47"/>
        <v>0</v>
      </c>
      <c r="AJ246" s="1606">
        <f t="shared" si="48"/>
        <v>0</v>
      </c>
      <c r="AK246" s="1610"/>
      <c r="AL246" s="1590"/>
      <c r="AM246" s="1590"/>
      <c r="AN246" s="1590"/>
      <c r="AO246" s="1590"/>
      <c r="AP246" s="1611"/>
      <c r="AQ246" s="1614">
        <f t="shared" si="49"/>
        <v>0</v>
      </c>
      <c r="AR246" s="1701"/>
      <c r="AS246" s="1665"/>
      <c r="AT246" s="1648">
        <f t="shared" si="51"/>
        <v>0</v>
      </c>
      <c r="AU246" s="1667"/>
      <c r="AV246" s="935"/>
      <c r="AW246" s="935"/>
      <c r="AX246" s="935"/>
      <c r="AY246" s="722"/>
      <c r="AZ246" s="722"/>
      <c r="BA246" s="722"/>
      <c r="BB246" s="722"/>
      <c r="BC246" s="722"/>
      <c r="BD246" s="722"/>
      <c r="BE246" s="706"/>
      <c r="BF246" s="706"/>
      <c r="BG246" s="694"/>
    </row>
    <row r="247" spans="1:64" ht="15.75" x14ac:dyDescent="0.25">
      <c r="A247" s="1883"/>
      <c r="B247" s="1748"/>
      <c r="C247" s="1884"/>
      <c r="D247" s="1884"/>
      <c r="E247" s="1726">
        <f t="shared" si="50"/>
        <v>0</v>
      </c>
      <c r="F247" s="1722"/>
      <c r="G247" s="1741"/>
      <c r="H247" s="1728"/>
      <c r="I247" s="1743"/>
      <c r="J247" s="1743"/>
      <c r="K247" s="1744"/>
      <c r="L247" s="1734">
        <f t="shared" si="52"/>
        <v>0</v>
      </c>
      <c r="M247" s="1735">
        <f t="shared" si="53"/>
        <v>0</v>
      </c>
      <c r="N247" s="1730"/>
      <c r="O247" s="1730"/>
      <c r="P247" s="1730"/>
      <c r="Q247" s="1730"/>
      <c r="R247" s="1730"/>
      <c r="S247" s="1730"/>
      <c r="T247" s="1730"/>
      <c r="U247" s="1730"/>
      <c r="V247" s="1730"/>
      <c r="W247" s="1730"/>
      <c r="X247" s="1903">
        <f t="shared" si="42"/>
        <v>0</v>
      </c>
      <c r="Y247" s="1733">
        <f t="shared" si="54"/>
        <v>0</v>
      </c>
      <c r="Z247" s="528"/>
      <c r="AA247" s="1620"/>
      <c r="AB247" s="1616"/>
      <c r="AC247" s="1616"/>
      <c r="AD247" s="1616"/>
      <c r="AE247" s="1621"/>
      <c r="AF247" s="1615">
        <f t="shared" si="44"/>
        <v>0</v>
      </c>
      <c r="AG247" s="1116">
        <f t="shared" si="45"/>
        <v>0</v>
      </c>
      <c r="AH247" s="1116">
        <f t="shared" si="46"/>
        <v>0</v>
      </c>
      <c r="AI247" s="1116">
        <f t="shared" si="47"/>
        <v>0</v>
      </c>
      <c r="AJ247" s="1606">
        <f t="shared" si="48"/>
        <v>0</v>
      </c>
      <c r="AK247" s="1610"/>
      <c r="AL247" s="1590"/>
      <c r="AM247" s="1590"/>
      <c r="AN247" s="1590"/>
      <c r="AO247" s="1590"/>
      <c r="AP247" s="1611"/>
      <c r="AQ247" s="1614">
        <f t="shared" si="49"/>
        <v>0</v>
      </c>
      <c r="AR247" s="1701"/>
      <c r="AS247" s="1665"/>
      <c r="AT247" s="1648">
        <f t="shared" si="51"/>
        <v>0</v>
      </c>
      <c r="AU247" s="1667"/>
      <c r="AV247" s="935"/>
      <c r="AW247" s="935"/>
      <c r="AX247" s="935"/>
      <c r="AY247" s="722"/>
      <c r="AZ247" s="722"/>
      <c r="BA247" s="722"/>
      <c r="BB247" s="722"/>
      <c r="BC247" s="722"/>
      <c r="BD247" s="722"/>
      <c r="BE247" s="706"/>
      <c r="BF247" s="706"/>
      <c r="BG247" s="694"/>
    </row>
    <row r="248" spans="1:64" ht="15.75" x14ac:dyDescent="0.25">
      <c r="A248" s="1883"/>
      <c r="B248" s="1748"/>
      <c r="C248" s="1884"/>
      <c r="D248" s="1884"/>
      <c r="E248" s="1726">
        <f t="shared" si="50"/>
        <v>0</v>
      </c>
      <c r="F248" s="1722"/>
      <c r="G248" s="1741"/>
      <c r="H248" s="1728"/>
      <c r="I248" s="1743"/>
      <c r="J248" s="1743"/>
      <c r="K248" s="1744"/>
      <c r="L248" s="1734">
        <f t="shared" si="52"/>
        <v>0</v>
      </c>
      <c r="M248" s="1735">
        <f t="shared" si="53"/>
        <v>0</v>
      </c>
      <c r="N248" s="1730"/>
      <c r="O248" s="1730"/>
      <c r="P248" s="1730"/>
      <c r="Q248" s="1730"/>
      <c r="R248" s="1730"/>
      <c r="S248" s="1730"/>
      <c r="T248" s="1730"/>
      <c r="U248" s="1730"/>
      <c r="V248" s="1730"/>
      <c r="W248" s="1730"/>
      <c r="X248" s="1903">
        <f t="shared" si="42"/>
        <v>0</v>
      </c>
      <c r="Y248" s="1733">
        <f t="shared" si="54"/>
        <v>0</v>
      </c>
      <c r="Z248" s="528"/>
      <c r="AA248" s="1620"/>
      <c r="AB248" s="1616"/>
      <c r="AC248" s="1616"/>
      <c r="AD248" s="1616"/>
      <c r="AE248" s="1621"/>
      <c r="AF248" s="1615">
        <f t="shared" si="44"/>
        <v>0</v>
      </c>
      <c r="AG248" s="1116">
        <f t="shared" si="45"/>
        <v>0</v>
      </c>
      <c r="AH248" s="1116">
        <f t="shared" si="46"/>
        <v>0</v>
      </c>
      <c r="AI248" s="1116">
        <f t="shared" si="47"/>
        <v>0</v>
      </c>
      <c r="AJ248" s="1606">
        <f t="shared" si="48"/>
        <v>0</v>
      </c>
      <c r="AK248" s="1610"/>
      <c r="AL248" s="1590"/>
      <c r="AM248" s="1590"/>
      <c r="AN248" s="1590"/>
      <c r="AO248" s="1590"/>
      <c r="AP248" s="1611"/>
      <c r="AQ248" s="1614">
        <f t="shared" si="49"/>
        <v>0</v>
      </c>
      <c r="AR248" s="1701"/>
      <c r="AS248" s="1665"/>
      <c r="AT248" s="1648">
        <f t="shared" si="51"/>
        <v>0</v>
      </c>
      <c r="AU248" s="1667"/>
      <c r="AV248" s="935"/>
      <c r="AW248" s="935"/>
      <c r="AX248" s="935"/>
      <c r="AY248" s="722"/>
      <c r="AZ248" s="722"/>
      <c r="BA248" s="722"/>
      <c r="BB248" s="722"/>
      <c r="BC248" s="722"/>
      <c r="BD248" s="722"/>
      <c r="BE248" s="706"/>
      <c r="BF248" s="706"/>
      <c r="BG248" s="694"/>
    </row>
    <row r="249" spans="1:64" ht="15.75" x14ac:dyDescent="0.25">
      <c r="A249" s="1883"/>
      <c r="B249" s="1748"/>
      <c r="C249" s="1884"/>
      <c r="D249" s="1884"/>
      <c r="E249" s="1726">
        <f t="shared" si="50"/>
        <v>0</v>
      </c>
      <c r="F249" s="1722"/>
      <c r="G249" s="1741"/>
      <c r="H249" s="1728"/>
      <c r="I249" s="1743"/>
      <c r="J249" s="1743"/>
      <c r="K249" s="1744"/>
      <c r="L249" s="1734">
        <f t="shared" si="52"/>
        <v>0</v>
      </c>
      <c r="M249" s="1735">
        <f t="shared" si="53"/>
        <v>0</v>
      </c>
      <c r="N249" s="1730"/>
      <c r="O249" s="1730"/>
      <c r="P249" s="1730"/>
      <c r="Q249" s="1730"/>
      <c r="R249" s="1730"/>
      <c r="S249" s="1730"/>
      <c r="T249" s="1730"/>
      <c r="U249" s="1730"/>
      <c r="V249" s="1730"/>
      <c r="W249" s="1730"/>
      <c r="X249" s="1903">
        <f t="shared" si="42"/>
        <v>0</v>
      </c>
      <c r="Y249" s="1733">
        <f t="shared" si="54"/>
        <v>0</v>
      </c>
      <c r="Z249" s="528"/>
      <c r="AA249" s="1620"/>
      <c r="AB249" s="1616"/>
      <c r="AC249" s="1616"/>
      <c r="AD249" s="1616"/>
      <c r="AE249" s="1621"/>
      <c r="AF249" s="1615">
        <f t="shared" si="44"/>
        <v>0</v>
      </c>
      <c r="AG249" s="1116">
        <f t="shared" si="45"/>
        <v>0</v>
      </c>
      <c r="AH249" s="1116">
        <f t="shared" si="46"/>
        <v>0</v>
      </c>
      <c r="AI249" s="1116">
        <f t="shared" si="47"/>
        <v>0</v>
      </c>
      <c r="AJ249" s="1606">
        <f t="shared" si="48"/>
        <v>0</v>
      </c>
      <c r="AK249" s="1610"/>
      <c r="AL249" s="1590"/>
      <c r="AM249" s="1590"/>
      <c r="AN249" s="1590"/>
      <c r="AO249" s="1590"/>
      <c r="AP249" s="1611"/>
      <c r="AQ249" s="1614">
        <f t="shared" si="49"/>
        <v>0</v>
      </c>
      <c r="AR249" s="1701"/>
      <c r="AS249" s="1665"/>
      <c r="AT249" s="1648">
        <f t="shared" si="51"/>
        <v>0</v>
      </c>
      <c r="AU249" s="1667"/>
      <c r="AV249" s="935"/>
      <c r="AW249" s="935"/>
      <c r="AX249" s="935"/>
      <c r="AY249" s="722"/>
      <c r="AZ249" s="722"/>
      <c r="BA249" s="722"/>
      <c r="BB249" s="722"/>
      <c r="BC249" s="722"/>
      <c r="BD249" s="722"/>
      <c r="BE249" s="706"/>
      <c r="BF249" s="706"/>
      <c r="BG249" s="694"/>
    </row>
    <row r="250" spans="1:64" ht="15.75" x14ac:dyDescent="0.25">
      <c r="A250" s="1883"/>
      <c r="B250" s="1748"/>
      <c r="C250" s="1884"/>
      <c r="D250" s="1884"/>
      <c r="E250" s="1726">
        <f t="shared" si="50"/>
        <v>0</v>
      </c>
      <c r="F250" s="1722"/>
      <c r="G250" s="1741"/>
      <c r="H250" s="1728"/>
      <c r="I250" s="1743"/>
      <c r="J250" s="1743"/>
      <c r="K250" s="1744"/>
      <c r="L250" s="1734">
        <f t="shared" si="52"/>
        <v>0</v>
      </c>
      <c r="M250" s="1735">
        <f t="shared" si="53"/>
        <v>0</v>
      </c>
      <c r="N250" s="1730"/>
      <c r="O250" s="1730"/>
      <c r="P250" s="1730"/>
      <c r="Q250" s="1730"/>
      <c r="R250" s="1730"/>
      <c r="S250" s="1730"/>
      <c r="T250" s="1730"/>
      <c r="U250" s="1730"/>
      <c r="V250" s="1730"/>
      <c r="W250" s="1730"/>
      <c r="X250" s="1903">
        <f t="shared" si="42"/>
        <v>0</v>
      </c>
      <c r="Y250" s="1733">
        <f t="shared" si="54"/>
        <v>0</v>
      </c>
      <c r="Z250" s="528"/>
      <c r="AA250" s="1620"/>
      <c r="AB250" s="1616"/>
      <c r="AC250" s="1616"/>
      <c r="AD250" s="1616"/>
      <c r="AE250" s="1621"/>
      <c r="AF250" s="1615">
        <f t="shared" si="44"/>
        <v>0</v>
      </c>
      <c r="AG250" s="1116">
        <f t="shared" si="45"/>
        <v>0</v>
      </c>
      <c r="AH250" s="1116">
        <f t="shared" si="46"/>
        <v>0</v>
      </c>
      <c r="AI250" s="1116">
        <f t="shared" si="47"/>
        <v>0</v>
      </c>
      <c r="AJ250" s="1606">
        <f t="shared" si="48"/>
        <v>0</v>
      </c>
      <c r="AK250" s="1610"/>
      <c r="AL250" s="1590"/>
      <c r="AM250" s="1590"/>
      <c r="AN250" s="1590"/>
      <c r="AO250" s="1590"/>
      <c r="AP250" s="1611"/>
      <c r="AQ250" s="1614">
        <f t="shared" si="49"/>
        <v>0</v>
      </c>
      <c r="AR250" s="1701"/>
      <c r="AS250" s="1665"/>
      <c r="AT250" s="1648">
        <f t="shared" si="51"/>
        <v>0</v>
      </c>
      <c r="AU250" s="1667"/>
      <c r="AV250" s="935"/>
      <c r="AW250" s="935"/>
      <c r="AX250" s="935"/>
      <c r="AY250" s="722"/>
      <c r="AZ250" s="722"/>
      <c r="BA250" s="722"/>
      <c r="BB250" s="722"/>
      <c r="BC250" s="722"/>
      <c r="BD250" s="722"/>
      <c r="BE250" s="706"/>
      <c r="BF250" s="706"/>
      <c r="BG250" s="694"/>
    </row>
    <row r="251" spans="1:64" ht="15.75" x14ac:dyDescent="0.25">
      <c r="A251" s="1883"/>
      <c r="B251" s="1748"/>
      <c r="C251" s="1884"/>
      <c r="D251" s="1884"/>
      <c r="E251" s="1726">
        <f t="shared" si="50"/>
        <v>0</v>
      </c>
      <c r="F251" s="1722"/>
      <c r="G251" s="1741"/>
      <c r="H251" s="1728"/>
      <c r="I251" s="1743"/>
      <c r="J251" s="1743"/>
      <c r="K251" s="1744"/>
      <c r="L251" s="1734">
        <f t="shared" si="52"/>
        <v>0</v>
      </c>
      <c r="M251" s="1735">
        <f t="shared" si="53"/>
        <v>0</v>
      </c>
      <c r="N251" s="1730"/>
      <c r="O251" s="1730"/>
      <c r="P251" s="1730"/>
      <c r="Q251" s="1730"/>
      <c r="R251" s="1730"/>
      <c r="S251" s="1730"/>
      <c r="T251" s="1730"/>
      <c r="U251" s="1730"/>
      <c r="V251" s="1730"/>
      <c r="W251" s="1730"/>
      <c r="X251" s="1903">
        <f t="shared" si="42"/>
        <v>0</v>
      </c>
      <c r="Y251" s="1733">
        <f t="shared" si="54"/>
        <v>0</v>
      </c>
      <c r="Z251" s="528"/>
      <c r="AA251" s="1620"/>
      <c r="AB251" s="1616"/>
      <c r="AC251" s="1616"/>
      <c r="AD251" s="1616"/>
      <c r="AE251" s="1621"/>
      <c r="AF251" s="1615">
        <f t="shared" si="44"/>
        <v>0</v>
      </c>
      <c r="AG251" s="1116">
        <f t="shared" si="45"/>
        <v>0</v>
      </c>
      <c r="AH251" s="1116">
        <f t="shared" si="46"/>
        <v>0</v>
      </c>
      <c r="AI251" s="1116">
        <f t="shared" si="47"/>
        <v>0</v>
      </c>
      <c r="AJ251" s="1606">
        <f t="shared" si="48"/>
        <v>0</v>
      </c>
      <c r="AK251" s="1610"/>
      <c r="AL251" s="1590"/>
      <c r="AM251" s="1590"/>
      <c r="AN251" s="1590"/>
      <c r="AO251" s="1590"/>
      <c r="AP251" s="1611"/>
      <c r="AQ251" s="1614">
        <f t="shared" si="49"/>
        <v>0</v>
      </c>
      <c r="AR251" s="1701"/>
      <c r="AS251" s="1665"/>
      <c r="AT251" s="1648">
        <f t="shared" si="51"/>
        <v>0</v>
      </c>
      <c r="AU251" s="1667"/>
      <c r="AV251" s="935"/>
      <c r="AW251" s="935"/>
      <c r="AX251" s="935"/>
      <c r="AY251" s="722"/>
      <c r="AZ251" s="722"/>
      <c r="BA251" s="722"/>
      <c r="BB251" s="722"/>
      <c r="BC251" s="722"/>
      <c r="BD251" s="722"/>
      <c r="BE251" s="706"/>
      <c r="BF251" s="706"/>
      <c r="BG251" s="694"/>
    </row>
    <row r="252" spans="1:64" ht="15.75" x14ac:dyDescent="0.25">
      <c r="A252" s="1883"/>
      <c r="B252" s="1748"/>
      <c r="C252" s="1884"/>
      <c r="D252" s="1884"/>
      <c r="E252" s="1726">
        <f t="shared" si="50"/>
        <v>0</v>
      </c>
      <c r="F252" s="1722"/>
      <c r="G252" s="1741"/>
      <c r="H252" s="1728"/>
      <c r="I252" s="1743"/>
      <c r="J252" s="1743"/>
      <c r="K252" s="1744"/>
      <c r="L252" s="1734">
        <f t="shared" si="52"/>
        <v>0</v>
      </c>
      <c r="M252" s="1735">
        <f t="shared" si="53"/>
        <v>0</v>
      </c>
      <c r="N252" s="1730"/>
      <c r="O252" s="1730"/>
      <c r="P252" s="1730"/>
      <c r="Q252" s="1730"/>
      <c r="R252" s="1730"/>
      <c r="S252" s="1730"/>
      <c r="T252" s="1730"/>
      <c r="U252" s="1730"/>
      <c r="V252" s="1730"/>
      <c r="W252" s="1730"/>
      <c r="X252" s="1903">
        <f t="shared" si="42"/>
        <v>0</v>
      </c>
      <c r="Y252" s="1733">
        <f t="shared" si="54"/>
        <v>0</v>
      </c>
      <c r="Z252" s="528"/>
      <c r="AA252" s="1620"/>
      <c r="AB252" s="1616"/>
      <c r="AC252" s="1616"/>
      <c r="AD252" s="1616"/>
      <c r="AE252" s="1621"/>
      <c r="AF252" s="1615">
        <f t="shared" si="44"/>
        <v>0</v>
      </c>
      <c r="AG252" s="1116">
        <f t="shared" si="45"/>
        <v>0</v>
      </c>
      <c r="AH252" s="1116">
        <f t="shared" si="46"/>
        <v>0</v>
      </c>
      <c r="AI252" s="1116">
        <f t="shared" si="47"/>
        <v>0</v>
      </c>
      <c r="AJ252" s="1606">
        <f t="shared" si="48"/>
        <v>0</v>
      </c>
      <c r="AK252" s="1610"/>
      <c r="AL252" s="1590"/>
      <c r="AM252" s="1590"/>
      <c r="AN252" s="1590"/>
      <c r="AO252" s="1590"/>
      <c r="AP252" s="1611"/>
      <c r="AQ252" s="1614">
        <f t="shared" si="49"/>
        <v>0</v>
      </c>
      <c r="AR252" s="1701"/>
      <c r="AS252" s="1665"/>
      <c r="AT252" s="1648">
        <f t="shared" si="51"/>
        <v>0</v>
      </c>
      <c r="AU252" s="1667"/>
      <c r="AV252" s="935"/>
      <c r="AW252" s="935"/>
      <c r="AX252" s="935"/>
      <c r="AY252" s="722"/>
      <c r="AZ252" s="722"/>
      <c r="BA252" s="722"/>
      <c r="BB252" s="722"/>
      <c r="BC252" s="722"/>
      <c r="BD252" s="722"/>
      <c r="BE252" s="706"/>
      <c r="BF252" s="706"/>
      <c r="BG252" s="694"/>
    </row>
    <row r="253" spans="1:64" ht="15.75" x14ac:dyDescent="0.25">
      <c r="A253" s="1883"/>
      <c r="B253" s="1748"/>
      <c r="C253" s="1884"/>
      <c r="D253" s="1884"/>
      <c r="E253" s="1726">
        <f t="shared" si="50"/>
        <v>0</v>
      </c>
      <c r="F253" s="1722"/>
      <c r="G253" s="1741"/>
      <c r="H253" s="1728"/>
      <c r="I253" s="1743"/>
      <c r="J253" s="1743"/>
      <c r="K253" s="1744"/>
      <c r="L253" s="1734">
        <f t="shared" si="52"/>
        <v>0</v>
      </c>
      <c r="M253" s="1735">
        <f t="shared" si="53"/>
        <v>0</v>
      </c>
      <c r="N253" s="1730"/>
      <c r="O253" s="1730"/>
      <c r="P253" s="1730"/>
      <c r="Q253" s="1730"/>
      <c r="R253" s="1730"/>
      <c r="S253" s="1730"/>
      <c r="T253" s="1730"/>
      <c r="U253" s="1730"/>
      <c r="V253" s="1730"/>
      <c r="W253" s="1730"/>
      <c r="X253" s="1903">
        <f t="shared" si="42"/>
        <v>0</v>
      </c>
      <c r="Y253" s="1733">
        <f t="shared" si="54"/>
        <v>0</v>
      </c>
      <c r="Z253" s="528"/>
      <c r="AA253" s="1620"/>
      <c r="AB253" s="1616"/>
      <c r="AC253" s="1616"/>
      <c r="AD253" s="1616"/>
      <c r="AE253" s="1621"/>
      <c r="AF253" s="1615">
        <f t="shared" si="44"/>
        <v>0</v>
      </c>
      <c r="AG253" s="1116">
        <f t="shared" si="45"/>
        <v>0</v>
      </c>
      <c r="AH253" s="1116">
        <f t="shared" si="46"/>
        <v>0</v>
      </c>
      <c r="AI253" s="1116">
        <f t="shared" si="47"/>
        <v>0</v>
      </c>
      <c r="AJ253" s="1606">
        <f t="shared" si="48"/>
        <v>0</v>
      </c>
      <c r="AK253" s="1610"/>
      <c r="AL253" s="1590"/>
      <c r="AM253" s="1590"/>
      <c r="AN253" s="1590"/>
      <c r="AO253" s="1590"/>
      <c r="AP253" s="1611"/>
      <c r="AQ253" s="1614">
        <f t="shared" si="49"/>
        <v>0</v>
      </c>
      <c r="AR253" s="1701"/>
      <c r="AS253" s="1665"/>
      <c r="AT253" s="1648">
        <f t="shared" si="51"/>
        <v>0</v>
      </c>
      <c r="AU253" s="1667"/>
      <c r="AV253" s="935"/>
      <c r="AW253" s="935"/>
      <c r="AX253" s="935"/>
      <c r="AY253" s="722"/>
      <c r="AZ253" s="722"/>
      <c r="BA253" s="722"/>
      <c r="BB253" s="722"/>
      <c r="BC253" s="722"/>
      <c r="BD253" s="722"/>
      <c r="BE253" s="706"/>
      <c r="BF253" s="706"/>
      <c r="BG253" s="694"/>
    </row>
    <row r="254" spans="1:64" ht="16.5" thickBot="1" x14ac:dyDescent="0.3">
      <c r="A254" s="1883"/>
      <c r="B254" s="1748"/>
      <c r="C254" s="1884"/>
      <c r="D254" s="1884"/>
      <c r="E254" s="1726">
        <f t="shared" si="50"/>
        <v>0</v>
      </c>
      <c r="F254" s="1722"/>
      <c r="G254" s="1741"/>
      <c r="H254" s="1728"/>
      <c r="I254" s="1743"/>
      <c r="J254" s="1743"/>
      <c r="K254" s="1744"/>
      <c r="L254" s="1734">
        <f t="shared" si="52"/>
        <v>0</v>
      </c>
      <c r="M254" s="1735">
        <f t="shared" si="53"/>
        <v>0</v>
      </c>
      <c r="N254" s="1730"/>
      <c r="O254" s="1730"/>
      <c r="P254" s="1730"/>
      <c r="Q254" s="1730"/>
      <c r="R254" s="1730"/>
      <c r="S254" s="1730"/>
      <c r="T254" s="1730"/>
      <c r="U254" s="1730"/>
      <c r="V254" s="1730"/>
      <c r="W254" s="1730"/>
      <c r="X254" s="1903">
        <f t="shared" si="42"/>
        <v>0</v>
      </c>
      <c r="Y254" s="1733">
        <f t="shared" si="54"/>
        <v>0</v>
      </c>
      <c r="Z254" s="528"/>
      <c r="AA254" s="1622"/>
      <c r="AB254" s="1623"/>
      <c r="AC254" s="1623"/>
      <c r="AD254" s="1623"/>
      <c r="AE254" s="1624"/>
      <c r="AF254" s="1615">
        <f t="shared" si="44"/>
        <v>0</v>
      </c>
      <c r="AG254" s="1116">
        <f t="shared" si="45"/>
        <v>0</v>
      </c>
      <c r="AH254" s="1116">
        <f t="shared" si="46"/>
        <v>0</v>
      </c>
      <c r="AI254" s="1116">
        <f t="shared" si="47"/>
        <v>0</v>
      </c>
      <c r="AJ254" s="1606">
        <f t="shared" si="48"/>
        <v>0</v>
      </c>
      <c r="AK254" s="1612"/>
      <c r="AL254" s="1601"/>
      <c r="AM254" s="1601"/>
      <c r="AN254" s="1601"/>
      <c r="AO254" s="1601"/>
      <c r="AP254" s="1613"/>
      <c r="AQ254" s="1614">
        <f t="shared" si="49"/>
        <v>0</v>
      </c>
      <c r="AR254" s="1645"/>
      <c r="AS254" s="1647"/>
      <c r="AT254" s="1648">
        <f>IF(AND($H254&gt;0,$K254&gt;0),$X254,0)</f>
        <v>0</v>
      </c>
      <c r="AU254" s="1668"/>
      <c r="AV254" s="935"/>
      <c r="AW254" s="935"/>
      <c r="AX254" s="935"/>
      <c r="AY254" s="722"/>
      <c r="AZ254" s="722"/>
      <c r="BA254" s="722"/>
      <c r="BB254" s="722"/>
      <c r="BC254" s="722"/>
      <c r="BD254" s="722"/>
      <c r="BE254" s="706"/>
      <c r="BF254" s="706"/>
      <c r="BG254" s="694"/>
    </row>
    <row r="255" spans="1:64" ht="42" customHeight="1" thickBot="1" x14ac:dyDescent="0.3">
      <c r="A255" s="789" t="s">
        <v>466</v>
      </c>
      <c r="B255" s="1398">
        <f>SUM(B154:B254)</f>
        <v>0</v>
      </c>
      <c r="C255" s="672">
        <f>IFERROR(SUM(C154:C254)/B255,0)</f>
        <v>0</v>
      </c>
      <c r="D255" s="676">
        <f>SUM(D154:D254)</f>
        <v>0</v>
      </c>
      <c r="E255" s="675">
        <f>IFERROR(D255/B255,0)</f>
        <v>0</v>
      </c>
      <c r="F255" s="2470" t="s">
        <v>466</v>
      </c>
      <c r="G255" s="2471"/>
      <c r="H255" s="1399">
        <f>SUM(H154:H254)</f>
        <v>0</v>
      </c>
      <c r="I255" s="371"/>
      <c r="J255" s="371"/>
      <c r="K255" s="371"/>
      <c r="L255" s="371"/>
      <c r="M255" s="460">
        <f t="shared" ref="M255:W255" si="55">IFERROR(SUM(M154:M254)/$H$255,0)</f>
        <v>0</v>
      </c>
      <c r="N255" s="426">
        <f t="shared" si="55"/>
        <v>0</v>
      </c>
      <c r="O255" s="426">
        <f t="shared" si="55"/>
        <v>0</v>
      </c>
      <c r="P255" s="426">
        <f t="shared" si="55"/>
        <v>0</v>
      </c>
      <c r="Q255" s="426">
        <f t="shared" si="55"/>
        <v>0</v>
      </c>
      <c r="R255" s="426">
        <f t="shared" si="55"/>
        <v>0</v>
      </c>
      <c r="S255" s="426">
        <f t="shared" si="55"/>
        <v>0</v>
      </c>
      <c r="T255" s="426">
        <f t="shared" si="55"/>
        <v>0</v>
      </c>
      <c r="U255" s="426">
        <f t="shared" si="55"/>
        <v>0</v>
      </c>
      <c r="V255" s="426">
        <f t="shared" si="55"/>
        <v>0</v>
      </c>
      <c r="W255" s="426">
        <f t="shared" si="55"/>
        <v>0</v>
      </c>
      <c r="X255" s="427">
        <f>SUM(X154:X254)</f>
        <v>0</v>
      </c>
      <c r="Y255" s="429">
        <f>IFERROR(SUM(X255/H255),0)</f>
        <v>0</v>
      </c>
      <c r="Z255" s="510"/>
      <c r="AA255" s="708"/>
      <c r="AB255" s="708"/>
      <c r="AC255" s="708"/>
      <c r="AD255" s="708"/>
      <c r="AE255" s="708"/>
      <c r="AF255" s="708"/>
      <c r="AG255" s="708"/>
      <c r="AH255" s="708"/>
      <c r="AI255" s="708"/>
      <c r="AJ255" s="708"/>
      <c r="AK255" s="708"/>
      <c r="AL255" s="708"/>
      <c r="AM255" s="708"/>
      <c r="AN255" s="708"/>
      <c r="AO255" s="708"/>
      <c r="AP255" s="1426"/>
      <c r="AQ255" s="1426"/>
      <c r="AR255" s="1426"/>
      <c r="AS255" s="988"/>
      <c r="AT255" s="1007"/>
      <c r="AU255" s="971"/>
      <c r="AV255" s="935"/>
      <c r="AW255" s="935"/>
      <c r="AX255" s="935"/>
      <c r="AY255" s="724"/>
      <c r="AZ255" s="724"/>
      <c r="BA255" s="724"/>
      <c r="BB255" s="724"/>
      <c r="BC255" s="724"/>
      <c r="BD255" s="724"/>
      <c r="BE255" s="708"/>
      <c r="BF255" s="708"/>
      <c r="BG255" s="696"/>
      <c r="BL255" s="612"/>
    </row>
    <row r="256" spans="1:64" ht="15.75" x14ac:dyDescent="0.25">
      <c r="F256" s="475"/>
      <c r="G256" s="372"/>
      <c r="H256" s="372"/>
      <c r="I256" s="372"/>
      <c r="J256" s="372"/>
      <c r="K256" s="372"/>
      <c r="L256" s="372"/>
      <c r="M256" s="373"/>
      <c r="N256" s="373"/>
      <c r="O256" s="373"/>
      <c r="P256" s="373"/>
      <c r="Q256" s="373"/>
      <c r="R256" s="373"/>
      <c r="S256" s="373"/>
      <c r="T256" s="373"/>
      <c r="U256" s="373"/>
      <c r="V256" s="373"/>
      <c r="W256" s="373"/>
      <c r="X256" s="465"/>
      <c r="Y256" s="476"/>
      <c r="Z256" s="538"/>
      <c r="AA256" s="711"/>
      <c r="AB256" s="711"/>
      <c r="AC256" s="711"/>
      <c r="AD256" s="711"/>
      <c r="AE256" s="711"/>
      <c r="AF256" s="711"/>
      <c r="AG256" s="711"/>
      <c r="AH256" s="711"/>
      <c r="AI256" s="711"/>
      <c r="AJ256" s="711"/>
      <c r="AK256" s="711"/>
      <c r="AL256" s="711"/>
      <c r="AM256" s="711"/>
      <c r="AN256" s="711"/>
      <c r="AO256" s="711"/>
      <c r="AP256" s="1428"/>
      <c r="AQ256" s="1428"/>
      <c r="AR256" s="1428"/>
      <c r="AS256" s="990"/>
      <c r="AT256" s="1010"/>
      <c r="AU256" s="974"/>
      <c r="AV256" s="935"/>
      <c r="AW256" s="935"/>
      <c r="AX256" s="935"/>
      <c r="AY256" s="727"/>
      <c r="AZ256" s="727"/>
      <c r="BA256" s="727"/>
      <c r="BB256" s="727"/>
      <c r="BC256" s="727"/>
      <c r="BD256" s="727"/>
      <c r="BE256" s="711"/>
      <c r="BF256" s="711"/>
      <c r="BG256" s="699"/>
      <c r="BL256" s="609"/>
    </row>
    <row r="257" spans="1:59" ht="15.75" x14ac:dyDescent="0.25">
      <c r="A257" s="239" t="s">
        <v>467</v>
      </c>
      <c r="F257" s="475" t="s">
        <v>467</v>
      </c>
      <c r="G257" s="239"/>
      <c r="M257" s="373"/>
      <c r="N257" s="373"/>
      <c r="P257" s="2414" t="s">
        <v>83</v>
      </c>
      <c r="Q257" s="2414"/>
      <c r="R257" s="2414"/>
      <c r="S257" s="2414"/>
      <c r="T257" s="2414"/>
      <c r="U257" s="2414"/>
      <c r="V257" s="2414"/>
      <c r="W257" s="2414"/>
      <c r="X257" s="2414"/>
      <c r="Y257" s="2415"/>
      <c r="Z257" s="539"/>
      <c r="AA257" s="712"/>
      <c r="AB257" s="712"/>
      <c r="AC257" s="712"/>
      <c r="AD257" s="712"/>
      <c r="AE257" s="712"/>
      <c r="AF257" s="712"/>
      <c r="AG257" s="712"/>
      <c r="AH257" s="712"/>
      <c r="AI257" s="712"/>
      <c r="AJ257" s="712"/>
      <c r="AK257" s="712"/>
      <c r="AL257" s="712"/>
      <c r="AM257" s="712"/>
      <c r="AN257" s="712"/>
      <c r="AO257" s="712"/>
      <c r="AP257" s="1424"/>
      <c r="AQ257" s="1424"/>
      <c r="AR257" s="1424"/>
      <c r="AS257" s="712"/>
      <c r="AT257" s="936"/>
      <c r="AU257" s="969"/>
      <c r="AV257" s="935"/>
      <c r="AW257" s="935"/>
      <c r="AX257" s="935"/>
      <c r="AY257" s="509"/>
      <c r="AZ257" s="509"/>
      <c r="BA257" s="509"/>
      <c r="BB257" s="509"/>
      <c r="BC257" s="509"/>
      <c r="BD257" s="509"/>
      <c r="BE257" s="712"/>
      <c r="BF257" s="712"/>
      <c r="BG257" s="693"/>
    </row>
    <row r="258" spans="1:59" ht="15.75" x14ac:dyDescent="0.25">
      <c r="A258" s="1883"/>
      <c r="B258" s="1748"/>
      <c r="C258" s="1884"/>
      <c r="D258" s="1884"/>
      <c r="E258" s="1726">
        <f t="shared" ref="E258:E346" si="56">IFERROR(D258/B258,0)</f>
        <v>0</v>
      </c>
      <c r="F258" s="1722"/>
      <c r="G258" s="1741"/>
      <c r="H258" s="1728"/>
      <c r="I258" s="1743"/>
      <c r="J258" s="1743"/>
      <c r="K258" s="1744"/>
      <c r="L258" s="1731">
        <f>IFERROR(IF($K$24="VK",K258,K258/H258),0)</f>
        <v>0</v>
      </c>
      <c r="M258" s="1732">
        <f>IFERROR(L258*H258,"")</f>
        <v>0</v>
      </c>
      <c r="N258" s="1730"/>
      <c r="O258" s="1730"/>
      <c r="P258" s="1746"/>
      <c r="Q258" s="1746"/>
      <c r="R258" s="1746"/>
      <c r="S258" s="1746"/>
      <c r="T258" s="1746"/>
      <c r="U258" s="1746"/>
      <c r="V258" s="1746"/>
      <c r="W258" s="1746"/>
      <c r="X258" s="1903">
        <f t="shared" ref="X258:X321" si="57">IF(AND(H258&gt;0,F258&lt;&gt;"GfB"),(SUM(M258:P258,R258,V258,Q258)*12+(T258+U258))*(100+$P$17+$P$18)%+((S258+W258)*12),IF(AND(H258&gt;0,F258="GfB"),(SUM(M258:P258,R258,V258,Q258)*12+(T258+U258))*(100+$P$20+$P$18)%+((S258+W258)*12),0))</f>
        <v>0</v>
      </c>
      <c r="Y258" s="1733">
        <f>IF(ISERROR(X258/H258),0,(X258/H258))</f>
        <v>0</v>
      </c>
      <c r="Z258" s="528"/>
      <c r="AA258" s="1617"/>
      <c r="AB258" s="1618"/>
      <c r="AC258" s="1618"/>
      <c r="AD258" s="1618"/>
      <c r="AE258" s="1618"/>
      <c r="AF258" s="1626"/>
      <c r="AG258" s="1592"/>
      <c r="AH258" s="1592"/>
      <c r="AI258" s="1592"/>
      <c r="AJ258" s="1627"/>
      <c r="AK258" s="1625">
        <f>(IF(AND($H258&gt;0,$K258&gt;0),($M258+$N258),0))</f>
        <v>0</v>
      </c>
      <c r="AL258" s="1565">
        <f>(IF(AND($H258&gt;0,$K258&gt;0),$O258,0))</f>
        <v>0</v>
      </c>
      <c r="AM258" s="1565">
        <f>(IF(AND($H258&gt;0,$K258&gt;0),$P258,0))</f>
        <v>0</v>
      </c>
      <c r="AN258" s="1565">
        <f>(IF(AND($H258&gt;0,$K258&gt;0),$Q258,0))</f>
        <v>0</v>
      </c>
      <c r="AO258" s="1631">
        <f>(IF(AND($H258&gt;0,$K258&gt;0),(($T258+$U258)/12),0))</f>
        <v>0</v>
      </c>
      <c r="AP258" s="1632"/>
      <c r="AQ258" s="1633"/>
      <c r="AR258" s="1662">
        <f>IF(AND($H258&gt;0,$K258&gt;0),$H258,0)</f>
        <v>0</v>
      </c>
      <c r="AS258" s="1673"/>
      <c r="AT258" s="1674"/>
      <c r="AU258" s="1679">
        <f>IF(AND($H258&gt;0,$K258&gt;0),$X258,0)</f>
        <v>0</v>
      </c>
      <c r="AV258" s="935"/>
      <c r="AW258" s="935"/>
      <c r="AX258" s="935"/>
      <c r="AY258" s="722"/>
      <c r="AZ258" s="722"/>
      <c r="BA258" s="722"/>
      <c r="BB258" s="722"/>
      <c r="BC258" s="722"/>
      <c r="BD258" s="722"/>
      <c r="BE258" s="706"/>
      <c r="BF258" s="706"/>
      <c r="BG258" s="694"/>
    </row>
    <row r="259" spans="1:59" ht="15.75" x14ac:dyDescent="0.25">
      <c r="A259" s="1883"/>
      <c r="B259" s="1748"/>
      <c r="C259" s="1884"/>
      <c r="D259" s="1884"/>
      <c r="E259" s="1726">
        <f t="shared" si="56"/>
        <v>0</v>
      </c>
      <c r="F259" s="1722"/>
      <c r="G259" s="1741"/>
      <c r="H259" s="1728"/>
      <c r="I259" s="1743"/>
      <c r="J259" s="1743"/>
      <c r="K259" s="1744"/>
      <c r="L259" s="1734">
        <f t="shared" ref="L259:L322" si="58">IFERROR(IF($K$24="VK",K259,K259/H259),0)</f>
        <v>0</v>
      </c>
      <c r="M259" s="1735">
        <f t="shared" ref="M259:M322" si="59">IFERROR(L259*H259,"")</f>
        <v>0</v>
      </c>
      <c r="N259" s="1730"/>
      <c r="O259" s="1730"/>
      <c r="P259" s="1730"/>
      <c r="Q259" s="1730"/>
      <c r="R259" s="1730"/>
      <c r="S259" s="1730"/>
      <c r="T259" s="1730"/>
      <c r="U259" s="1730"/>
      <c r="V259" s="1730"/>
      <c r="W259" s="1730"/>
      <c r="X259" s="1903">
        <f t="shared" si="57"/>
        <v>0</v>
      </c>
      <c r="Y259" s="1733">
        <f t="shared" ref="Y259:Y322" si="60">IF(ISERROR(X259/H259),0,(X259/H259))</f>
        <v>0</v>
      </c>
      <c r="Z259" s="528"/>
      <c r="AA259" s="1620"/>
      <c r="AB259" s="1616"/>
      <c r="AC259" s="1616"/>
      <c r="AD259" s="1616"/>
      <c r="AE259" s="1616"/>
      <c r="AF259" s="1587"/>
      <c r="AG259" s="1588"/>
      <c r="AH259" s="1588"/>
      <c r="AI259" s="1588"/>
      <c r="AJ259" s="1628"/>
      <c r="AK259" s="1625">
        <f t="shared" ref="AK259:AK322" si="61">(IF(AND($H259&gt;0,$K259&gt;0),($M259+$N259),0))</f>
        <v>0</v>
      </c>
      <c r="AL259" s="1565">
        <f t="shared" ref="AL259:AL322" si="62">(IF(AND($H259&gt;0,$K259&gt;0),$O259,0))</f>
        <v>0</v>
      </c>
      <c r="AM259" s="1565">
        <f t="shared" ref="AM259:AM322" si="63">(IF(AND($H259&gt;0,$K259&gt;0),$P259,0))</f>
        <v>0</v>
      </c>
      <c r="AN259" s="1565">
        <f t="shared" ref="AN259:AN322" si="64">(IF(AND($H259&gt;0,$K259&gt;0),$Q259,0))</f>
        <v>0</v>
      </c>
      <c r="AO259" s="1631">
        <f t="shared" ref="AO259:AO322" si="65">(IF(AND($H259&gt;0,$K259&gt;0),(($T259+$U259)/12),0))</f>
        <v>0</v>
      </c>
      <c r="AP259" s="1634"/>
      <c r="AQ259" s="1635"/>
      <c r="AR259" s="1662">
        <f t="shared" ref="AR259:AR322" si="66">IF(AND($H259&gt;0,$K259&gt;0),$H259,0)</f>
        <v>0</v>
      </c>
      <c r="AS259" s="1675"/>
      <c r="AT259" s="1676"/>
      <c r="AU259" s="1679">
        <f t="shared" ref="AU259:AU322" si="67">IF(AND($H259&gt;0,$K259&gt;0),$X259,0)</f>
        <v>0</v>
      </c>
      <c r="AV259" s="935"/>
      <c r="AW259" s="935"/>
      <c r="AX259" s="935"/>
      <c r="AY259" s="722"/>
      <c r="AZ259" s="722"/>
      <c r="BA259" s="722"/>
      <c r="BB259" s="722"/>
      <c r="BC259" s="722"/>
      <c r="BD259" s="722"/>
      <c r="BE259" s="706"/>
      <c r="BF259" s="706"/>
      <c r="BG259" s="694"/>
    </row>
    <row r="260" spans="1:59" ht="15.75" x14ac:dyDescent="0.25">
      <c r="A260" s="1883"/>
      <c r="B260" s="1748"/>
      <c r="C260" s="1884"/>
      <c r="D260" s="1884"/>
      <c r="E260" s="1726">
        <f t="shared" si="56"/>
        <v>0</v>
      </c>
      <c r="F260" s="1722"/>
      <c r="G260" s="1741"/>
      <c r="H260" s="1728"/>
      <c r="I260" s="1743"/>
      <c r="J260" s="1743"/>
      <c r="K260" s="1744"/>
      <c r="L260" s="1734">
        <f t="shared" si="58"/>
        <v>0</v>
      </c>
      <c r="M260" s="1735">
        <f t="shared" si="59"/>
        <v>0</v>
      </c>
      <c r="N260" s="1730"/>
      <c r="O260" s="1730"/>
      <c r="P260" s="1730"/>
      <c r="Q260" s="1730"/>
      <c r="R260" s="1730"/>
      <c r="S260" s="1730"/>
      <c r="T260" s="1730"/>
      <c r="U260" s="1730"/>
      <c r="V260" s="1730"/>
      <c r="W260" s="1730"/>
      <c r="X260" s="1903">
        <f t="shared" si="57"/>
        <v>0</v>
      </c>
      <c r="Y260" s="1733">
        <f t="shared" si="60"/>
        <v>0</v>
      </c>
      <c r="Z260" s="528"/>
      <c r="AA260" s="1620"/>
      <c r="AB260" s="1616"/>
      <c r="AC260" s="1616"/>
      <c r="AD260" s="1616"/>
      <c r="AE260" s="1616"/>
      <c r="AF260" s="1587"/>
      <c r="AG260" s="1588"/>
      <c r="AH260" s="1588"/>
      <c r="AI260" s="1588"/>
      <c r="AJ260" s="1628"/>
      <c r="AK260" s="1625">
        <f t="shared" si="61"/>
        <v>0</v>
      </c>
      <c r="AL260" s="1565">
        <f t="shared" si="62"/>
        <v>0</v>
      </c>
      <c r="AM260" s="1565">
        <f t="shared" si="63"/>
        <v>0</v>
      </c>
      <c r="AN260" s="1565">
        <f t="shared" si="64"/>
        <v>0</v>
      </c>
      <c r="AO260" s="1631">
        <f t="shared" si="65"/>
        <v>0</v>
      </c>
      <c r="AP260" s="1634"/>
      <c r="AQ260" s="1635"/>
      <c r="AR260" s="1662">
        <f t="shared" si="66"/>
        <v>0</v>
      </c>
      <c r="AS260" s="1675"/>
      <c r="AT260" s="1676"/>
      <c r="AU260" s="1679">
        <f t="shared" si="67"/>
        <v>0</v>
      </c>
      <c r="AV260" s="935"/>
      <c r="AW260" s="935"/>
      <c r="AX260" s="935"/>
      <c r="AY260" s="722"/>
      <c r="AZ260" s="722"/>
      <c r="BA260" s="722"/>
      <c r="BB260" s="722"/>
      <c r="BC260" s="722"/>
      <c r="BD260" s="722"/>
      <c r="BE260" s="706"/>
      <c r="BF260" s="706"/>
      <c r="BG260" s="694"/>
    </row>
    <row r="261" spans="1:59" ht="15.75" x14ac:dyDescent="0.25">
      <c r="A261" s="1883"/>
      <c r="B261" s="1748"/>
      <c r="C261" s="1884"/>
      <c r="D261" s="1884"/>
      <c r="E261" s="1726">
        <f t="shared" si="56"/>
        <v>0</v>
      </c>
      <c r="F261" s="1722"/>
      <c r="G261" s="1741"/>
      <c r="H261" s="1728"/>
      <c r="I261" s="1743"/>
      <c r="J261" s="1743"/>
      <c r="K261" s="1744"/>
      <c r="L261" s="1734">
        <f t="shared" si="58"/>
        <v>0</v>
      </c>
      <c r="M261" s="1735">
        <f t="shared" si="59"/>
        <v>0</v>
      </c>
      <c r="N261" s="1730"/>
      <c r="O261" s="1730"/>
      <c r="P261" s="1730"/>
      <c r="Q261" s="1730"/>
      <c r="R261" s="1730"/>
      <c r="S261" s="1730"/>
      <c r="T261" s="1730"/>
      <c r="U261" s="1730"/>
      <c r="V261" s="1730"/>
      <c r="W261" s="1730"/>
      <c r="X261" s="1903">
        <f t="shared" si="57"/>
        <v>0</v>
      </c>
      <c r="Y261" s="1733">
        <f t="shared" si="60"/>
        <v>0</v>
      </c>
      <c r="Z261" s="528"/>
      <c r="AA261" s="1620"/>
      <c r="AB261" s="1616"/>
      <c r="AC261" s="1616"/>
      <c r="AD261" s="1616"/>
      <c r="AE261" s="1616"/>
      <c r="AF261" s="1587"/>
      <c r="AG261" s="1588"/>
      <c r="AH261" s="1588"/>
      <c r="AI261" s="1588"/>
      <c r="AJ261" s="1628"/>
      <c r="AK261" s="1625">
        <f t="shared" si="61"/>
        <v>0</v>
      </c>
      <c r="AL261" s="1565">
        <f t="shared" si="62"/>
        <v>0</v>
      </c>
      <c r="AM261" s="1565">
        <f t="shared" si="63"/>
        <v>0</v>
      </c>
      <c r="AN261" s="1565">
        <f t="shared" si="64"/>
        <v>0</v>
      </c>
      <c r="AO261" s="1631">
        <f t="shared" si="65"/>
        <v>0</v>
      </c>
      <c r="AP261" s="1634"/>
      <c r="AQ261" s="1635"/>
      <c r="AR261" s="1662">
        <f t="shared" si="66"/>
        <v>0</v>
      </c>
      <c r="AS261" s="1675"/>
      <c r="AT261" s="1676"/>
      <c r="AU261" s="1679">
        <f t="shared" si="67"/>
        <v>0</v>
      </c>
      <c r="AV261" s="935"/>
      <c r="AW261" s="935"/>
      <c r="AX261" s="935"/>
      <c r="AY261" s="722"/>
      <c r="AZ261" s="722"/>
      <c r="BA261" s="722"/>
      <c r="BB261" s="722"/>
      <c r="BC261" s="722"/>
      <c r="BD261" s="722"/>
      <c r="BE261" s="706"/>
      <c r="BF261" s="706"/>
      <c r="BG261" s="694"/>
    </row>
    <row r="262" spans="1:59" ht="15.75" x14ac:dyDescent="0.25">
      <c r="A262" s="1883"/>
      <c r="B262" s="1748"/>
      <c r="C262" s="1884"/>
      <c r="D262" s="1884"/>
      <c r="E262" s="1726">
        <f t="shared" si="56"/>
        <v>0</v>
      </c>
      <c r="F262" s="1722"/>
      <c r="G262" s="1741"/>
      <c r="H262" s="1728"/>
      <c r="I262" s="1743"/>
      <c r="J262" s="1743"/>
      <c r="K262" s="1744"/>
      <c r="L262" s="1734">
        <f t="shared" si="58"/>
        <v>0</v>
      </c>
      <c r="M262" s="1735">
        <f t="shared" si="59"/>
        <v>0</v>
      </c>
      <c r="N262" s="1730"/>
      <c r="O262" s="1730"/>
      <c r="P262" s="1730"/>
      <c r="Q262" s="1730"/>
      <c r="R262" s="1730"/>
      <c r="S262" s="1730"/>
      <c r="T262" s="1730"/>
      <c r="U262" s="1730"/>
      <c r="V262" s="1730"/>
      <c r="W262" s="1730"/>
      <c r="X262" s="1903">
        <f t="shared" si="57"/>
        <v>0</v>
      </c>
      <c r="Y262" s="1733">
        <f t="shared" si="60"/>
        <v>0</v>
      </c>
      <c r="Z262" s="528"/>
      <c r="AA262" s="1620"/>
      <c r="AB262" s="1616"/>
      <c r="AC262" s="1616"/>
      <c r="AD262" s="1616"/>
      <c r="AE262" s="1616"/>
      <c r="AF262" s="1587"/>
      <c r="AG262" s="1588"/>
      <c r="AH262" s="1588"/>
      <c r="AI262" s="1588"/>
      <c r="AJ262" s="1628"/>
      <c r="AK262" s="1625">
        <f t="shared" si="61"/>
        <v>0</v>
      </c>
      <c r="AL262" s="1565">
        <f t="shared" si="62"/>
        <v>0</v>
      </c>
      <c r="AM262" s="1565">
        <f t="shared" si="63"/>
        <v>0</v>
      </c>
      <c r="AN262" s="1565">
        <f t="shared" si="64"/>
        <v>0</v>
      </c>
      <c r="AO262" s="1631">
        <f t="shared" si="65"/>
        <v>0</v>
      </c>
      <c r="AP262" s="1634"/>
      <c r="AQ262" s="1635"/>
      <c r="AR262" s="1662">
        <f t="shared" si="66"/>
        <v>0</v>
      </c>
      <c r="AS262" s="1675"/>
      <c r="AT262" s="1676"/>
      <c r="AU262" s="1679">
        <f t="shared" si="67"/>
        <v>0</v>
      </c>
      <c r="AV262" s="935"/>
      <c r="AW262" s="935"/>
      <c r="AX262" s="935"/>
      <c r="AY262" s="722"/>
      <c r="AZ262" s="722"/>
      <c r="BA262" s="722"/>
      <c r="BB262" s="722"/>
      <c r="BC262" s="722"/>
      <c r="BD262" s="722"/>
      <c r="BE262" s="706"/>
      <c r="BF262" s="706"/>
      <c r="BG262" s="694"/>
    </row>
    <row r="263" spans="1:59" ht="15.75" x14ac:dyDescent="0.25">
      <c r="A263" s="1883"/>
      <c r="B263" s="1748"/>
      <c r="C263" s="1884"/>
      <c r="D263" s="1884"/>
      <c r="E263" s="1726">
        <f t="shared" si="56"/>
        <v>0</v>
      </c>
      <c r="F263" s="1722"/>
      <c r="G263" s="1741"/>
      <c r="H263" s="1728"/>
      <c r="I263" s="1743"/>
      <c r="J263" s="1743"/>
      <c r="K263" s="1744"/>
      <c r="L263" s="1734">
        <f t="shared" si="58"/>
        <v>0</v>
      </c>
      <c r="M263" s="1735">
        <f t="shared" si="59"/>
        <v>0</v>
      </c>
      <c r="N263" s="1730"/>
      <c r="O263" s="1730"/>
      <c r="P263" s="1730"/>
      <c r="Q263" s="1730"/>
      <c r="R263" s="1730"/>
      <c r="S263" s="1730"/>
      <c r="T263" s="1730"/>
      <c r="U263" s="1730"/>
      <c r="V263" s="1730"/>
      <c r="W263" s="1730"/>
      <c r="X263" s="1903">
        <f t="shared" si="57"/>
        <v>0</v>
      </c>
      <c r="Y263" s="1733">
        <f t="shared" si="60"/>
        <v>0</v>
      </c>
      <c r="Z263" s="528"/>
      <c r="AA263" s="1620"/>
      <c r="AB263" s="1616"/>
      <c r="AC263" s="1616"/>
      <c r="AD263" s="1616"/>
      <c r="AE263" s="1616"/>
      <c r="AF263" s="1587"/>
      <c r="AG263" s="1588"/>
      <c r="AH263" s="1588"/>
      <c r="AI263" s="1588"/>
      <c r="AJ263" s="1628"/>
      <c r="AK263" s="1625">
        <f t="shared" si="61"/>
        <v>0</v>
      </c>
      <c r="AL263" s="1565">
        <f t="shared" si="62"/>
        <v>0</v>
      </c>
      <c r="AM263" s="1565">
        <f t="shared" si="63"/>
        <v>0</v>
      </c>
      <c r="AN263" s="1565">
        <f t="shared" si="64"/>
        <v>0</v>
      </c>
      <c r="AO263" s="1631">
        <f t="shared" si="65"/>
        <v>0</v>
      </c>
      <c r="AP263" s="1634"/>
      <c r="AQ263" s="1635"/>
      <c r="AR263" s="1662">
        <f t="shared" si="66"/>
        <v>0</v>
      </c>
      <c r="AS263" s="1675"/>
      <c r="AT263" s="1676"/>
      <c r="AU263" s="1679">
        <f t="shared" si="67"/>
        <v>0</v>
      </c>
      <c r="AV263" s="935"/>
      <c r="AW263" s="935"/>
      <c r="AX263" s="935"/>
      <c r="AY263" s="722"/>
      <c r="AZ263" s="722"/>
      <c r="BA263" s="722"/>
      <c r="BB263" s="722"/>
      <c r="BC263" s="722"/>
      <c r="BD263" s="722"/>
      <c r="BE263" s="706"/>
      <c r="BF263" s="706"/>
      <c r="BG263" s="694"/>
    </row>
    <row r="264" spans="1:59" ht="15.75" x14ac:dyDescent="0.25">
      <c r="A264" s="1883"/>
      <c r="B264" s="1748"/>
      <c r="C264" s="1884"/>
      <c r="D264" s="1884"/>
      <c r="E264" s="1726">
        <f t="shared" si="56"/>
        <v>0</v>
      </c>
      <c r="F264" s="1722"/>
      <c r="G264" s="1741"/>
      <c r="H264" s="1728"/>
      <c r="I264" s="1743"/>
      <c r="J264" s="1743"/>
      <c r="K264" s="1744"/>
      <c r="L264" s="1734">
        <f t="shared" si="58"/>
        <v>0</v>
      </c>
      <c r="M264" s="1735">
        <f t="shared" si="59"/>
        <v>0</v>
      </c>
      <c r="N264" s="1730"/>
      <c r="O264" s="1730"/>
      <c r="P264" s="1730"/>
      <c r="Q264" s="1730"/>
      <c r="R264" s="1730"/>
      <c r="S264" s="1730"/>
      <c r="T264" s="1730"/>
      <c r="U264" s="1730"/>
      <c r="V264" s="1730"/>
      <c r="W264" s="1730"/>
      <c r="X264" s="1903">
        <f t="shared" si="57"/>
        <v>0</v>
      </c>
      <c r="Y264" s="1733">
        <f t="shared" si="60"/>
        <v>0</v>
      </c>
      <c r="Z264" s="528"/>
      <c r="AA264" s="1620"/>
      <c r="AB264" s="1616"/>
      <c r="AC264" s="1616"/>
      <c r="AD264" s="1616"/>
      <c r="AE264" s="1616"/>
      <c r="AF264" s="1587"/>
      <c r="AG264" s="1588"/>
      <c r="AH264" s="1588"/>
      <c r="AI264" s="1588"/>
      <c r="AJ264" s="1628"/>
      <c r="AK264" s="1625">
        <f t="shared" si="61"/>
        <v>0</v>
      </c>
      <c r="AL264" s="1565">
        <f t="shared" si="62"/>
        <v>0</v>
      </c>
      <c r="AM264" s="1565">
        <f t="shared" si="63"/>
        <v>0</v>
      </c>
      <c r="AN264" s="1565">
        <f t="shared" si="64"/>
        <v>0</v>
      </c>
      <c r="AO264" s="1631">
        <f t="shared" si="65"/>
        <v>0</v>
      </c>
      <c r="AP264" s="1634"/>
      <c r="AQ264" s="1635"/>
      <c r="AR264" s="1662">
        <f t="shared" si="66"/>
        <v>0</v>
      </c>
      <c r="AS264" s="1675"/>
      <c r="AT264" s="1676"/>
      <c r="AU264" s="1679">
        <f t="shared" si="67"/>
        <v>0</v>
      </c>
      <c r="AV264" s="935"/>
      <c r="AW264" s="935"/>
      <c r="AX264" s="935"/>
      <c r="AY264" s="722"/>
      <c r="AZ264" s="722"/>
      <c r="BA264" s="722"/>
      <c r="BB264" s="722"/>
      <c r="BC264" s="722"/>
      <c r="BD264" s="722"/>
      <c r="BE264" s="706"/>
      <c r="BF264" s="706"/>
      <c r="BG264" s="694"/>
    </row>
    <row r="265" spans="1:59" ht="15.75" x14ac:dyDescent="0.25">
      <c r="A265" s="1883"/>
      <c r="B265" s="1748"/>
      <c r="C265" s="1884"/>
      <c r="D265" s="1884"/>
      <c r="E265" s="1726">
        <f t="shared" si="56"/>
        <v>0</v>
      </c>
      <c r="F265" s="1722"/>
      <c r="G265" s="1741"/>
      <c r="H265" s="1728"/>
      <c r="I265" s="1743"/>
      <c r="J265" s="1743"/>
      <c r="K265" s="1744"/>
      <c r="L265" s="1734">
        <f t="shared" si="58"/>
        <v>0</v>
      </c>
      <c r="M265" s="1735">
        <f t="shared" si="59"/>
        <v>0</v>
      </c>
      <c r="N265" s="1730"/>
      <c r="O265" s="1730"/>
      <c r="P265" s="1730"/>
      <c r="Q265" s="1730"/>
      <c r="R265" s="1730"/>
      <c r="S265" s="1730"/>
      <c r="T265" s="1730"/>
      <c r="U265" s="1730"/>
      <c r="V265" s="1730"/>
      <c r="W265" s="1730"/>
      <c r="X265" s="1903">
        <f t="shared" si="57"/>
        <v>0</v>
      </c>
      <c r="Y265" s="1733">
        <f t="shared" si="60"/>
        <v>0</v>
      </c>
      <c r="Z265" s="528"/>
      <c r="AA265" s="1620"/>
      <c r="AB265" s="1616"/>
      <c r="AC265" s="1616"/>
      <c r="AD265" s="1616"/>
      <c r="AE265" s="1616"/>
      <c r="AF265" s="1587"/>
      <c r="AG265" s="1588"/>
      <c r="AH265" s="1588"/>
      <c r="AI265" s="1588"/>
      <c r="AJ265" s="1628"/>
      <c r="AK265" s="1625">
        <f t="shared" si="61"/>
        <v>0</v>
      </c>
      <c r="AL265" s="1565">
        <f t="shared" si="62"/>
        <v>0</v>
      </c>
      <c r="AM265" s="1565">
        <f t="shared" si="63"/>
        <v>0</v>
      </c>
      <c r="AN265" s="1565">
        <f t="shared" si="64"/>
        <v>0</v>
      </c>
      <c r="AO265" s="1631">
        <f t="shared" si="65"/>
        <v>0</v>
      </c>
      <c r="AP265" s="1634"/>
      <c r="AQ265" s="1635"/>
      <c r="AR265" s="1662">
        <f t="shared" si="66"/>
        <v>0</v>
      </c>
      <c r="AS265" s="1675"/>
      <c r="AT265" s="1676"/>
      <c r="AU265" s="1679">
        <f t="shared" si="67"/>
        <v>0</v>
      </c>
      <c r="AV265" s="935"/>
      <c r="AW265" s="935"/>
      <c r="AX265" s="935"/>
      <c r="AY265" s="722"/>
      <c r="AZ265" s="722"/>
      <c r="BA265" s="722"/>
      <c r="BB265" s="722"/>
      <c r="BC265" s="722"/>
      <c r="BD265" s="722"/>
      <c r="BE265" s="706"/>
      <c r="BF265" s="706"/>
      <c r="BG265" s="694"/>
    </row>
    <row r="266" spans="1:59" ht="15.75" x14ac:dyDescent="0.25">
      <c r="A266" s="1883"/>
      <c r="B266" s="1748"/>
      <c r="C266" s="1884"/>
      <c r="D266" s="1884"/>
      <c r="E266" s="1726">
        <f t="shared" si="56"/>
        <v>0</v>
      </c>
      <c r="F266" s="1722"/>
      <c r="G266" s="1741"/>
      <c r="H266" s="1728"/>
      <c r="I266" s="1743"/>
      <c r="J266" s="1743"/>
      <c r="K266" s="1744"/>
      <c r="L266" s="1734">
        <f t="shared" si="58"/>
        <v>0</v>
      </c>
      <c r="M266" s="1735">
        <f t="shared" si="59"/>
        <v>0</v>
      </c>
      <c r="N266" s="1730"/>
      <c r="O266" s="1730"/>
      <c r="P266" s="1730"/>
      <c r="Q266" s="1730"/>
      <c r="R266" s="1730"/>
      <c r="S266" s="1730"/>
      <c r="T266" s="1730"/>
      <c r="U266" s="1730"/>
      <c r="V266" s="1730"/>
      <c r="W266" s="1730"/>
      <c r="X266" s="1903">
        <f t="shared" si="57"/>
        <v>0</v>
      </c>
      <c r="Y266" s="1733">
        <f t="shared" si="60"/>
        <v>0</v>
      </c>
      <c r="Z266" s="528"/>
      <c r="AA266" s="1620"/>
      <c r="AB266" s="1616"/>
      <c r="AC266" s="1616"/>
      <c r="AD266" s="1616"/>
      <c r="AE266" s="1616"/>
      <c r="AF266" s="1587"/>
      <c r="AG266" s="1588"/>
      <c r="AH266" s="1588"/>
      <c r="AI266" s="1588"/>
      <c r="AJ266" s="1628"/>
      <c r="AK266" s="1625">
        <f t="shared" si="61"/>
        <v>0</v>
      </c>
      <c r="AL266" s="1565">
        <f t="shared" si="62"/>
        <v>0</v>
      </c>
      <c r="AM266" s="1565">
        <f t="shared" si="63"/>
        <v>0</v>
      </c>
      <c r="AN266" s="1565">
        <f t="shared" si="64"/>
        <v>0</v>
      </c>
      <c r="AO266" s="1631">
        <f t="shared" si="65"/>
        <v>0</v>
      </c>
      <c r="AP266" s="1634"/>
      <c r="AQ266" s="1635"/>
      <c r="AR266" s="1662">
        <f t="shared" si="66"/>
        <v>0</v>
      </c>
      <c r="AS266" s="1675"/>
      <c r="AT266" s="1676"/>
      <c r="AU266" s="1679">
        <f t="shared" si="67"/>
        <v>0</v>
      </c>
      <c r="AV266" s="935"/>
      <c r="AW266" s="935"/>
      <c r="AX266" s="935"/>
      <c r="AY266" s="722"/>
      <c r="AZ266" s="722"/>
      <c r="BA266" s="722"/>
      <c r="BB266" s="722"/>
      <c r="BC266" s="722"/>
      <c r="BD266" s="722"/>
      <c r="BE266" s="706"/>
      <c r="BF266" s="706"/>
      <c r="BG266" s="694"/>
    </row>
    <row r="267" spans="1:59" ht="15.75" x14ac:dyDescent="0.25">
      <c r="A267" s="1883"/>
      <c r="B267" s="1748"/>
      <c r="C267" s="1884"/>
      <c r="D267" s="1884"/>
      <c r="E267" s="1726">
        <f t="shared" si="56"/>
        <v>0</v>
      </c>
      <c r="F267" s="1722"/>
      <c r="G267" s="1741"/>
      <c r="H267" s="1728"/>
      <c r="I267" s="1743"/>
      <c r="J267" s="1743"/>
      <c r="K267" s="1744"/>
      <c r="L267" s="1734">
        <f t="shared" si="58"/>
        <v>0</v>
      </c>
      <c r="M267" s="1735">
        <f t="shared" si="59"/>
        <v>0</v>
      </c>
      <c r="N267" s="1730"/>
      <c r="O267" s="1730"/>
      <c r="P267" s="1730"/>
      <c r="Q267" s="1730"/>
      <c r="R267" s="1730"/>
      <c r="S267" s="1730"/>
      <c r="T267" s="1730"/>
      <c r="U267" s="1730"/>
      <c r="V267" s="1730"/>
      <c r="W267" s="1730"/>
      <c r="X267" s="1903">
        <f t="shared" si="57"/>
        <v>0</v>
      </c>
      <c r="Y267" s="1733">
        <f t="shared" si="60"/>
        <v>0</v>
      </c>
      <c r="Z267" s="528"/>
      <c r="AA267" s="1620"/>
      <c r="AB267" s="1616"/>
      <c r="AC267" s="1616"/>
      <c r="AD267" s="1616"/>
      <c r="AE267" s="1616"/>
      <c r="AF267" s="1587"/>
      <c r="AG267" s="1588"/>
      <c r="AH267" s="1588"/>
      <c r="AI267" s="1588"/>
      <c r="AJ267" s="1628"/>
      <c r="AK267" s="1625">
        <f t="shared" si="61"/>
        <v>0</v>
      </c>
      <c r="AL267" s="1565">
        <f t="shared" si="62"/>
        <v>0</v>
      </c>
      <c r="AM267" s="1565">
        <f t="shared" si="63"/>
        <v>0</v>
      </c>
      <c r="AN267" s="1565">
        <f t="shared" si="64"/>
        <v>0</v>
      </c>
      <c r="AO267" s="1631">
        <f t="shared" si="65"/>
        <v>0</v>
      </c>
      <c r="AP267" s="1634"/>
      <c r="AQ267" s="1635"/>
      <c r="AR267" s="1662">
        <f t="shared" si="66"/>
        <v>0</v>
      </c>
      <c r="AS267" s="1675"/>
      <c r="AT267" s="1676"/>
      <c r="AU267" s="1679">
        <f t="shared" si="67"/>
        <v>0</v>
      </c>
      <c r="AV267" s="935"/>
      <c r="AW267" s="935"/>
      <c r="AX267" s="935"/>
      <c r="AY267" s="722"/>
      <c r="AZ267" s="722"/>
      <c r="BA267" s="722"/>
      <c r="BB267" s="722"/>
      <c r="BC267" s="722"/>
      <c r="BD267" s="722"/>
      <c r="BE267" s="706"/>
      <c r="BF267" s="706"/>
      <c r="BG267" s="694"/>
    </row>
    <row r="268" spans="1:59" ht="15.75" x14ac:dyDescent="0.25">
      <c r="A268" s="1883"/>
      <c r="B268" s="1748"/>
      <c r="C268" s="1884"/>
      <c r="D268" s="1884"/>
      <c r="E268" s="1726">
        <f t="shared" si="56"/>
        <v>0</v>
      </c>
      <c r="F268" s="1722"/>
      <c r="G268" s="1741"/>
      <c r="H268" s="1728"/>
      <c r="I268" s="1743"/>
      <c r="J268" s="1743"/>
      <c r="K268" s="1744"/>
      <c r="L268" s="1734">
        <f t="shared" si="58"/>
        <v>0</v>
      </c>
      <c r="M268" s="1735">
        <f t="shared" si="59"/>
        <v>0</v>
      </c>
      <c r="N268" s="1730"/>
      <c r="O268" s="1730"/>
      <c r="P268" s="1730"/>
      <c r="Q268" s="1730"/>
      <c r="R268" s="1730"/>
      <c r="S268" s="1730"/>
      <c r="T268" s="1730"/>
      <c r="U268" s="1730"/>
      <c r="V268" s="1730"/>
      <c r="W268" s="1730"/>
      <c r="X268" s="1903">
        <f t="shared" si="57"/>
        <v>0</v>
      </c>
      <c r="Y268" s="1733">
        <f t="shared" si="60"/>
        <v>0</v>
      </c>
      <c r="Z268" s="528"/>
      <c r="AA268" s="1620"/>
      <c r="AB268" s="1616"/>
      <c r="AC268" s="1616"/>
      <c r="AD268" s="1616"/>
      <c r="AE268" s="1616"/>
      <c r="AF268" s="1587"/>
      <c r="AG268" s="1588"/>
      <c r="AH268" s="1588"/>
      <c r="AI268" s="1588"/>
      <c r="AJ268" s="1628"/>
      <c r="AK268" s="1625">
        <f t="shared" si="61"/>
        <v>0</v>
      </c>
      <c r="AL268" s="1565">
        <f t="shared" si="62"/>
        <v>0</v>
      </c>
      <c r="AM268" s="1565">
        <f t="shared" si="63"/>
        <v>0</v>
      </c>
      <c r="AN268" s="1565">
        <f t="shared" si="64"/>
        <v>0</v>
      </c>
      <c r="AO268" s="1631">
        <f t="shared" si="65"/>
        <v>0</v>
      </c>
      <c r="AP268" s="1634"/>
      <c r="AQ268" s="1635"/>
      <c r="AR268" s="1662">
        <f t="shared" si="66"/>
        <v>0</v>
      </c>
      <c r="AS268" s="1675"/>
      <c r="AT268" s="1676"/>
      <c r="AU268" s="1679">
        <f t="shared" si="67"/>
        <v>0</v>
      </c>
      <c r="AV268" s="935"/>
      <c r="AW268" s="935"/>
      <c r="AX268" s="935"/>
      <c r="AY268" s="722"/>
      <c r="AZ268" s="722"/>
      <c r="BA268" s="722"/>
      <c r="BB268" s="722"/>
      <c r="BC268" s="722"/>
      <c r="BD268" s="722"/>
      <c r="BE268" s="706"/>
      <c r="BF268" s="706"/>
      <c r="BG268" s="694"/>
    </row>
    <row r="269" spans="1:59" ht="15.75" x14ac:dyDescent="0.25">
      <c r="A269" s="1883"/>
      <c r="B269" s="1748"/>
      <c r="C269" s="1884"/>
      <c r="D269" s="1884"/>
      <c r="E269" s="1726">
        <f t="shared" si="56"/>
        <v>0</v>
      </c>
      <c r="F269" s="1722"/>
      <c r="G269" s="1741"/>
      <c r="H269" s="1728"/>
      <c r="I269" s="1743"/>
      <c r="J269" s="1743"/>
      <c r="K269" s="1744"/>
      <c r="L269" s="1734">
        <f t="shared" si="58"/>
        <v>0</v>
      </c>
      <c r="M269" s="1735">
        <f t="shared" si="59"/>
        <v>0</v>
      </c>
      <c r="N269" s="1730"/>
      <c r="O269" s="1730"/>
      <c r="P269" s="1730"/>
      <c r="Q269" s="1730"/>
      <c r="R269" s="1730"/>
      <c r="S269" s="1730"/>
      <c r="T269" s="1730"/>
      <c r="U269" s="1730"/>
      <c r="V269" s="1730"/>
      <c r="W269" s="1730"/>
      <c r="X269" s="1903">
        <f t="shared" si="57"/>
        <v>0</v>
      </c>
      <c r="Y269" s="1733">
        <f t="shared" si="60"/>
        <v>0</v>
      </c>
      <c r="Z269" s="528"/>
      <c r="AA269" s="1620"/>
      <c r="AB269" s="1616"/>
      <c r="AC269" s="1616"/>
      <c r="AD269" s="1616"/>
      <c r="AE269" s="1616"/>
      <c r="AF269" s="1587"/>
      <c r="AG269" s="1588"/>
      <c r="AH269" s="1588"/>
      <c r="AI269" s="1588"/>
      <c r="AJ269" s="1628"/>
      <c r="AK269" s="1625">
        <f t="shared" si="61"/>
        <v>0</v>
      </c>
      <c r="AL269" s="1565">
        <f t="shared" si="62"/>
        <v>0</v>
      </c>
      <c r="AM269" s="1565">
        <f t="shared" si="63"/>
        <v>0</v>
      </c>
      <c r="AN269" s="1565">
        <f t="shared" si="64"/>
        <v>0</v>
      </c>
      <c r="AO269" s="1631">
        <f t="shared" si="65"/>
        <v>0</v>
      </c>
      <c r="AP269" s="1634"/>
      <c r="AQ269" s="1635"/>
      <c r="AR269" s="1662">
        <f t="shared" si="66"/>
        <v>0</v>
      </c>
      <c r="AS269" s="1675"/>
      <c r="AT269" s="1676"/>
      <c r="AU269" s="1679">
        <f t="shared" si="67"/>
        <v>0</v>
      </c>
      <c r="AV269" s="935"/>
      <c r="AW269" s="935"/>
      <c r="AX269" s="935"/>
      <c r="AY269" s="722"/>
      <c r="AZ269" s="722"/>
      <c r="BA269" s="722"/>
      <c r="BB269" s="722"/>
      <c r="BC269" s="722"/>
      <c r="BD269" s="722"/>
      <c r="BE269" s="706"/>
      <c r="BF269" s="706"/>
      <c r="BG269" s="694"/>
    </row>
    <row r="270" spans="1:59" ht="15.75" x14ac:dyDescent="0.25">
      <c r="A270" s="1883"/>
      <c r="B270" s="1748"/>
      <c r="C270" s="1884"/>
      <c r="D270" s="1884"/>
      <c r="E270" s="1726">
        <f t="shared" si="56"/>
        <v>0</v>
      </c>
      <c r="F270" s="1722"/>
      <c r="G270" s="1741"/>
      <c r="H270" s="1728"/>
      <c r="I270" s="1743"/>
      <c r="J270" s="1743"/>
      <c r="K270" s="1744"/>
      <c r="L270" s="1734">
        <f t="shared" si="58"/>
        <v>0</v>
      </c>
      <c r="M270" s="1735">
        <f t="shared" si="59"/>
        <v>0</v>
      </c>
      <c r="N270" s="1730"/>
      <c r="O270" s="1730"/>
      <c r="P270" s="1730"/>
      <c r="Q270" s="1730"/>
      <c r="R270" s="1730"/>
      <c r="S270" s="1730"/>
      <c r="T270" s="1730"/>
      <c r="U270" s="1730"/>
      <c r="V270" s="1730"/>
      <c r="W270" s="1730"/>
      <c r="X270" s="1903">
        <f t="shared" si="57"/>
        <v>0</v>
      </c>
      <c r="Y270" s="1733">
        <f t="shared" si="60"/>
        <v>0</v>
      </c>
      <c r="Z270" s="528"/>
      <c r="AA270" s="1620"/>
      <c r="AB270" s="1616"/>
      <c r="AC270" s="1616"/>
      <c r="AD270" s="1616"/>
      <c r="AE270" s="1616"/>
      <c r="AF270" s="1587"/>
      <c r="AG270" s="1588"/>
      <c r="AH270" s="1588"/>
      <c r="AI270" s="1588"/>
      <c r="AJ270" s="1628"/>
      <c r="AK270" s="1625">
        <f t="shared" si="61"/>
        <v>0</v>
      </c>
      <c r="AL270" s="1565">
        <f t="shared" si="62"/>
        <v>0</v>
      </c>
      <c r="AM270" s="1565">
        <f t="shared" si="63"/>
        <v>0</v>
      </c>
      <c r="AN270" s="1565">
        <f t="shared" si="64"/>
        <v>0</v>
      </c>
      <c r="AO270" s="1631">
        <f t="shared" si="65"/>
        <v>0</v>
      </c>
      <c r="AP270" s="1634"/>
      <c r="AQ270" s="1635"/>
      <c r="AR270" s="1662">
        <f t="shared" si="66"/>
        <v>0</v>
      </c>
      <c r="AS270" s="1675"/>
      <c r="AT270" s="1676"/>
      <c r="AU270" s="1679">
        <f t="shared" si="67"/>
        <v>0</v>
      </c>
      <c r="AV270" s="935"/>
      <c r="AW270" s="935"/>
      <c r="AX270" s="935"/>
      <c r="AY270" s="722"/>
      <c r="AZ270" s="722"/>
      <c r="BA270" s="722"/>
      <c r="BB270" s="722"/>
      <c r="BC270" s="722"/>
      <c r="BD270" s="722"/>
      <c r="BE270" s="706"/>
      <c r="BF270" s="706"/>
      <c r="BG270" s="694"/>
    </row>
    <row r="271" spans="1:59" ht="15.75" x14ac:dyDescent="0.25">
      <c r="A271" s="1883"/>
      <c r="B271" s="1748"/>
      <c r="C271" s="1884"/>
      <c r="D271" s="1884"/>
      <c r="E271" s="1726">
        <f t="shared" si="56"/>
        <v>0</v>
      </c>
      <c r="F271" s="1722"/>
      <c r="G271" s="1741"/>
      <c r="H271" s="1728"/>
      <c r="I271" s="1743"/>
      <c r="J271" s="1743"/>
      <c r="K271" s="1744"/>
      <c r="L271" s="1734">
        <f t="shared" si="58"/>
        <v>0</v>
      </c>
      <c r="M271" s="1735">
        <f t="shared" si="59"/>
        <v>0</v>
      </c>
      <c r="N271" s="1730"/>
      <c r="O271" s="1730"/>
      <c r="P271" s="1730"/>
      <c r="Q271" s="1730"/>
      <c r="R271" s="1730"/>
      <c r="S271" s="1730"/>
      <c r="T271" s="1730"/>
      <c r="U271" s="1730"/>
      <c r="V271" s="1730"/>
      <c r="W271" s="1730"/>
      <c r="X271" s="1903">
        <f t="shared" si="57"/>
        <v>0</v>
      </c>
      <c r="Y271" s="1733">
        <f t="shared" si="60"/>
        <v>0</v>
      </c>
      <c r="Z271" s="528"/>
      <c r="AA271" s="1620"/>
      <c r="AB271" s="1616"/>
      <c r="AC271" s="1616"/>
      <c r="AD271" s="1616"/>
      <c r="AE271" s="1616"/>
      <c r="AF271" s="1587"/>
      <c r="AG271" s="1588"/>
      <c r="AH271" s="1588"/>
      <c r="AI271" s="1588"/>
      <c r="AJ271" s="1628"/>
      <c r="AK271" s="1625">
        <f t="shared" si="61"/>
        <v>0</v>
      </c>
      <c r="AL271" s="1565">
        <f t="shared" si="62"/>
        <v>0</v>
      </c>
      <c r="AM271" s="1565">
        <f t="shared" si="63"/>
        <v>0</v>
      </c>
      <c r="AN271" s="1565">
        <f t="shared" si="64"/>
        <v>0</v>
      </c>
      <c r="AO271" s="1631">
        <f t="shared" si="65"/>
        <v>0</v>
      </c>
      <c r="AP271" s="1634"/>
      <c r="AQ271" s="1635"/>
      <c r="AR271" s="1662">
        <f t="shared" si="66"/>
        <v>0</v>
      </c>
      <c r="AS271" s="1675"/>
      <c r="AT271" s="1676"/>
      <c r="AU271" s="1679">
        <f t="shared" si="67"/>
        <v>0</v>
      </c>
      <c r="AV271" s="935"/>
      <c r="AW271" s="935"/>
      <c r="AX271" s="935"/>
      <c r="AY271" s="722"/>
      <c r="AZ271" s="722"/>
      <c r="BA271" s="722"/>
      <c r="BB271" s="722"/>
      <c r="BC271" s="722"/>
      <c r="BD271" s="722"/>
      <c r="BE271" s="706"/>
      <c r="BF271" s="706"/>
      <c r="BG271" s="694"/>
    </row>
    <row r="272" spans="1:59" ht="15.75" x14ac:dyDescent="0.25">
      <c r="A272" s="1883"/>
      <c r="B272" s="1748"/>
      <c r="C272" s="1884"/>
      <c r="D272" s="1884"/>
      <c r="E272" s="1726">
        <f t="shared" si="56"/>
        <v>0</v>
      </c>
      <c r="F272" s="1722"/>
      <c r="G272" s="1741"/>
      <c r="H272" s="1728"/>
      <c r="I272" s="1743"/>
      <c r="J272" s="1743"/>
      <c r="K272" s="1744"/>
      <c r="L272" s="1734">
        <f t="shared" si="58"/>
        <v>0</v>
      </c>
      <c r="M272" s="1735">
        <f t="shared" si="59"/>
        <v>0</v>
      </c>
      <c r="N272" s="1730"/>
      <c r="O272" s="1730"/>
      <c r="P272" s="1730"/>
      <c r="Q272" s="1730"/>
      <c r="R272" s="1730"/>
      <c r="S272" s="1730"/>
      <c r="T272" s="1730"/>
      <c r="U272" s="1730"/>
      <c r="V272" s="1730"/>
      <c r="W272" s="1730"/>
      <c r="X272" s="1903">
        <f t="shared" si="57"/>
        <v>0</v>
      </c>
      <c r="Y272" s="1733">
        <f t="shared" si="60"/>
        <v>0</v>
      </c>
      <c r="Z272" s="528"/>
      <c r="AA272" s="1620"/>
      <c r="AB272" s="1616"/>
      <c r="AC272" s="1616"/>
      <c r="AD272" s="1616"/>
      <c r="AE272" s="1616"/>
      <c r="AF272" s="1587"/>
      <c r="AG272" s="1588"/>
      <c r="AH272" s="1588"/>
      <c r="AI272" s="1588"/>
      <c r="AJ272" s="1628"/>
      <c r="AK272" s="1625">
        <f t="shared" si="61"/>
        <v>0</v>
      </c>
      <c r="AL272" s="1565">
        <f t="shared" si="62"/>
        <v>0</v>
      </c>
      <c r="AM272" s="1565">
        <f t="shared" si="63"/>
        <v>0</v>
      </c>
      <c r="AN272" s="1565">
        <f t="shared" si="64"/>
        <v>0</v>
      </c>
      <c r="AO272" s="1631">
        <f t="shared" si="65"/>
        <v>0</v>
      </c>
      <c r="AP272" s="1634"/>
      <c r="AQ272" s="1635"/>
      <c r="AR272" s="1662">
        <f t="shared" si="66"/>
        <v>0</v>
      </c>
      <c r="AS272" s="1675"/>
      <c r="AT272" s="1676"/>
      <c r="AU272" s="1679">
        <f t="shared" si="67"/>
        <v>0</v>
      </c>
      <c r="AV272" s="935"/>
      <c r="AW272" s="935"/>
      <c r="AX272" s="935"/>
      <c r="AY272" s="722"/>
      <c r="AZ272" s="722"/>
      <c r="BA272" s="722"/>
      <c r="BB272" s="722"/>
      <c r="BC272" s="722"/>
      <c r="BD272" s="722"/>
      <c r="BE272" s="706"/>
      <c r="BF272" s="706"/>
      <c r="BG272" s="694"/>
    </row>
    <row r="273" spans="1:59" ht="15.75" x14ac:dyDescent="0.25">
      <c r="A273" s="1883"/>
      <c r="B273" s="1748"/>
      <c r="C273" s="1884"/>
      <c r="D273" s="1884"/>
      <c r="E273" s="1726">
        <f t="shared" si="56"/>
        <v>0</v>
      </c>
      <c r="F273" s="1722"/>
      <c r="G273" s="1741"/>
      <c r="H273" s="1728"/>
      <c r="I273" s="1743"/>
      <c r="J273" s="1743"/>
      <c r="K273" s="1744"/>
      <c r="L273" s="1734">
        <f t="shared" si="58"/>
        <v>0</v>
      </c>
      <c r="M273" s="1735">
        <f t="shared" si="59"/>
        <v>0</v>
      </c>
      <c r="N273" s="1730"/>
      <c r="O273" s="1730"/>
      <c r="P273" s="1730"/>
      <c r="Q273" s="1730"/>
      <c r="R273" s="1730"/>
      <c r="S273" s="1730"/>
      <c r="T273" s="1730"/>
      <c r="U273" s="1730"/>
      <c r="V273" s="1730"/>
      <c r="W273" s="1730"/>
      <c r="X273" s="1903">
        <f t="shared" si="57"/>
        <v>0</v>
      </c>
      <c r="Y273" s="1733">
        <f t="shared" si="60"/>
        <v>0</v>
      </c>
      <c r="Z273" s="528"/>
      <c r="AA273" s="1620"/>
      <c r="AB273" s="1616"/>
      <c r="AC273" s="1616"/>
      <c r="AD273" s="1616"/>
      <c r="AE273" s="1616"/>
      <c r="AF273" s="1587"/>
      <c r="AG273" s="1588"/>
      <c r="AH273" s="1588"/>
      <c r="AI273" s="1588"/>
      <c r="AJ273" s="1628"/>
      <c r="AK273" s="1625">
        <f t="shared" si="61"/>
        <v>0</v>
      </c>
      <c r="AL273" s="1565">
        <f t="shared" si="62"/>
        <v>0</v>
      </c>
      <c r="AM273" s="1565">
        <f t="shared" si="63"/>
        <v>0</v>
      </c>
      <c r="AN273" s="1565">
        <f t="shared" si="64"/>
        <v>0</v>
      </c>
      <c r="AO273" s="1631">
        <f t="shared" si="65"/>
        <v>0</v>
      </c>
      <c r="AP273" s="1634"/>
      <c r="AQ273" s="1635"/>
      <c r="AR273" s="1662">
        <f t="shared" si="66"/>
        <v>0</v>
      </c>
      <c r="AS273" s="1675"/>
      <c r="AT273" s="1676"/>
      <c r="AU273" s="1679">
        <f t="shared" si="67"/>
        <v>0</v>
      </c>
      <c r="AV273" s="935"/>
      <c r="AW273" s="935"/>
      <c r="AX273" s="935"/>
      <c r="AY273" s="722"/>
      <c r="AZ273" s="722"/>
      <c r="BA273" s="722"/>
      <c r="BB273" s="722"/>
      <c r="BC273" s="722"/>
      <c r="BD273" s="722"/>
      <c r="BE273" s="706"/>
      <c r="BF273" s="706"/>
      <c r="BG273" s="694"/>
    </row>
    <row r="274" spans="1:59" ht="15.75" x14ac:dyDescent="0.25">
      <c r="A274" s="1883"/>
      <c r="B274" s="1748"/>
      <c r="C274" s="1884"/>
      <c r="D274" s="1884"/>
      <c r="E274" s="1726">
        <f t="shared" si="56"/>
        <v>0</v>
      </c>
      <c r="F274" s="1722"/>
      <c r="G274" s="1741"/>
      <c r="H274" s="1728"/>
      <c r="I274" s="1743"/>
      <c r="J274" s="1743"/>
      <c r="K274" s="1744"/>
      <c r="L274" s="1734">
        <f t="shared" si="58"/>
        <v>0</v>
      </c>
      <c r="M274" s="1735">
        <f t="shared" si="59"/>
        <v>0</v>
      </c>
      <c r="N274" s="1730"/>
      <c r="O274" s="1730"/>
      <c r="P274" s="1730"/>
      <c r="Q274" s="1730"/>
      <c r="R274" s="1730"/>
      <c r="S274" s="1730"/>
      <c r="T274" s="1730"/>
      <c r="U274" s="1730"/>
      <c r="V274" s="1730"/>
      <c r="W274" s="1730"/>
      <c r="X274" s="1903">
        <f t="shared" si="57"/>
        <v>0</v>
      </c>
      <c r="Y274" s="1733">
        <f t="shared" si="60"/>
        <v>0</v>
      </c>
      <c r="Z274" s="528"/>
      <c r="AA274" s="1620"/>
      <c r="AB274" s="1616"/>
      <c r="AC274" s="1616"/>
      <c r="AD274" s="1616"/>
      <c r="AE274" s="1616"/>
      <c r="AF274" s="1587"/>
      <c r="AG274" s="1588"/>
      <c r="AH274" s="1588"/>
      <c r="AI274" s="1588"/>
      <c r="AJ274" s="1628"/>
      <c r="AK274" s="1625">
        <f t="shared" si="61"/>
        <v>0</v>
      </c>
      <c r="AL274" s="1565">
        <f t="shared" si="62"/>
        <v>0</v>
      </c>
      <c r="AM274" s="1565">
        <f t="shared" si="63"/>
        <v>0</v>
      </c>
      <c r="AN274" s="1565">
        <f t="shared" si="64"/>
        <v>0</v>
      </c>
      <c r="AO274" s="1631">
        <f t="shared" si="65"/>
        <v>0</v>
      </c>
      <c r="AP274" s="1634"/>
      <c r="AQ274" s="1635"/>
      <c r="AR274" s="1662">
        <f t="shared" si="66"/>
        <v>0</v>
      </c>
      <c r="AS274" s="1675"/>
      <c r="AT274" s="1676"/>
      <c r="AU274" s="1679">
        <f t="shared" si="67"/>
        <v>0</v>
      </c>
      <c r="AV274" s="935"/>
      <c r="AW274" s="935"/>
      <c r="AX274" s="935"/>
      <c r="AY274" s="722"/>
      <c r="AZ274" s="722"/>
      <c r="BA274" s="722"/>
      <c r="BB274" s="722"/>
      <c r="BC274" s="722"/>
      <c r="BD274" s="722"/>
      <c r="BE274" s="706"/>
      <c r="BF274" s="706"/>
      <c r="BG274" s="694"/>
    </row>
    <row r="275" spans="1:59" ht="15.75" x14ac:dyDescent="0.25">
      <c r="A275" s="1883"/>
      <c r="B275" s="1748"/>
      <c r="C275" s="1884"/>
      <c r="D275" s="1884"/>
      <c r="E275" s="1726">
        <f t="shared" si="56"/>
        <v>0</v>
      </c>
      <c r="F275" s="1722"/>
      <c r="G275" s="1741"/>
      <c r="H275" s="1728"/>
      <c r="I275" s="1743"/>
      <c r="J275" s="1743"/>
      <c r="K275" s="1744"/>
      <c r="L275" s="1734">
        <f t="shared" si="58"/>
        <v>0</v>
      </c>
      <c r="M275" s="1735">
        <f t="shared" si="59"/>
        <v>0</v>
      </c>
      <c r="N275" s="1730"/>
      <c r="O275" s="1730"/>
      <c r="P275" s="1730"/>
      <c r="Q275" s="1730"/>
      <c r="R275" s="1730"/>
      <c r="S275" s="1730"/>
      <c r="T275" s="1730"/>
      <c r="U275" s="1730"/>
      <c r="V275" s="1730"/>
      <c r="W275" s="1730"/>
      <c r="X275" s="1903">
        <f t="shared" si="57"/>
        <v>0</v>
      </c>
      <c r="Y275" s="1733">
        <f t="shared" si="60"/>
        <v>0</v>
      </c>
      <c r="Z275" s="528"/>
      <c r="AA275" s="1620"/>
      <c r="AB275" s="1616"/>
      <c r="AC275" s="1616"/>
      <c r="AD275" s="1616"/>
      <c r="AE275" s="1616"/>
      <c r="AF275" s="1587"/>
      <c r="AG275" s="1588"/>
      <c r="AH275" s="1588"/>
      <c r="AI275" s="1588"/>
      <c r="AJ275" s="1628"/>
      <c r="AK275" s="1625">
        <f t="shared" si="61"/>
        <v>0</v>
      </c>
      <c r="AL275" s="1565">
        <f t="shared" si="62"/>
        <v>0</v>
      </c>
      <c r="AM275" s="1565">
        <f t="shared" si="63"/>
        <v>0</v>
      </c>
      <c r="AN275" s="1565">
        <f t="shared" si="64"/>
        <v>0</v>
      </c>
      <c r="AO275" s="1631">
        <f t="shared" si="65"/>
        <v>0</v>
      </c>
      <c r="AP275" s="1634"/>
      <c r="AQ275" s="1635"/>
      <c r="AR275" s="1662">
        <f t="shared" si="66"/>
        <v>0</v>
      </c>
      <c r="AS275" s="1675"/>
      <c r="AT275" s="1676"/>
      <c r="AU275" s="1679">
        <f t="shared" si="67"/>
        <v>0</v>
      </c>
      <c r="AV275" s="935"/>
      <c r="AW275" s="935"/>
      <c r="AX275" s="935"/>
      <c r="AY275" s="722"/>
      <c r="AZ275" s="722"/>
      <c r="BA275" s="722"/>
      <c r="BB275" s="722"/>
      <c r="BC275" s="722"/>
      <c r="BD275" s="722"/>
      <c r="BE275" s="706"/>
      <c r="BF275" s="706"/>
      <c r="BG275" s="694"/>
    </row>
    <row r="276" spans="1:59" ht="15.75" x14ac:dyDescent="0.25">
      <c r="A276" s="1883"/>
      <c r="B276" s="1748"/>
      <c r="C276" s="1884"/>
      <c r="D276" s="1884"/>
      <c r="E276" s="1726">
        <f t="shared" si="56"/>
        <v>0</v>
      </c>
      <c r="F276" s="1722"/>
      <c r="G276" s="1741"/>
      <c r="H276" s="1728"/>
      <c r="I276" s="1743"/>
      <c r="J276" s="1743"/>
      <c r="K276" s="1744"/>
      <c r="L276" s="1734">
        <f t="shared" si="58"/>
        <v>0</v>
      </c>
      <c r="M276" s="1735">
        <f t="shared" si="59"/>
        <v>0</v>
      </c>
      <c r="N276" s="1730"/>
      <c r="O276" s="1730"/>
      <c r="P276" s="1730"/>
      <c r="Q276" s="1730"/>
      <c r="R276" s="1730"/>
      <c r="S276" s="1730"/>
      <c r="T276" s="1730"/>
      <c r="U276" s="1730"/>
      <c r="V276" s="1730"/>
      <c r="W276" s="1730"/>
      <c r="X276" s="1903">
        <f t="shared" si="57"/>
        <v>0</v>
      </c>
      <c r="Y276" s="1733">
        <f t="shared" si="60"/>
        <v>0</v>
      </c>
      <c r="Z276" s="528"/>
      <c r="AA276" s="1620"/>
      <c r="AB276" s="1616"/>
      <c r="AC276" s="1616"/>
      <c r="AD276" s="1616"/>
      <c r="AE276" s="1616"/>
      <c r="AF276" s="1587"/>
      <c r="AG276" s="1588"/>
      <c r="AH276" s="1588"/>
      <c r="AI276" s="1588"/>
      <c r="AJ276" s="1628"/>
      <c r="AK276" s="1625">
        <f t="shared" si="61"/>
        <v>0</v>
      </c>
      <c r="AL276" s="1565">
        <f t="shared" si="62"/>
        <v>0</v>
      </c>
      <c r="AM276" s="1565">
        <f t="shared" si="63"/>
        <v>0</v>
      </c>
      <c r="AN276" s="1565">
        <f t="shared" si="64"/>
        <v>0</v>
      </c>
      <c r="AO276" s="1631">
        <f t="shared" si="65"/>
        <v>0</v>
      </c>
      <c r="AP276" s="1634"/>
      <c r="AQ276" s="1635"/>
      <c r="AR276" s="1662">
        <f t="shared" si="66"/>
        <v>0</v>
      </c>
      <c r="AS276" s="1675"/>
      <c r="AT276" s="1676"/>
      <c r="AU276" s="1679">
        <f t="shared" si="67"/>
        <v>0</v>
      </c>
      <c r="AV276" s="935"/>
      <c r="AW276" s="935"/>
      <c r="AX276" s="935"/>
      <c r="AY276" s="722"/>
      <c r="AZ276" s="722"/>
      <c r="BA276" s="722"/>
      <c r="BB276" s="722"/>
      <c r="BC276" s="722"/>
      <c r="BD276" s="722"/>
      <c r="BE276" s="706"/>
      <c r="BF276" s="706"/>
      <c r="BG276" s="694"/>
    </row>
    <row r="277" spans="1:59" ht="15.75" x14ac:dyDescent="0.25">
      <c r="A277" s="1883"/>
      <c r="B277" s="1748"/>
      <c r="C277" s="1884"/>
      <c r="D277" s="1884"/>
      <c r="E277" s="1726">
        <f t="shared" si="56"/>
        <v>0</v>
      </c>
      <c r="F277" s="1722"/>
      <c r="G277" s="1741"/>
      <c r="H277" s="1728"/>
      <c r="I277" s="1743"/>
      <c r="J277" s="1743"/>
      <c r="K277" s="1744"/>
      <c r="L277" s="1734">
        <f t="shared" si="58"/>
        <v>0</v>
      </c>
      <c r="M277" s="1735">
        <f t="shared" si="59"/>
        <v>0</v>
      </c>
      <c r="N277" s="1730"/>
      <c r="O277" s="1730"/>
      <c r="P277" s="1730"/>
      <c r="Q277" s="1730"/>
      <c r="R277" s="1730"/>
      <c r="S277" s="1730"/>
      <c r="T277" s="1730"/>
      <c r="U277" s="1730"/>
      <c r="V277" s="1730"/>
      <c r="W277" s="1730"/>
      <c r="X277" s="1903">
        <f t="shared" si="57"/>
        <v>0</v>
      </c>
      <c r="Y277" s="1733">
        <f t="shared" si="60"/>
        <v>0</v>
      </c>
      <c r="Z277" s="528"/>
      <c r="AA277" s="1620"/>
      <c r="AB277" s="1616"/>
      <c r="AC277" s="1616"/>
      <c r="AD277" s="1616"/>
      <c r="AE277" s="1616"/>
      <c r="AF277" s="1587"/>
      <c r="AG277" s="1588"/>
      <c r="AH277" s="1588"/>
      <c r="AI277" s="1588"/>
      <c r="AJ277" s="1628"/>
      <c r="AK277" s="1625">
        <f t="shared" si="61"/>
        <v>0</v>
      </c>
      <c r="AL277" s="1565">
        <f t="shared" si="62"/>
        <v>0</v>
      </c>
      <c r="AM277" s="1565">
        <f t="shared" si="63"/>
        <v>0</v>
      </c>
      <c r="AN277" s="1565">
        <f t="shared" si="64"/>
        <v>0</v>
      </c>
      <c r="AO277" s="1631">
        <f t="shared" si="65"/>
        <v>0</v>
      </c>
      <c r="AP277" s="1634"/>
      <c r="AQ277" s="1635"/>
      <c r="AR277" s="1662">
        <f t="shared" si="66"/>
        <v>0</v>
      </c>
      <c r="AS277" s="1675"/>
      <c r="AT277" s="1676"/>
      <c r="AU277" s="1679">
        <f t="shared" si="67"/>
        <v>0</v>
      </c>
      <c r="AV277" s="935"/>
      <c r="AW277" s="935"/>
      <c r="AX277" s="935"/>
      <c r="AY277" s="722"/>
      <c r="AZ277" s="722"/>
      <c r="BA277" s="722"/>
      <c r="BB277" s="722"/>
      <c r="BC277" s="722"/>
      <c r="BD277" s="722"/>
      <c r="BE277" s="706"/>
      <c r="BF277" s="706"/>
      <c r="BG277" s="694"/>
    </row>
    <row r="278" spans="1:59" ht="15.75" x14ac:dyDescent="0.25">
      <c r="A278" s="1883"/>
      <c r="B278" s="1748"/>
      <c r="C278" s="1884"/>
      <c r="D278" s="1884"/>
      <c r="E278" s="1726">
        <f t="shared" si="56"/>
        <v>0</v>
      </c>
      <c r="F278" s="1722"/>
      <c r="G278" s="1741"/>
      <c r="H278" s="1728"/>
      <c r="I278" s="1743"/>
      <c r="J278" s="1743"/>
      <c r="K278" s="1744"/>
      <c r="L278" s="1734">
        <f t="shared" si="58"/>
        <v>0</v>
      </c>
      <c r="M278" s="1735">
        <f t="shared" si="59"/>
        <v>0</v>
      </c>
      <c r="N278" s="1730"/>
      <c r="O278" s="1730"/>
      <c r="P278" s="1730"/>
      <c r="Q278" s="1730"/>
      <c r="R278" s="1730"/>
      <c r="S278" s="1730"/>
      <c r="T278" s="1730"/>
      <c r="U278" s="1730"/>
      <c r="V278" s="1730"/>
      <c r="W278" s="1730"/>
      <c r="X278" s="1903">
        <f t="shared" si="57"/>
        <v>0</v>
      </c>
      <c r="Y278" s="1733">
        <f t="shared" si="60"/>
        <v>0</v>
      </c>
      <c r="Z278" s="528"/>
      <c r="AA278" s="1620"/>
      <c r="AB278" s="1616"/>
      <c r="AC278" s="1616"/>
      <c r="AD278" s="1616"/>
      <c r="AE278" s="1616"/>
      <c r="AF278" s="1587"/>
      <c r="AG278" s="1588"/>
      <c r="AH278" s="1588"/>
      <c r="AI278" s="1588"/>
      <c r="AJ278" s="1628"/>
      <c r="AK278" s="1625">
        <f t="shared" si="61"/>
        <v>0</v>
      </c>
      <c r="AL278" s="1565">
        <f t="shared" si="62"/>
        <v>0</v>
      </c>
      <c r="AM278" s="1565">
        <f t="shared" si="63"/>
        <v>0</v>
      </c>
      <c r="AN278" s="1565">
        <f t="shared" si="64"/>
        <v>0</v>
      </c>
      <c r="AO278" s="1631">
        <f t="shared" si="65"/>
        <v>0</v>
      </c>
      <c r="AP278" s="1634"/>
      <c r="AQ278" s="1635"/>
      <c r="AR278" s="1662">
        <f t="shared" si="66"/>
        <v>0</v>
      </c>
      <c r="AS278" s="1675"/>
      <c r="AT278" s="1676"/>
      <c r="AU278" s="1679">
        <f t="shared" si="67"/>
        <v>0</v>
      </c>
      <c r="AV278" s="935"/>
      <c r="AW278" s="935"/>
      <c r="AX278" s="935"/>
      <c r="AY278" s="722"/>
      <c r="AZ278" s="722"/>
      <c r="BA278" s="722"/>
      <c r="BB278" s="722"/>
      <c r="BC278" s="722"/>
      <c r="BD278" s="722"/>
      <c r="BE278" s="706"/>
      <c r="BF278" s="706"/>
      <c r="BG278" s="694"/>
    </row>
    <row r="279" spans="1:59" ht="15.75" x14ac:dyDescent="0.25">
      <c r="A279" s="1883"/>
      <c r="B279" s="1748"/>
      <c r="C279" s="1884"/>
      <c r="D279" s="1884"/>
      <c r="E279" s="1726">
        <f t="shared" si="56"/>
        <v>0</v>
      </c>
      <c r="F279" s="1722"/>
      <c r="G279" s="1741"/>
      <c r="H279" s="1728"/>
      <c r="I279" s="1743"/>
      <c r="J279" s="1743"/>
      <c r="K279" s="1744"/>
      <c r="L279" s="1734">
        <f t="shared" si="58"/>
        <v>0</v>
      </c>
      <c r="M279" s="1735">
        <f t="shared" si="59"/>
        <v>0</v>
      </c>
      <c r="N279" s="1730"/>
      <c r="O279" s="1730"/>
      <c r="P279" s="1730"/>
      <c r="Q279" s="1730"/>
      <c r="R279" s="1730"/>
      <c r="S279" s="1730"/>
      <c r="T279" s="1730"/>
      <c r="U279" s="1730"/>
      <c r="V279" s="1730"/>
      <c r="W279" s="1730"/>
      <c r="X279" s="1903">
        <f t="shared" si="57"/>
        <v>0</v>
      </c>
      <c r="Y279" s="1733">
        <f t="shared" si="60"/>
        <v>0</v>
      </c>
      <c r="Z279" s="528"/>
      <c r="AA279" s="1620"/>
      <c r="AB279" s="1616"/>
      <c r="AC279" s="1616"/>
      <c r="AD279" s="1616"/>
      <c r="AE279" s="1616"/>
      <c r="AF279" s="1587"/>
      <c r="AG279" s="1588"/>
      <c r="AH279" s="1588"/>
      <c r="AI279" s="1588"/>
      <c r="AJ279" s="1628"/>
      <c r="AK279" s="1625">
        <f t="shared" si="61"/>
        <v>0</v>
      </c>
      <c r="AL279" s="1565">
        <f t="shared" si="62"/>
        <v>0</v>
      </c>
      <c r="AM279" s="1565">
        <f t="shared" si="63"/>
        <v>0</v>
      </c>
      <c r="AN279" s="1565">
        <f t="shared" si="64"/>
        <v>0</v>
      </c>
      <c r="AO279" s="1631">
        <f t="shared" si="65"/>
        <v>0</v>
      </c>
      <c r="AP279" s="1634"/>
      <c r="AQ279" s="1635"/>
      <c r="AR279" s="1662">
        <f t="shared" si="66"/>
        <v>0</v>
      </c>
      <c r="AS279" s="1675"/>
      <c r="AT279" s="1676"/>
      <c r="AU279" s="1679">
        <f t="shared" si="67"/>
        <v>0</v>
      </c>
      <c r="AV279" s="935"/>
      <c r="AW279" s="935"/>
      <c r="AX279" s="935"/>
      <c r="AY279" s="722"/>
      <c r="AZ279" s="722"/>
      <c r="BA279" s="722"/>
      <c r="BB279" s="722"/>
      <c r="BC279" s="722"/>
      <c r="BD279" s="722"/>
      <c r="BE279" s="706"/>
      <c r="BF279" s="706"/>
      <c r="BG279" s="694"/>
    </row>
    <row r="280" spans="1:59" ht="15.75" x14ac:dyDescent="0.25">
      <c r="A280" s="1883"/>
      <c r="B280" s="1748"/>
      <c r="C280" s="1884"/>
      <c r="D280" s="1884"/>
      <c r="E280" s="1726">
        <f t="shared" si="56"/>
        <v>0</v>
      </c>
      <c r="F280" s="1722"/>
      <c r="G280" s="1741"/>
      <c r="H280" s="1728"/>
      <c r="I280" s="1743"/>
      <c r="J280" s="1743"/>
      <c r="K280" s="1744"/>
      <c r="L280" s="1734">
        <f t="shared" si="58"/>
        <v>0</v>
      </c>
      <c r="M280" s="1735">
        <f t="shared" si="59"/>
        <v>0</v>
      </c>
      <c r="N280" s="1730"/>
      <c r="O280" s="1730"/>
      <c r="P280" s="1730"/>
      <c r="Q280" s="1730"/>
      <c r="R280" s="1730"/>
      <c r="S280" s="1730"/>
      <c r="T280" s="1730"/>
      <c r="U280" s="1730"/>
      <c r="V280" s="1730"/>
      <c r="W280" s="1730"/>
      <c r="X280" s="1903">
        <f t="shared" si="57"/>
        <v>0</v>
      </c>
      <c r="Y280" s="1733">
        <f t="shared" si="60"/>
        <v>0</v>
      </c>
      <c r="Z280" s="528"/>
      <c r="AA280" s="1620"/>
      <c r="AB280" s="1616"/>
      <c r="AC280" s="1616"/>
      <c r="AD280" s="1616"/>
      <c r="AE280" s="1616"/>
      <c r="AF280" s="1587"/>
      <c r="AG280" s="1588"/>
      <c r="AH280" s="1588"/>
      <c r="AI280" s="1588"/>
      <c r="AJ280" s="1628"/>
      <c r="AK280" s="1625">
        <f t="shared" si="61"/>
        <v>0</v>
      </c>
      <c r="AL280" s="1565">
        <f t="shared" si="62"/>
        <v>0</v>
      </c>
      <c r="AM280" s="1565">
        <f t="shared" si="63"/>
        <v>0</v>
      </c>
      <c r="AN280" s="1565">
        <f t="shared" si="64"/>
        <v>0</v>
      </c>
      <c r="AO280" s="1631">
        <f t="shared" si="65"/>
        <v>0</v>
      </c>
      <c r="AP280" s="1634"/>
      <c r="AQ280" s="1635"/>
      <c r="AR280" s="1662">
        <f t="shared" si="66"/>
        <v>0</v>
      </c>
      <c r="AS280" s="1675"/>
      <c r="AT280" s="1676"/>
      <c r="AU280" s="1679">
        <f t="shared" si="67"/>
        <v>0</v>
      </c>
      <c r="AV280" s="935"/>
      <c r="AW280" s="935"/>
      <c r="AX280" s="935"/>
      <c r="AY280" s="722"/>
      <c r="AZ280" s="722"/>
      <c r="BA280" s="722"/>
      <c r="BB280" s="722"/>
      <c r="BC280" s="722"/>
      <c r="BD280" s="722"/>
      <c r="BE280" s="706"/>
      <c r="BF280" s="706"/>
      <c r="BG280" s="694"/>
    </row>
    <row r="281" spans="1:59" ht="15.75" x14ac:dyDescent="0.25">
      <c r="A281" s="1883"/>
      <c r="B281" s="1748"/>
      <c r="C281" s="1884"/>
      <c r="D281" s="1884"/>
      <c r="E281" s="1726">
        <f t="shared" si="56"/>
        <v>0</v>
      </c>
      <c r="F281" s="1722"/>
      <c r="G281" s="1741"/>
      <c r="H281" s="1728"/>
      <c r="I281" s="1743"/>
      <c r="J281" s="1743"/>
      <c r="K281" s="1744"/>
      <c r="L281" s="1734">
        <f t="shared" si="58"/>
        <v>0</v>
      </c>
      <c r="M281" s="1735">
        <f t="shared" si="59"/>
        <v>0</v>
      </c>
      <c r="N281" s="1730"/>
      <c r="O281" s="1730"/>
      <c r="P281" s="1730"/>
      <c r="Q281" s="1730"/>
      <c r="R281" s="1730"/>
      <c r="S281" s="1730"/>
      <c r="T281" s="1730"/>
      <c r="U281" s="1730"/>
      <c r="V281" s="1730"/>
      <c r="W281" s="1730"/>
      <c r="X281" s="1903">
        <f t="shared" si="57"/>
        <v>0</v>
      </c>
      <c r="Y281" s="1733">
        <f t="shared" si="60"/>
        <v>0</v>
      </c>
      <c r="Z281" s="528"/>
      <c r="AA281" s="1620"/>
      <c r="AB281" s="1616"/>
      <c r="AC281" s="1616"/>
      <c r="AD281" s="1616"/>
      <c r="AE281" s="1616"/>
      <c r="AF281" s="1587"/>
      <c r="AG281" s="1588"/>
      <c r="AH281" s="1588"/>
      <c r="AI281" s="1588"/>
      <c r="AJ281" s="1628"/>
      <c r="AK281" s="1625">
        <f t="shared" si="61"/>
        <v>0</v>
      </c>
      <c r="AL281" s="1565">
        <f t="shared" si="62"/>
        <v>0</v>
      </c>
      <c r="AM281" s="1565">
        <f t="shared" si="63"/>
        <v>0</v>
      </c>
      <c r="AN281" s="1565">
        <f t="shared" si="64"/>
        <v>0</v>
      </c>
      <c r="AO281" s="1631">
        <f t="shared" si="65"/>
        <v>0</v>
      </c>
      <c r="AP281" s="1634"/>
      <c r="AQ281" s="1635"/>
      <c r="AR281" s="1662">
        <f t="shared" si="66"/>
        <v>0</v>
      </c>
      <c r="AS281" s="1675"/>
      <c r="AT281" s="1676"/>
      <c r="AU281" s="1679">
        <f t="shared" si="67"/>
        <v>0</v>
      </c>
      <c r="AV281" s="935"/>
      <c r="AW281" s="935"/>
      <c r="AX281" s="935"/>
      <c r="AY281" s="722"/>
      <c r="AZ281" s="722"/>
      <c r="BA281" s="722"/>
      <c r="BB281" s="722"/>
      <c r="BC281" s="722"/>
      <c r="BD281" s="722"/>
      <c r="BE281" s="706"/>
      <c r="BF281" s="706"/>
      <c r="BG281" s="694"/>
    </row>
    <row r="282" spans="1:59" ht="15.75" x14ac:dyDescent="0.25">
      <c r="A282" s="1883"/>
      <c r="B282" s="1748"/>
      <c r="C282" s="1884"/>
      <c r="D282" s="1884"/>
      <c r="E282" s="1726">
        <f t="shared" si="56"/>
        <v>0</v>
      </c>
      <c r="F282" s="1722"/>
      <c r="G282" s="1741"/>
      <c r="H282" s="1728"/>
      <c r="I282" s="1743"/>
      <c r="J282" s="1743"/>
      <c r="K282" s="1744"/>
      <c r="L282" s="1734">
        <f t="shared" si="58"/>
        <v>0</v>
      </c>
      <c r="M282" s="1735">
        <f t="shared" si="59"/>
        <v>0</v>
      </c>
      <c r="N282" s="1730"/>
      <c r="O282" s="1730"/>
      <c r="P282" s="1730"/>
      <c r="Q282" s="1730"/>
      <c r="R282" s="1730"/>
      <c r="S282" s="1730"/>
      <c r="T282" s="1730"/>
      <c r="U282" s="1730"/>
      <c r="V282" s="1730"/>
      <c r="W282" s="1730"/>
      <c r="X282" s="1903">
        <f t="shared" si="57"/>
        <v>0</v>
      </c>
      <c r="Y282" s="1733">
        <f t="shared" si="60"/>
        <v>0</v>
      </c>
      <c r="Z282" s="528"/>
      <c r="AA282" s="1620"/>
      <c r="AB282" s="1616"/>
      <c r="AC282" s="1616"/>
      <c r="AD282" s="1616"/>
      <c r="AE282" s="1616"/>
      <c r="AF282" s="1587"/>
      <c r="AG282" s="1588"/>
      <c r="AH282" s="1588"/>
      <c r="AI282" s="1588"/>
      <c r="AJ282" s="1628"/>
      <c r="AK282" s="1625">
        <f t="shared" si="61"/>
        <v>0</v>
      </c>
      <c r="AL282" s="1565">
        <f t="shared" si="62"/>
        <v>0</v>
      </c>
      <c r="AM282" s="1565">
        <f t="shared" si="63"/>
        <v>0</v>
      </c>
      <c r="AN282" s="1565">
        <f t="shared" si="64"/>
        <v>0</v>
      </c>
      <c r="AO282" s="1631">
        <f t="shared" si="65"/>
        <v>0</v>
      </c>
      <c r="AP282" s="1634"/>
      <c r="AQ282" s="1635"/>
      <c r="AR282" s="1662">
        <f t="shared" si="66"/>
        <v>0</v>
      </c>
      <c r="AS282" s="1675"/>
      <c r="AT282" s="1676"/>
      <c r="AU282" s="1679">
        <f t="shared" si="67"/>
        <v>0</v>
      </c>
      <c r="AV282" s="935"/>
      <c r="AW282" s="935"/>
      <c r="AX282" s="935"/>
      <c r="AY282" s="722"/>
      <c r="AZ282" s="722"/>
      <c r="BA282" s="722"/>
      <c r="BB282" s="722"/>
      <c r="BC282" s="722"/>
      <c r="BD282" s="722"/>
      <c r="BE282" s="706"/>
      <c r="BF282" s="706"/>
      <c r="BG282" s="694"/>
    </row>
    <row r="283" spans="1:59" ht="15.75" x14ac:dyDescent="0.25">
      <c r="A283" s="1883"/>
      <c r="B283" s="1748"/>
      <c r="C283" s="1884"/>
      <c r="D283" s="1884"/>
      <c r="E283" s="1726">
        <f t="shared" si="56"/>
        <v>0</v>
      </c>
      <c r="F283" s="1722"/>
      <c r="G283" s="1741"/>
      <c r="H283" s="1728"/>
      <c r="I283" s="1743"/>
      <c r="J283" s="1743"/>
      <c r="K283" s="1744"/>
      <c r="L283" s="1734">
        <f t="shared" si="58"/>
        <v>0</v>
      </c>
      <c r="M283" s="1735">
        <f t="shared" si="59"/>
        <v>0</v>
      </c>
      <c r="N283" s="1730"/>
      <c r="O283" s="1730"/>
      <c r="P283" s="1730"/>
      <c r="Q283" s="1730"/>
      <c r="R283" s="1730"/>
      <c r="S283" s="1730"/>
      <c r="T283" s="1730"/>
      <c r="U283" s="1730"/>
      <c r="V283" s="1730"/>
      <c r="W283" s="1730"/>
      <c r="X283" s="1903">
        <f t="shared" si="57"/>
        <v>0</v>
      </c>
      <c r="Y283" s="1733">
        <f t="shared" si="60"/>
        <v>0</v>
      </c>
      <c r="Z283" s="528"/>
      <c r="AA283" s="1620"/>
      <c r="AB283" s="1616"/>
      <c r="AC283" s="1616"/>
      <c r="AD283" s="1616"/>
      <c r="AE283" s="1616"/>
      <c r="AF283" s="1587"/>
      <c r="AG283" s="1588"/>
      <c r="AH283" s="1588"/>
      <c r="AI283" s="1588"/>
      <c r="AJ283" s="1628"/>
      <c r="AK283" s="1625">
        <f t="shared" si="61"/>
        <v>0</v>
      </c>
      <c r="AL283" s="1565">
        <f t="shared" si="62"/>
        <v>0</v>
      </c>
      <c r="AM283" s="1565">
        <f t="shared" si="63"/>
        <v>0</v>
      </c>
      <c r="AN283" s="1565">
        <f t="shared" si="64"/>
        <v>0</v>
      </c>
      <c r="AO283" s="1631">
        <f t="shared" si="65"/>
        <v>0</v>
      </c>
      <c r="AP283" s="1634"/>
      <c r="AQ283" s="1635"/>
      <c r="AR283" s="1662">
        <f t="shared" si="66"/>
        <v>0</v>
      </c>
      <c r="AS283" s="1675"/>
      <c r="AT283" s="1676"/>
      <c r="AU283" s="1679">
        <f t="shared" si="67"/>
        <v>0</v>
      </c>
      <c r="AV283" s="935"/>
      <c r="AW283" s="935"/>
      <c r="AX283" s="935"/>
      <c r="AY283" s="722"/>
      <c r="AZ283" s="722"/>
      <c r="BA283" s="722"/>
      <c r="BB283" s="722"/>
      <c r="BC283" s="722"/>
      <c r="BD283" s="722"/>
      <c r="BE283" s="706"/>
      <c r="BF283" s="706"/>
      <c r="BG283" s="694"/>
    </row>
    <row r="284" spans="1:59" ht="15.75" x14ac:dyDescent="0.25">
      <c r="A284" s="1883"/>
      <c r="B284" s="1748"/>
      <c r="C284" s="1884"/>
      <c r="D284" s="1884"/>
      <c r="E284" s="1726">
        <f t="shared" si="56"/>
        <v>0</v>
      </c>
      <c r="F284" s="1722"/>
      <c r="G284" s="1741"/>
      <c r="H284" s="1728"/>
      <c r="I284" s="1743"/>
      <c r="J284" s="1743"/>
      <c r="K284" s="1744"/>
      <c r="L284" s="1734">
        <f t="shared" si="58"/>
        <v>0</v>
      </c>
      <c r="M284" s="1735">
        <f t="shared" si="59"/>
        <v>0</v>
      </c>
      <c r="N284" s="1730"/>
      <c r="O284" s="1730"/>
      <c r="P284" s="1730"/>
      <c r="Q284" s="1730"/>
      <c r="R284" s="1730"/>
      <c r="S284" s="1730"/>
      <c r="T284" s="1730"/>
      <c r="U284" s="1730"/>
      <c r="V284" s="1730"/>
      <c r="W284" s="1730"/>
      <c r="X284" s="1903">
        <f t="shared" si="57"/>
        <v>0</v>
      </c>
      <c r="Y284" s="1733">
        <f t="shared" si="60"/>
        <v>0</v>
      </c>
      <c r="Z284" s="528"/>
      <c r="AA284" s="1620"/>
      <c r="AB284" s="1616"/>
      <c r="AC284" s="1616"/>
      <c r="AD284" s="1616"/>
      <c r="AE284" s="1616"/>
      <c r="AF284" s="1587"/>
      <c r="AG284" s="1588"/>
      <c r="AH284" s="1588"/>
      <c r="AI284" s="1588"/>
      <c r="AJ284" s="1628"/>
      <c r="AK284" s="1625">
        <f t="shared" si="61"/>
        <v>0</v>
      </c>
      <c r="AL284" s="1565">
        <f t="shared" si="62"/>
        <v>0</v>
      </c>
      <c r="AM284" s="1565">
        <f t="shared" si="63"/>
        <v>0</v>
      </c>
      <c r="AN284" s="1565">
        <f t="shared" si="64"/>
        <v>0</v>
      </c>
      <c r="AO284" s="1631">
        <f t="shared" si="65"/>
        <v>0</v>
      </c>
      <c r="AP284" s="1634"/>
      <c r="AQ284" s="1635"/>
      <c r="AR284" s="1662">
        <f t="shared" si="66"/>
        <v>0</v>
      </c>
      <c r="AS284" s="1675"/>
      <c r="AT284" s="1676"/>
      <c r="AU284" s="1679">
        <f t="shared" si="67"/>
        <v>0</v>
      </c>
      <c r="AV284" s="935"/>
      <c r="AW284" s="935"/>
      <c r="AX284" s="935"/>
      <c r="AY284" s="722"/>
      <c r="AZ284" s="722"/>
      <c r="BA284" s="722"/>
      <c r="BB284" s="722"/>
      <c r="BC284" s="722"/>
      <c r="BD284" s="722"/>
      <c r="BE284" s="706"/>
      <c r="BF284" s="706"/>
      <c r="BG284" s="694"/>
    </row>
    <row r="285" spans="1:59" ht="15.75" x14ac:dyDescent="0.25">
      <c r="A285" s="1883"/>
      <c r="B285" s="1748"/>
      <c r="C285" s="1884"/>
      <c r="D285" s="1884"/>
      <c r="E285" s="1726">
        <f t="shared" si="56"/>
        <v>0</v>
      </c>
      <c r="F285" s="1722"/>
      <c r="G285" s="1741"/>
      <c r="H285" s="1728"/>
      <c r="I285" s="1743"/>
      <c r="J285" s="1743"/>
      <c r="K285" s="1744"/>
      <c r="L285" s="1734">
        <f t="shared" si="58"/>
        <v>0</v>
      </c>
      <c r="M285" s="1735">
        <f t="shared" si="59"/>
        <v>0</v>
      </c>
      <c r="N285" s="1730"/>
      <c r="O285" s="1730"/>
      <c r="P285" s="1730"/>
      <c r="Q285" s="1730"/>
      <c r="R285" s="1730"/>
      <c r="S285" s="1730"/>
      <c r="T285" s="1730"/>
      <c r="U285" s="1730"/>
      <c r="V285" s="1730"/>
      <c r="W285" s="1730"/>
      <c r="X285" s="1903">
        <f t="shared" si="57"/>
        <v>0</v>
      </c>
      <c r="Y285" s="1733">
        <f t="shared" si="60"/>
        <v>0</v>
      </c>
      <c r="Z285" s="528"/>
      <c r="AA285" s="1620"/>
      <c r="AB285" s="1616"/>
      <c r="AC285" s="1616"/>
      <c r="AD285" s="1616"/>
      <c r="AE285" s="1616"/>
      <c r="AF285" s="1587"/>
      <c r="AG285" s="1588"/>
      <c r="AH285" s="1588"/>
      <c r="AI285" s="1588"/>
      <c r="AJ285" s="1628"/>
      <c r="AK285" s="1625">
        <f t="shared" si="61"/>
        <v>0</v>
      </c>
      <c r="AL285" s="1565">
        <f t="shared" si="62"/>
        <v>0</v>
      </c>
      <c r="AM285" s="1565">
        <f t="shared" si="63"/>
        <v>0</v>
      </c>
      <c r="AN285" s="1565">
        <f t="shared" si="64"/>
        <v>0</v>
      </c>
      <c r="AO285" s="1631">
        <f t="shared" si="65"/>
        <v>0</v>
      </c>
      <c r="AP285" s="1634"/>
      <c r="AQ285" s="1635"/>
      <c r="AR285" s="1662">
        <f t="shared" si="66"/>
        <v>0</v>
      </c>
      <c r="AS285" s="1675"/>
      <c r="AT285" s="1676"/>
      <c r="AU285" s="1679">
        <f t="shared" si="67"/>
        <v>0</v>
      </c>
      <c r="AV285" s="935"/>
      <c r="AW285" s="935"/>
      <c r="AX285" s="935"/>
      <c r="AY285" s="722"/>
      <c r="AZ285" s="722"/>
      <c r="BA285" s="722"/>
      <c r="BB285" s="722"/>
      <c r="BC285" s="722"/>
      <c r="BD285" s="722"/>
      <c r="BE285" s="706"/>
      <c r="BF285" s="706"/>
      <c r="BG285" s="694"/>
    </row>
    <row r="286" spans="1:59" ht="15.75" x14ac:dyDescent="0.25">
      <c r="A286" s="1883"/>
      <c r="B286" s="1748"/>
      <c r="C286" s="1884"/>
      <c r="D286" s="1884"/>
      <c r="E286" s="1726">
        <f t="shared" si="56"/>
        <v>0</v>
      </c>
      <c r="F286" s="1722"/>
      <c r="G286" s="1741"/>
      <c r="H286" s="1728"/>
      <c r="I286" s="1743"/>
      <c r="J286" s="1743"/>
      <c r="K286" s="1744"/>
      <c r="L286" s="1734">
        <f t="shared" si="58"/>
        <v>0</v>
      </c>
      <c r="M286" s="1735">
        <f t="shared" si="59"/>
        <v>0</v>
      </c>
      <c r="N286" s="1730"/>
      <c r="O286" s="1730"/>
      <c r="P286" s="1730"/>
      <c r="Q286" s="1730"/>
      <c r="R286" s="1730"/>
      <c r="S286" s="1730"/>
      <c r="T286" s="1730"/>
      <c r="U286" s="1730"/>
      <c r="V286" s="1730"/>
      <c r="W286" s="1730"/>
      <c r="X286" s="1903">
        <f t="shared" si="57"/>
        <v>0</v>
      </c>
      <c r="Y286" s="1733">
        <f t="shared" si="60"/>
        <v>0</v>
      </c>
      <c r="Z286" s="528"/>
      <c r="AA286" s="1620"/>
      <c r="AB286" s="1616"/>
      <c r="AC286" s="1616"/>
      <c r="AD286" s="1616"/>
      <c r="AE286" s="1616"/>
      <c r="AF286" s="1587"/>
      <c r="AG286" s="1588"/>
      <c r="AH286" s="1588"/>
      <c r="AI286" s="1588"/>
      <c r="AJ286" s="1628"/>
      <c r="AK286" s="1625">
        <f t="shared" si="61"/>
        <v>0</v>
      </c>
      <c r="AL286" s="1565">
        <f t="shared" si="62"/>
        <v>0</v>
      </c>
      <c r="AM286" s="1565">
        <f t="shared" si="63"/>
        <v>0</v>
      </c>
      <c r="AN286" s="1565">
        <f t="shared" si="64"/>
        <v>0</v>
      </c>
      <c r="AO286" s="1631">
        <f t="shared" si="65"/>
        <v>0</v>
      </c>
      <c r="AP286" s="1634"/>
      <c r="AQ286" s="1635"/>
      <c r="AR286" s="1662">
        <f t="shared" si="66"/>
        <v>0</v>
      </c>
      <c r="AS286" s="1675"/>
      <c r="AT286" s="1676"/>
      <c r="AU286" s="1679">
        <f t="shared" si="67"/>
        <v>0</v>
      </c>
      <c r="AV286" s="935"/>
      <c r="AW286" s="935"/>
      <c r="AX286" s="935"/>
      <c r="AY286" s="722"/>
      <c r="AZ286" s="722"/>
      <c r="BA286" s="722"/>
      <c r="BB286" s="722"/>
      <c r="BC286" s="722"/>
      <c r="BD286" s="722"/>
      <c r="BE286" s="706"/>
      <c r="BF286" s="706"/>
      <c r="BG286" s="694"/>
    </row>
    <row r="287" spans="1:59" ht="15.75" x14ac:dyDescent="0.25">
      <c r="A287" s="1883"/>
      <c r="B287" s="1748"/>
      <c r="C287" s="1884"/>
      <c r="D287" s="1884"/>
      <c r="E287" s="1726">
        <f t="shared" si="56"/>
        <v>0</v>
      </c>
      <c r="F287" s="1722"/>
      <c r="G287" s="1741"/>
      <c r="H287" s="1728"/>
      <c r="I287" s="1743"/>
      <c r="J287" s="1743"/>
      <c r="K287" s="1744"/>
      <c r="L287" s="1734">
        <f t="shared" si="58"/>
        <v>0</v>
      </c>
      <c r="M287" s="1735">
        <f t="shared" si="59"/>
        <v>0</v>
      </c>
      <c r="N287" s="1730"/>
      <c r="O287" s="1730"/>
      <c r="P287" s="1730"/>
      <c r="Q287" s="1730"/>
      <c r="R287" s="1730"/>
      <c r="S287" s="1730"/>
      <c r="T287" s="1730"/>
      <c r="U287" s="1730"/>
      <c r="V287" s="1730"/>
      <c r="W287" s="1730"/>
      <c r="X287" s="1903">
        <f t="shared" si="57"/>
        <v>0</v>
      </c>
      <c r="Y287" s="1733">
        <f t="shared" si="60"/>
        <v>0</v>
      </c>
      <c r="Z287" s="528"/>
      <c r="AA287" s="1620"/>
      <c r="AB287" s="1616"/>
      <c r="AC287" s="1616"/>
      <c r="AD287" s="1616"/>
      <c r="AE287" s="1616"/>
      <c r="AF287" s="1587"/>
      <c r="AG287" s="1588"/>
      <c r="AH287" s="1588"/>
      <c r="AI287" s="1588"/>
      <c r="AJ287" s="1628"/>
      <c r="AK287" s="1625">
        <f t="shared" si="61"/>
        <v>0</v>
      </c>
      <c r="AL287" s="1565">
        <f t="shared" si="62"/>
        <v>0</v>
      </c>
      <c r="AM287" s="1565">
        <f t="shared" si="63"/>
        <v>0</v>
      </c>
      <c r="AN287" s="1565">
        <f t="shared" si="64"/>
        <v>0</v>
      </c>
      <c r="AO287" s="1631">
        <f t="shared" si="65"/>
        <v>0</v>
      </c>
      <c r="AP287" s="1634"/>
      <c r="AQ287" s="1635"/>
      <c r="AR287" s="1662">
        <f t="shared" si="66"/>
        <v>0</v>
      </c>
      <c r="AS287" s="1675"/>
      <c r="AT287" s="1676"/>
      <c r="AU287" s="1679">
        <f t="shared" si="67"/>
        <v>0</v>
      </c>
      <c r="AV287" s="935"/>
      <c r="AW287" s="935"/>
      <c r="AX287" s="935"/>
      <c r="AY287" s="722"/>
      <c r="AZ287" s="722"/>
      <c r="BA287" s="722"/>
      <c r="BB287" s="722"/>
      <c r="BC287" s="722"/>
      <c r="BD287" s="722"/>
      <c r="BE287" s="706"/>
      <c r="BF287" s="706"/>
      <c r="BG287" s="694"/>
    </row>
    <row r="288" spans="1:59" ht="15.75" x14ac:dyDescent="0.25">
      <c r="A288" s="1883"/>
      <c r="B288" s="1748"/>
      <c r="C288" s="1884"/>
      <c r="D288" s="1884"/>
      <c r="E288" s="1726">
        <f t="shared" si="56"/>
        <v>0</v>
      </c>
      <c r="F288" s="1722"/>
      <c r="G288" s="1741"/>
      <c r="H288" s="1728"/>
      <c r="I288" s="1743"/>
      <c r="J288" s="1743"/>
      <c r="K288" s="1744"/>
      <c r="L288" s="1734">
        <f t="shared" si="58"/>
        <v>0</v>
      </c>
      <c r="M288" s="1735">
        <f t="shared" si="59"/>
        <v>0</v>
      </c>
      <c r="N288" s="1730"/>
      <c r="O288" s="1730"/>
      <c r="P288" s="1730"/>
      <c r="Q288" s="1730"/>
      <c r="R288" s="1730"/>
      <c r="S288" s="1730"/>
      <c r="T288" s="1730"/>
      <c r="U288" s="1730"/>
      <c r="V288" s="1730"/>
      <c r="W288" s="1730"/>
      <c r="X288" s="1903">
        <f t="shared" si="57"/>
        <v>0</v>
      </c>
      <c r="Y288" s="1733">
        <f t="shared" si="60"/>
        <v>0</v>
      </c>
      <c r="Z288" s="528"/>
      <c r="AA288" s="1620"/>
      <c r="AB288" s="1616"/>
      <c r="AC288" s="1616"/>
      <c r="AD288" s="1616"/>
      <c r="AE288" s="1616"/>
      <c r="AF288" s="1587"/>
      <c r="AG288" s="1588"/>
      <c r="AH288" s="1588"/>
      <c r="AI288" s="1588"/>
      <c r="AJ288" s="1628"/>
      <c r="AK288" s="1625">
        <f t="shared" si="61"/>
        <v>0</v>
      </c>
      <c r="AL288" s="1565">
        <f t="shared" si="62"/>
        <v>0</v>
      </c>
      <c r="AM288" s="1565">
        <f t="shared" si="63"/>
        <v>0</v>
      </c>
      <c r="AN288" s="1565">
        <f t="shared" si="64"/>
        <v>0</v>
      </c>
      <c r="AO288" s="1631">
        <f t="shared" si="65"/>
        <v>0</v>
      </c>
      <c r="AP288" s="1634"/>
      <c r="AQ288" s="1635"/>
      <c r="AR288" s="1662">
        <f t="shared" si="66"/>
        <v>0</v>
      </c>
      <c r="AS288" s="1675"/>
      <c r="AT288" s="1676"/>
      <c r="AU288" s="1679">
        <f t="shared" si="67"/>
        <v>0</v>
      </c>
      <c r="AV288" s="935"/>
      <c r="AW288" s="935"/>
      <c r="AX288" s="935"/>
      <c r="AY288" s="722"/>
      <c r="AZ288" s="722"/>
      <c r="BA288" s="722"/>
      <c r="BB288" s="722"/>
      <c r="BC288" s="722"/>
      <c r="BD288" s="722"/>
      <c r="BE288" s="706"/>
      <c r="BF288" s="706"/>
      <c r="BG288" s="694"/>
    </row>
    <row r="289" spans="1:59" ht="15.75" x14ac:dyDescent="0.25">
      <c r="A289" s="1883"/>
      <c r="B289" s="1748"/>
      <c r="C289" s="1884"/>
      <c r="D289" s="1884"/>
      <c r="E289" s="1726">
        <f t="shared" si="56"/>
        <v>0</v>
      </c>
      <c r="F289" s="1722"/>
      <c r="G289" s="1741"/>
      <c r="H289" s="1728"/>
      <c r="I289" s="1743"/>
      <c r="J289" s="1743"/>
      <c r="K289" s="1744"/>
      <c r="L289" s="1734">
        <f t="shared" si="58"/>
        <v>0</v>
      </c>
      <c r="M289" s="1735">
        <f t="shared" si="59"/>
        <v>0</v>
      </c>
      <c r="N289" s="1730"/>
      <c r="O289" s="1730"/>
      <c r="P289" s="1730"/>
      <c r="Q289" s="1730"/>
      <c r="R289" s="1730"/>
      <c r="S289" s="1730"/>
      <c r="T289" s="1730"/>
      <c r="U289" s="1730"/>
      <c r="V289" s="1730"/>
      <c r="W289" s="1730"/>
      <c r="X289" s="1903">
        <f t="shared" si="57"/>
        <v>0</v>
      </c>
      <c r="Y289" s="1733">
        <f t="shared" si="60"/>
        <v>0</v>
      </c>
      <c r="Z289" s="528"/>
      <c r="AA289" s="1620"/>
      <c r="AB289" s="1616"/>
      <c r="AC289" s="1616"/>
      <c r="AD289" s="1616"/>
      <c r="AE289" s="1616"/>
      <c r="AF289" s="1587"/>
      <c r="AG289" s="1588"/>
      <c r="AH289" s="1588"/>
      <c r="AI289" s="1588"/>
      <c r="AJ289" s="1628"/>
      <c r="AK289" s="1625">
        <f t="shared" si="61"/>
        <v>0</v>
      </c>
      <c r="AL289" s="1565">
        <f t="shared" si="62"/>
        <v>0</v>
      </c>
      <c r="AM289" s="1565">
        <f t="shared" si="63"/>
        <v>0</v>
      </c>
      <c r="AN289" s="1565">
        <f t="shared" si="64"/>
        <v>0</v>
      </c>
      <c r="AO289" s="1631">
        <f t="shared" si="65"/>
        <v>0</v>
      </c>
      <c r="AP289" s="1634"/>
      <c r="AQ289" s="1635"/>
      <c r="AR289" s="1662">
        <f t="shared" si="66"/>
        <v>0</v>
      </c>
      <c r="AS289" s="1675"/>
      <c r="AT289" s="1676"/>
      <c r="AU289" s="1679">
        <f t="shared" si="67"/>
        <v>0</v>
      </c>
      <c r="AV289" s="935"/>
      <c r="AW289" s="935"/>
      <c r="AX289" s="935"/>
      <c r="AY289" s="722"/>
      <c r="AZ289" s="722"/>
      <c r="BA289" s="722"/>
      <c r="BB289" s="722"/>
      <c r="BC289" s="722"/>
      <c r="BD289" s="722"/>
      <c r="BE289" s="706"/>
      <c r="BF289" s="706"/>
      <c r="BG289" s="694"/>
    </row>
    <row r="290" spans="1:59" ht="15.75" x14ac:dyDescent="0.25">
      <c r="A290" s="1883"/>
      <c r="B290" s="1748"/>
      <c r="C290" s="1884"/>
      <c r="D290" s="1884"/>
      <c r="E290" s="1726">
        <f t="shared" si="56"/>
        <v>0</v>
      </c>
      <c r="F290" s="1722"/>
      <c r="G290" s="1741"/>
      <c r="H290" s="1728"/>
      <c r="I290" s="1743"/>
      <c r="J290" s="1743"/>
      <c r="K290" s="1744"/>
      <c r="L290" s="1734">
        <f t="shared" si="58"/>
        <v>0</v>
      </c>
      <c r="M290" s="1735">
        <f t="shared" si="59"/>
        <v>0</v>
      </c>
      <c r="N290" s="1730"/>
      <c r="O290" s="1730"/>
      <c r="P290" s="1730"/>
      <c r="Q290" s="1730"/>
      <c r="R290" s="1730"/>
      <c r="S290" s="1730"/>
      <c r="T290" s="1730"/>
      <c r="U290" s="1730"/>
      <c r="V290" s="1730"/>
      <c r="W290" s="1730"/>
      <c r="X290" s="1903">
        <f t="shared" si="57"/>
        <v>0</v>
      </c>
      <c r="Y290" s="1733">
        <f t="shared" si="60"/>
        <v>0</v>
      </c>
      <c r="Z290" s="528"/>
      <c r="AA290" s="1620"/>
      <c r="AB290" s="1616"/>
      <c r="AC290" s="1616"/>
      <c r="AD290" s="1616"/>
      <c r="AE290" s="1616"/>
      <c r="AF290" s="1587"/>
      <c r="AG290" s="1588"/>
      <c r="AH290" s="1588"/>
      <c r="AI290" s="1588"/>
      <c r="AJ290" s="1628"/>
      <c r="AK290" s="1625">
        <f t="shared" si="61"/>
        <v>0</v>
      </c>
      <c r="AL290" s="1565">
        <f t="shared" si="62"/>
        <v>0</v>
      </c>
      <c r="AM290" s="1565">
        <f t="shared" si="63"/>
        <v>0</v>
      </c>
      <c r="AN290" s="1565">
        <f t="shared" si="64"/>
        <v>0</v>
      </c>
      <c r="AO290" s="1631">
        <f t="shared" si="65"/>
        <v>0</v>
      </c>
      <c r="AP290" s="1634"/>
      <c r="AQ290" s="1635"/>
      <c r="AR290" s="1662">
        <f t="shared" si="66"/>
        <v>0</v>
      </c>
      <c r="AS290" s="1675"/>
      <c r="AT290" s="1676"/>
      <c r="AU290" s="1679">
        <f t="shared" si="67"/>
        <v>0</v>
      </c>
      <c r="AV290" s="935"/>
      <c r="AW290" s="935"/>
      <c r="AX290" s="935"/>
      <c r="AY290" s="722"/>
      <c r="AZ290" s="722"/>
      <c r="BA290" s="722"/>
      <c r="BB290" s="722"/>
      <c r="BC290" s="722"/>
      <c r="BD290" s="722"/>
      <c r="BE290" s="706"/>
      <c r="BF290" s="706"/>
      <c r="BG290" s="694"/>
    </row>
    <row r="291" spans="1:59" ht="15.75" x14ac:dyDescent="0.25">
      <c r="A291" s="1883"/>
      <c r="B291" s="1748"/>
      <c r="C291" s="1884"/>
      <c r="D291" s="1884"/>
      <c r="E291" s="1726">
        <f t="shared" si="56"/>
        <v>0</v>
      </c>
      <c r="F291" s="1722"/>
      <c r="G291" s="1741"/>
      <c r="H291" s="1728"/>
      <c r="I291" s="1743"/>
      <c r="J291" s="1743"/>
      <c r="K291" s="1744"/>
      <c r="L291" s="1734">
        <f t="shared" si="58"/>
        <v>0</v>
      </c>
      <c r="M291" s="1735">
        <f t="shared" si="59"/>
        <v>0</v>
      </c>
      <c r="N291" s="1730"/>
      <c r="O291" s="1730"/>
      <c r="P291" s="1730"/>
      <c r="Q291" s="1730"/>
      <c r="R291" s="1730"/>
      <c r="S291" s="1730"/>
      <c r="T291" s="1730"/>
      <c r="U291" s="1730"/>
      <c r="V291" s="1730"/>
      <c r="W291" s="1730"/>
      <c r="X291" s="1903">
        <f t="shared" si="57"/>
        <v>0</v>
      </c>
      <c r="Y291" s="1733">
        <f t="shared" si="60"/>
        <v>0</v>
      </c>
      <c r="Z291" s="528"/>
      <c r="AA291" s="1620"/>
      <c r="AB291" s="1616"/>
      <c r="AC291" s="1616"/>
      <c r="AD291" s="1616"/>
      <c r="AE291" s="1616"/>
      <c r="AF291" s="1587"/>
      <c r="AG291" s="1588"/>
      <c r="AH291" s="1588"/>
      <c r="AI291" s="1588"/>
      <c r="AJ291" s="1628"/>
      <c r="AK291" s="1625">
        <f t="shared" si="61"/>
        <v>0</v>
      </c>
      <c r="AL291" s="1565">
        <f t="shared" si="62"/>
        <v>0</v>
      </c>
      <c r="AM291" s="1565">
        <f t="shared" si="63"/>
        <v>0</v>
      </c>
      <c r="AN291" s="1565">
        <f t="shared" si="64"/>
        <v>0</v>
      </c>
      <c r="AO291" s="1631">
        <f t="shared" si="65"/>
        <v>0</v>
      </c>
      <c r="AP291" s="1634"/>
      <c r="AQ291" s="1635"/>
      <c r="AR291" s="1662">
        <f t="shared" si="66"/>
        <v>0</v>
      </c>
      <c r="AS291" s="1675"/>
      <c r="AT291" s="1676"/>
      <c r="AU291" s="1679">
        <f t="shared" si="67"/>
        <v>0</v>
      </c>
      <c r="AV291" s="935"/>
      <c r="AW291" s="935"/>
      <c r="AX291" s="935"/>
      <c r="AY291" s="722"/>
      <c r="AZ291" s="722"/>
      <c r="BA291" s="722"/>
      <c r="BB291" s="722"/>
      <c r="BC291" s="722"/>
      <c r="BD291" s="722"/>
      <c r="BE291" s="706"/>
      <c r="BF291" s="706"/>
      <c r="BG291" s="694"/>
    </row>
    <row r="292" spans="1:59" ht="15.75" x14ac:dyDescent="0.25">
      <c r="A292" s="1883"/>
      <c r="B292" s="1748"/>
      <c r="C292" s="1884"/>
      <c r="D292" s="1884"/>
      <c r="E292" s="1726">
        <f t="shared" si="56"/>
        <v>0</v>
      </c>
      <c r="F292" s="1722"/>
      <c r="G292" s="1741"/>
      <c r="H292" s="1728"/>
      <c r="I292" s="1743"/>
      <c r="J292" s="1743"/>
      <c r="K292" s="1744"/>
      <c r="L292" s="1734">
        <f t="shared" si="58"/>
        <v>0</v>
      </c>
      <c r="M292" s="1735">
        <f t="shared" si="59"/>
        <v>0</v>
      </c>
      <c r="N292" s="1730"/>
      <c r="O292" s="1730"/>
      <c r="P292" s="1730"/>
      <c r="Q292" s="1730"/>
      <c r="R292" s="1730"/>
      <c r="S292" s="1730"/>
      <c r="T292" s="1730"/>
      <c r="U292" s="1730"/>
      <c r="V292" s="1730"/>
      <c r="W292" s="1730"/>
      <c r="X292" s="1903">
        <f t="shared" si="57"/>
        <v>0</v>
      </c>
      <c r="Y292" s="1733">
        <f t="shared" si="60"/>
        <v>0</v>
      </c>
      <c r="Z292" s="528"/>
      <c r="AA292" s="1620"/>
      <c r="AB292" s="1616"/>
      <c r="AC292" s="1616"/>
      <c r="AD292" s="1616"/>
      <c r="AE292" s="1616"/>
      <c r="AF292" s="1587"/>
      <c r="AG292" s="1588"/>
      <c r="AH292" s="1588"/>
      <c r="AI292" s="1588"/>
      <c r="AJ292" s="1628"/>
      <c r="AK292" s="1625">
        <f t="shared" si="61"/>
        <v>0</v>
      </c>
      <c r="AL292" s="1565">
        <f t="shared" si="62"/>
        <v>0</v>
      </c>
      <c r="AM292" s="1565">
        <f t="shared" si="63"/>
        <v>0</v>
      </c>
      <c r="AN292" s="1565">
        <f t="shared" si="64"/>
        <v>0</v>
      </c>
      <c r="AO292" s="1631">
        <f t="shared" si="65"/>
        <v>0</v>
      </c>
      <c r="AP292" s="1634"/>
      <c r="AQ292" s="1635"/>
      <c r="AR292" s="1662">
        <f t="shared" si="66"/>
        <v>0</v>
      </c>
      <c r="AS292" s="1675"/>
      <c r="AT292" s="1676"/>
      <c r="AU292" s="1679">
        <f t="shared" si="67"/>
        <v>0</v>
      </c>
      <c r="AV292" s="935"/>
      <c r="AW292" s="935"/>
      <c r="AX292" s="935"/>
      <c r="AY292" s="722"/>
      <c r="AZ292" s="722"/>
      <c r="BA292" s="722"/>
      <c r="BB292" s="722"/>
      <c r="BC292" s="722"/>
      <c r="BD292" s="722"/>
      <c r="BE292" s="706"/>
      <c r="BF292" s="706"/>
      <c r="BG292" s="694"/>
    </row>
    <row r="293" spans="1:59" ht="15.75" x14ac:dyDescent="0.25">
      <c r="A293" s="1883"/>
      <c r="B293" s="1748"/>
      <c r="C293" s="1884"/>
      <c r="D293" s="1884"/>
      <c r="E293" s="1726">
        <f t="shared" si="56"/>
        <v>0</v>
      </c>
      <c r="F293" s="1722"/>
      <c r="G293" s="1741"/>
      <c r="H293" s="1728"/>
      <c r="I293" s="1743"/>
      <c r="J293" s="1743"/>
      <c r="K293" s="1744"/>
      <c r="L293" s="1734">
        <f t="shared" si="58"/>
        <v>0</v>
      </c>
      <c r="M293" s="1735">
        <f t="shared" si="59"/>
        <v>0</v>
      </c>
      <c r="N293" s="1730"/>
      <c r="O293" s="1730"/>
      <c r="P293" s="1730"/>
      <c r="Q293" s="1730"/>
      <c r="R293" s="1730"/>
      <c r="S293" s="1730"/>
      <c r="T293" s="1730"/>
      <c r="U293" s="1730"/>
      <c r="V293" s="1730"/>
      <c r="W293" s="1730"/>
      <c r="X293" s="1903">
        <f t="shared" si="57"/>
        <v>0</v>
      </c>
      <c r="Y293" s="1733">
        <f t="shared" si="60"/>
        <v>0</v>
      </c>
      <c r="Z293" s="528"/>
      <c r="AA293" s="1620"/>
      <c r="AB293" s="1616"/>
      <c r="AC293" s="1616"/>
      <c r="AD293" s="1616"/>
      <c r="AE293" s="1616"/>
      <c r="AF293" s="1587"/>
      <c r="AG293" s="1588"/>
      <c r="AH293" s="1588"/>
      <c r="AI293" s="1588"/>
      <c r="AJ293" s="1628"/>
      <c r="AK293" s="1625">
        <f t="shared" si="61"/>
        <v>0</v>
      </c>
      <c r="AL293" s="1565">
        <f t="shared" si="62"/>
        <v>0</v>
      </c>
      <c r="AM293" s="1565">
        <f t="shared" si="63"/>
        <v>0</v>
      </c>
      <c r="AN293" s="1565">
        <f t="shared" si="64"/>
        <v>0</v>
      </c>
      <c r="AO293" s="1631">
        <f t="shared" si="65"/>
        <v>0</v>
      </c>
      <c r="AP293" s="1634"/>
      <c r="AQ293" s="1635"/>
      <c r="AR293" s="1662">
        <f t="shared" si="66"/>
        <v>0</v>
      </c>
      <c r="AS293" s="1675"/>
      <c r="AT293" s="1676"/>
      <c r="AU293" s="1679">
        <f t="shared" si="67"/>
        <v>0</v>
      </c>
      <c r="AV293" s="935"/>
      <c r="AW293" s="935"/>
      <c r="AX293" s="935"/>
      <c r="AY293" s="722"/>
      <c r="AZ293" s="722"/>
      <c r="BA293" s="722"/>
      <c r="BB293" s="722"/>
      <c r="BC293" s="722"/>
      <c r="BD293" s="722"/>
      <c r="BE293" s="706"/>
      <c r="BF293" s="706"/>
      <c r="BG293" s="694"/>
    </row>
    <row r="294" spans="1:59" ht="15.75" x14ac:dyDescent="0.25">
      <c r="A294" s="1883"/>
      <c r="B294" s="1748"/>
      <c r="C294" s="1884"/>
      <c r="D294" s="1884"/>
      <c r="E294" s="1726">
        <f t="shared" si="56"/>
        <v>0</v>
      </c>
      <c r="F294" s="1722"/>
      <c r="G294" s="1741"/>
      <c r="H294" s="1728"/>
      <c r="I294" s="1743"/>
      <c r="J294" s="1743"/>
      <c r="K294" s="1744"/>
      <c r="L294" s="1734">
        <f t="shared" si="58"/>
        <v>0</v>
      </c>
      <c r="M294" s="1735">
        <f t="shared" si="59"/>
        <v>0</v>
      </c>
      <c r="N294" s="1730"/>
      <c r="O294" s="1730"/>
      <c r="P294" s="1730"/>
      <c r="Q294" s="1730"/>
      <c r="R294" s="1730"/>
      <c r="S294" s="1730"/>
      <c r="T294" s="1730"/>
      <c r="U294" s="1730"/>
      <c r="V294" s="1730"/>
      <c r="W294" s="1730"/>
      <c r="X294" s="1903">
        <f t="shared" si="57"/>
        <v>0</v>
      </c>
      <c r="Y294" s="1733">
        <f t="shared" si="60"/>
        <v>0</v>
      </c>
      <c r="Z294" s="528"/>
      <c r="AA294" s="1620"/>
      <c r="AB294" s="1616"/>
      <c r="AC294" s="1616"/>
      <c r="AD294" s="1616"/>
      <c r="AE294" s="1616"/>
      <c r="AF294" s="1587"/>
      <c r="AG294" s="1588"/>
      <c r="AH294" s="1588"/>
      <c r="AI294" s="1588"/>
      <c r="AJ294" s="1628"/>
      <c r="AK294" s="1625">
        <f t="shared" si="61"/>
        <v>0</v>
      </c>
      <c r="AL294" s="1565">
        <f t="shared" si="62"/>
        <v>0</v>
      </c>
      <c r="AM294" s="1565">
        <f t="shared" si="63"/>
        <v>0</v>
      </c>
      <c r="AN294" s="1565">
        <f t="shared" si="64"/>
        <v>0</v>
      </c>
      <c r="AO294" s="1631">
        <f t="shared" si="65"/>
        <v>0</v>
      </c>
      <c r="AP294" s="1634"/>
      <c r="AQ294" s="1635"/>
      <c r="AR294" s="1662">
        <f t="shared" si="66"/>
        <v>0</v>
      </c>
      <c r="AS294" s="1675"/>
      <c r="AT294" s="1676"/>
      <c r="AU294" s="1679">
        <f t="shared" si="67"/>
        <v>0</v>
      </c>
      <c r="AV294" s="935"/>
      <c r="AW294" s="935"/>
      <c r="AX294" s="935"/>
      <c r="AY294" s="722"/>
      <c r="AZ294" s="722"/>
      <c r="BA294" s="722"/>
      <c r="BB294" s="722"/>
      <c r="BC294" s="722"/>
      <c r="BD294" s="722"/>
      <c r="BE294" s="706"/>
      <c r="BF294" s="706"/>
      <c r="BG294" s="694"/>
    </row>
    <row r="295" spans="1:59" ht="15.75" x14ac:dyDescent="0.25">
      <c r="A295" s="1883"/>
      <c r="B295" s="1748"/>
      <c r="C295" s="1884"/>
      <c r="D295" s="1884"/>
      <c r="E295" s="1726">
        <f t="shared" si="56"/>
        <v>0</v>
      </c>
      <c r="F295" s="1722"/>
      <c r="G295" s="1741"/>
      <c r="H295" s="1728"/>
      <c r="I295" s="1743"/>
      <c r="J295" s="1743"/>
      <c r="K295" s="1744"/>
      <c r="L295" s="1734">
        <f t="shared" si="58"/>
        <v>0</v>
      </c>
      <c r="M295" s="1735">
        <f t="shared" si="59"/>
        <v>0</v>
      </c>
      <c r="N295" s="1730"/>
      <c r="O295" s="1730"/>
      <c r="P295" s="1730"/>
      <c r="Q295" s="1730"/>
      <c r="R295" s="1730"/>
      <c r="S295" s="1730"/>
      <c r="T295" s="1730"/>
      <c r="U295" s="1730"/>
      <c r="V295" s="1730"/>
      <c r="W295" s="1730"/>
      <c r="X295" s="1903">
        <f t="shared" si="57"/>
        <v>0</v>
      </c>
      <c r="Y295" s="1733">
        <f t="shared" si="60"/>
        <v>0</v>
      </c>
      <c r="Z295" s="528"/>
      <c r="AA295" s="1620"/>
      <c r="AB295" s="1616"/>
      <c r="AC295" s="1616"/>
      <c r="AD295" s="1616"/>
      <c r="AE295" s="1616"/>
      <c r="AF295" s="1587"/>
      <c r="AG295" s="1588"/>
      <c r="AH295" s="1588"/>
      <c r="AI295" s="1588"/>
      <c r="AJ295" s="1628"/>
      <c r="AK295" s="1625">
        <f t="shared" si="61"/>
        <v>0</v>
      </c>
      <c r="AL295" s="1565">
        <f t="shared" si="62"/>
        <v>0</v>
      </c>
      <c r="AM295" s="1565">
        <f t="shared" si="63"/>
        <v>0</v>
      </c>
      <c r="AN295" s="1565">
        <f t="shared" si="64"/>
        <v>0</v>
      </c>
      <c r="AO295" s="1631">
        <f t="shared" si="65"/>
        <v>0</v>
      </c>
      <c r="AP295" s="1634"/>
      <c r="AQ295" s="1635"/>
      <c r="AR295" s="1662">
        <f t="shared" si="66"/>
        <v>0</v>
      </c>
      <c r="AS295" s="1675"/>
      <c r="AT295" s="1676"/>
      <c r="AU295" s="1679">
        <f t="shared" si="67"/>
        <v>0</v>
      </c>
      <c r="AV295" s="935"/>
      <c r="AW295" s="935"/>
      <c r="AX295" s="935"/>
      <c r="AY295" s="722"/>
      <c r="AZ295" s="722"/>
      <c r="BA295" s="722"/>
      <c r="BB295" s="722"/>
      <c r="BC295" s="722"/>
      <c r="BD295" s="722"/>
      <c r="BE295" s="706"/>
      <c r="BF295" s="706"/>
      <c r="BG295" s="694"/>
    </row>
    <row r="296" spans="1:59" ht="15.75" x14ac:dyDescent="0.25">
      <c r="A296" s="1883"/>
      <c r="B296" s="1748"/>
      <c r="C296" s="1884"/>
      <c r="D296" s="1884"/>
      <c r="E296" s="1726">
        <f t="shared" si="56"/>
        <v>0</v>
      </c>
      <c r="F296" s="1722"/>
      <c r="G296" s="1741"/>
      <c r="H296" s="1728"/>
      <c r="I296" s="1743"/>
      <c r="J296" s="1743"/>
      <c r="K296" s="1744"/>
      <c r="L296" s="1734">
        <f t="shared" si="58"/>
        <v>0</v>
      </c>
      <c r="M296" s="1735">
        <f t="shared" si="59"/>
        <v>0</v>
      </c>
      <c r="N296" s="1730"/>
      <c r="O296" s="1730"/>
      <c r="P296" s="1730"/>
      <c r="Q296" s="1730"/>
      <c r="R296" s="1730"/>
      <c r="S296" s="1730"/>
      <c r="T296" s="1730"/>
      <c r="U296" s="1730"/>
      <c r="V296" s="1730"/>
      <c r="W296" s="1730"/>
      <c r="X296" s="1903">
        <f t="shared" si="57"/>
        <v>0</v>
      </c>
      <c r="Y296" s="1733">
        <f t="shared" si="60"/>
        <v>0</v>
      </c>
      <c r="Z296" s="528"/>
      <c r="AA296" s="1620"/>
      <c r="AB296" s="1616"/>
      <c r="AC296" s="1616"/>
      <c r="AD296" s="1616"/>
      <c r="AE296" s="1616"/>
      <c r="AF296" s="1587"/>
      <c r="AG296" s="1588"/>
      <c r="AH296" s="1588"/>
      <c r="AI296" s="1588"/>
      <c r="AJ296" s="1628"/>
      <c r="AK296" s="1625">
        <f t="shared" si="61"/>
        <v>0</v>
      </c>
      <c r="AL296" s="1565">
        <f t="shared" si="62"/>
        <v>0</v>
      </c>
      <c r="AM296" s="1565">
        <f t="shared" si="63"/>
        <v>0</v>
      </c>
      <c r="AN296" s="1565">
        <f t="shared" si="64"/>
        <v>0</v>
      </c>
      <c r="AO296" s="1631">
        <f t="shared" si="65"/>
        <v>0</v>
      </c>
      <c r="AP296" s="1634"/>
      <c r="AQ296" s="1635"/>
      <c r="AR296" s="1662">
        <f t="shared" si="66"/>
        <v>0</v>
      </c>
      <c r="AS296" s="1675"/>
      <c r="AT296" s="1676"/>
      <c r="AU296" s="1679">
        <f t="shared" si="67"/>
        <v>0</v>
      </c>
      <c r="AV296" s="935"/>
      <c r="AW296" s="935"/>
      <c r="AX296" s="935"/>
      <c r="AY296" s="722"/>
      <c r="AZ296" s="722"/>
      <c r="BA296" s="722"/>
      <c r="BB296" s="722"/>
      <c r="BC296" s="722"/>
      <c r="BD296" s="722"/>
      <c r="BE296" s="706"/>
      <c r="BF296" s="706"/>
      <c r="BG296" s="694"/>
    </row>
    <row r="297" spans="1:59" ht="15.75" x14ac:dyDescent="0.25">
      <c r="A297" s="1883"/>
      <c r="B297" s="1748"/>
      <c r="C297" s="1884"/>
      <c r="D297" s="1884"/>
      <c r="E297" s="1726">
        <f t="shared" si="56"/>
        <v>0</v>
      </c>
      <c r="F297" s="1722"/>
      <c r="G297" s="1741"/>
      <c r="H297" s="1728"/>
      <c r="I297" s="1743"/>
      <c r="J297" s="1743"/>
      <c r="K297" s="1744"/>
      <c r="L297" s="1734">
        <f t="shared" si="58"/>
        <v>0</v>
      </c>
      <c r="M297" s="1735">
        <f t="shared" si="59"/>
        <v>0</v>
      </c>
      <c r="N297" s="1730"/>
      <c r="O297" s="1730"/>
      <c r="P297" s="1730"/>
      <c r="Q297" s="1730"/>
      <c r="R297" s="1730"/>
      <c r="S297" s="1730"/>
      <c r="T297" s="1730"/>
      <c r="U297" s="1730"/>
      <c r="V297" s="1730"/>
      <c r="W297" s="1730"/>
      <c r="X297" s="1903">
        <f t="shared" si="57"/>
        <v>0</v>
      </c>
      <c r="Y297" s="1733">
        <f t="shared" si="60"/>
        <v>0</v>
      </c>
      <c r="Z297" s="528"/>
      <c r="AA297" s="1620"/>
      <c r="AB297" s="1616"/>
      <c r="AC297" s="1616"/>
      <c r="AD297" s="1616"/>
      <c r="AE297" s="1616"/>
      <c r="AF297" s="1587"/>
      <c r="AG297" s="1588"/>
      <c r="AH297" s="1588"/>
      <c r="AI297" s="1588"/>
      <c r="AJ297" s="1628"/>
      <c r="AK297" s="1625">
        <f t="shared" si="61"/>
        <v>0</v>
      </c>
      <c r="AL297" s="1565">
        <f t="shared" si="62"/>
        <v>0</v>
      </c>
      <c r="AM297" s="1565">
        <f t="shared" si="63"/>
        <v>0</v>
      </c>
      <c r="AN297" s="1565">
        <f t="shared" si="64"/>
        <v>0</v>
      </c>
      <c r="AO297" s="1631">
        <f t="shared" si="65"/>
        <v>0</v>
      </c>
      <c r="AP297" s="1634"/>
      <c r="AQ297" s="1635"/>
      <c r="AR297" s="1662">
        <f t="shared" si="66"/>
        <v>0</v>
      </c>
      <c r="AS297" s="1675"/>
      <c r="AT297" s="1676"/>
      <c r="AU297" s="1679">
        <f t="shared" si="67"/>
        <v>0</v>
      </c>
      <c r="AV297" s="935"/>
      <c r="AW297" s="935"/>
      <c r="AX297" s="935"/>
      <c r="AY297" s="722"/>
      <c r="AZ297" s="722"/>
      <c r="BA297" s="722"/>
      <c r="BB297" s="722"/>
      <c r="BC297" s="722"/>
      <c r="BD297" s="722"/>
      <c r="BE297" s="706"/>
      <c r="BF297" s="706"/>
      <c r="BG297" s="694"/>
    </row>
    <row r="298" spans="1:59" ht="15.75" x14ac:dyDescent="0.25">
      <c r="A298" s="1883"/>
      <c r="B298" s="1748"/>
      <c r="C298" s="1884"/>
      <c r="D298" s="1884"/>
      <c r="E298" s="1726">
        <f t="shared" si="56"/>
        <v>0</v>
      </c>
      <c r="F298" s="1722"/>
      <c r="G298" s="1741"/>
      <c r="H298" s="1728"/>
      <c r="I298" s="1743"/>
      <c r="J298" s="1743"/>
      <c r="K298" s="1744"/>
      <c r="L298" s="1734">
        <f t="shared" si="58"/>
        <v>0</v>
      </c>
      <c r="M298" s="1735">
        <f t="shared" si="59"/>
        <v>0</v>
      </c>
      <c r="N298" s="1730"/>
      <c r="O298" s="1730"/>
      <c r="P298" s="1730"/>
      <c r="Q298" s="1730"/>
      <c r="R298" s="1730"/>
      <c r="S298" s="1730"/>
      <c r="T298" s="1730"/>
      <c r="U298" s="1730"/>
      <c r="V298" s="1730"/>
      <c r="W298" s="1730"/>
      <c r="X298" s="1903">
        <f t="shared" si="57"/>
        <v>0</v>
      </c>
      <c r="Y298" s="1733">
        <f t="shared" si="60"/>
        <v>0</v>
      </c>
      <c r="Z298" s="528"/>
      <c r="AA298" s="1620"/>
      <c r="AB298" s="1616"/>
      <c r="AC298" s="1616"/>
      <c r="AD298" s="1616"/>
      <c r="AE298" s="1616"/>
      <c r="AF298" s="1587"/>
      <c r="AG298" s="1588"/>
      <c r="AH298" s="1588"/>
      <c r="AI298" s="1588"/>
      <c r="AJ298" s="1628"/>
      <c r="AK298" s="1625">
        <f t="shared" si="61"/>
        <v>0</v>
      </c>
      <c r="AL298" s="1565">
        <f t="shared" si="62"/>
        <v>0</v>
      </c>
      <c r="AM298" s="1565">
        <f t="shared" si="63"/>
        <v>0</v>
      </c>
      <c r="AN298" s="1565">
        <f t="shared" si="64"/>
        <v>0</v>
      </c>
      <c r="AO298" s="1631">
        <f t="shared" si="65"/>
        <v>0</v>
      </c>
      <c r="AP298" s="1634"/>
      <c r="AQ298" s="1635"/>
      <c r="AR298" s="1662">
        <f t="shared" si="66"/>
        <v>0</v>
      </c>
      <c r="AS298" s="1675"/>
      <c r="AT298" s="1676"/>
      <c r="AU298" s="1679">
        <f t="shared" si="67"/>
        <v>0</v>
      </c>
      <c r="AV298" s="935"/>
      <c r="AW298" s="935"/>
      <c r="AX298" s="935"/>
      <c r="AY298" s="722"/>
      <c r="AZ298" s="722"/>
      <c r="BA298" s="722"/>
      <c r="BB298" s="722"/>
      <c r="BC298" s="722"/>
      <c r="BD298" s="722"/>
      <c r="BE298" s="706"/>
      <c r="BF298" s="706"/>
      <c r="BG298" s="694"/>
    </row>
    <row r="299" spans="1:59" ht="15.75" x14ac:dyDescent="0.25">
      <c r="A299" s="1883"/>
      <c r="B299" s="1748"/>
      <c r="C299" s="1884"/>
      <c r="D299" s="1884"/>
      <c r="E299" s="1726">
        <f t="shared" si="56"/>
        <v>0</v>
      </c>
      <c r="F299" s="1722"/>
      <c r="G299" s="1741"/>
      <c r="H299" s="1728"/>
      <c r="I299" s="1743"/>
      <c r="J299" s="1743"/>
      <c r="K299" s="1744"/>
      <c r="L299" s="1734">
        <f t="shared" si="58"/>
        <v>0</v>
      </c>
      <c r="M299" s="1735">
        <f t="shared" si="59"/>
        <v>0</v>
      </c>
      <c r="N299" s="1730"/>
      <c r="O299" s="1730"/>
      <c r="P299" s="1730"/>
      <c r="Q299" s="1730"/>
      <c r="R299" s="1730"/>
      <c r="S299" s="1730"/>
      <c r="T299" s="1730"/>
      <c r="U299" s="1730"/>
      <c r="V299" s="1730"/>
      <c r="W299" s="1730"/>
      <c r="X299" s="1903">
        <f t="shared" si="57"/>
        <v>0</v>
      </c>
      <c r="Y299" s="1733">
        <f t="shared" si="60"/>
        <v>0</v>
      </c>
      <c r="Z299" s="528"/>
      <c r="AA299" s="1620"/>
      <c r="AB299" s="1616"/>
      <c r="AC299" s="1616"/>
      <c r="AD299" s="1616"/>
      <c r="AE299" s="1616"/>
      <c r="AF299" s="1587"/>
      <c r="AG299" s="1588"/>
      <c r="AH299" s="1588"/>
      <c r="AI299" s="1588"/>
      <c r="AJ299" s="1628"/>
      <c r="AK299" s="1625">
        <f t="shared" si="61"/>
        <v>0</v>
      </c>
      <c r="AL299" s="1565">
        <f t="shared" si="62"/>
        <v>0</v>
      </c>
      <c r="AM299" s="1565">
        <f t="shared" si="63"/>
        <v>0</v>
      </c>
      <c r="AN299" s="1565">
        <f t="shared" si="64"/>
        <v>0</v>
      </c>
      <c r="AO299" s="1631">
        <f t="shared" si="65"/>
        <v>0</v>
      </c>
      <c r="AP299" s="1634"/>
      <c r="AQ299" s="1635"/>
      <c r="AR299" s="1662">
        <f t="shared" si="66"/>
        <v>0</v>
      </c>
      <c r="AS299" s="1675"/>
      <c r="AT299" s="1676"/>
      <c r="AU299" s="1679">
        <f t="shared" si="67"/>
        <v>0</v>
      </c>
      <c r="AV299" s="935"/>
      <c r="AW299" s="935"/>
      <c r="AX299" s="935"/>
      <c r="AY299" s="722"/>
      <c r="AZ299" s="722"/>
      <c r="BA299" s="722"/>
      <c r="BB299" s="722"/>
      <c r="BC299" s="722"/>
      <c r="BD299" s="722"/>
      <c r="BE299" s="706"/>
      <c r="BF299" s="706"/>
      <c r="BG299" s="694"/>
    </row>
    <row r="300" spans="1:59" ht="15.75" x14ac:dyDescent="0.25">
      <c r="A300" s="1883"/>
      <c r="B300" s="1748"/>
      <c r="C300" s="1884"/>
      <c r="D300" s="1884"/>
      <c r="E300" s="1726">
        <f t="shared" si="56"/>
        <v>0</v>
      </c>
      <c r="F300" s="1722"/>
      <c r="G300" s="1741"/>
      <c r="H300" s="1728"/>
      <c r="I300" s="1743"/>
      <c r="J300" s="1743"/>
      <c r="K300" s="1744"/>
      <c r="L300" s="1734">
        <f t="shared" si="58"/>
        <v>0</v>
      </c>
      <c r="M300" s="1735">
        <f t="shared" si="59"/>
        <v>0</v>
      </c>
      <c r="N300" s="1730"/>
      <c r="O300" s="1730"/>
      <c r="P300" s="1730"/>
      <c r="Q300" s="1730"/>
      <c r="R300" s="1730"/>
      <c r="S300" s="1730"/>
      <c r="T300" s="1730"/>
      <c r="U300" s="1730"/>
      <c r="V300" s="1730"/>
      <c r="W300" s="1730"/>
      <c r="X300" s="1903">
        <f t="shared" si="57"/>
        <v>0</v>
      </c>
      <c r="Y300" s="1733">
        <f t="shared" si="60"/>
        <v>0</v>
      </c>
      <c r="Z300" s="528"/>
      <c r="AA300" s="1620"/>
      <c r="AB300" s="1616"/>
      <c r="AC300" s="1616"/>
      <c r="AD300" s="1616"/>
      <c r="AE300" s="1616"/>
      <c r="AF300" s="1587"/>
      <c r="AG300" s="1588"/>
      <c r="AH300" s="1588"/>
      <c r="AI300" s="1588"/>
      <c r="AJ300" s="1628"/>
      <c r="AK300" s="1625">
        <f t="shared" si="61"/>
        <v>0</v>
      </c>
      <c r="AL300" s="1565">
        <f t="shared" si="62"/>
        <v>0</v>
      </c>
      <c r="AM300" s="1565">
        <f t="shared" si="63"/>
        <v>0</v>
      </c>
      <c r="AN300" s="1565">
        <f t="shared" si="64"/>
        <v>0</v>
      </c>
      <c r="AO300" s="1631">
        <f t="shared" si="65"/>
        <v>0</v>
      </c>
      <c r="AP300" s="1634"/>
      <c r="AQ300" s="1635"/>
      <c r="AR300" s="1662">
        <f t="shared" si="66"/>
        <v>0</v>
      </c>
      <c r="AS300" s="1675"/>
      <c r="AT300" s="1676"/>
      <c r="AU300" s="1679">
        <f t="shared" si="67"/>
        <v>0</v>
      </c>
      <c r="AV300" s="935"/>
      <c r="AW300" s="935"/>
      <c r="AX300" s="935"/>
      <c r="AY300" s="722"/>
      <c r="AZ300" s="722"/>
      <c r="BA300" s="722"/>
      <c r="BB300" s="722"/>
      <c r="BC300" s="722"/>
      <c r="BD300" s="722"/>
      <c r="BE300" s="706"/>
      <c r="BF300" s="706"/>
      <c r="BG300" s="694"/>
    </row>
    <row r="301" spans="1:59" ht="15.75" x14ac:dyDescent="0.25">
      <c r="A301" s="1883"/>
      <c r="B301" s="1748"/>
      <c r="C301" s="1884"/>
      <c r="D301" s="1884"/>
      <c r="E301" s="1726">
        <f t="shared" si="56"/>
        <v>0</v>
      </c>
      <c r="F301" s="1722"/>
      <c r="G301" s="1741"/>
      <c r="H301" s="1728"/>
      <c r="I301" s="1743"/>
      <c r="J301" s="1743"/>
      <c r="K301" s="1744"/>
      <c r="L301" s="1734">
        <f t="shared" si="58"/>
        <v>0</v>
      </c>
      <c r="M301" s="1735">
        <f t="shared" si="59"/>
        <v>0</v>
      </c>
      <c r="N301" s="1730"/>
      <c r="O301" s="1730"/>
      <c r="P301" s="1730"/>
      <c r="Q301" s="1730"/>
      <c r="R301" s="1730"/>
      <c r="S301" s="1730"/>
      <c r="T301" s="1730"/>
      <c r="U301" s="1730"/>
      <c r="V301" s="1730"/>
      <c r="W301" s="1730"/>
      <c r="X301" s="1903">
        <f t="shared" si="57"/>
        <v>0</v>
      </c>
      <c r="Y301" s="1733">
        <f t="shared" si="60"/>
        <v>0</v>
      </c>
      <c r="Z301" s="528"/>
      <c r="AA301" s="1620"/>
      <c r="AB301" s="1616"/>
      <c r="AC301" s="1616"/>
      <c r="AD301" s="1616"/>
      <c r="AE301" s="1616"/>
      <c r="AF301" s="1587"/>
      <c r="AG301" s="1588"/>
      <c r="AH301" s="1588"/>
      <c r="AI301" s="1588"/>
      <c r="AJ301" s="1628"/>
      <c r="AK301" s="1625">
        <f t="shared" si="61"/>
        <v>0</v>
      </c>
      <c r="AL301" s="1565">
        <f t="shared" si="62"/>
        <v>0</v>
      </c>
      <c r="AM301" s="1565">
        <f t="shared" si="63"/>
        <v>0</v>
      </c>
      <c r="AN301" s="1565">
        <f t="shared" si="64"/>
        <v>0</v>
      </c>
      <c r="AO301" s="1631">
        <f t="shared" si="65"/>
        <v>0</v>
      </c>
      <c r="AP301" s="1634"/>
      <c r="AQ301" s="1635"/>
      <c r="AR301" s="1662">
        <f t="shared" si="66"/>
        <v>0</v>
      </c>
      <c r="AS301" s="1675"/>
      <c r="AT301" s="1676"/>
      <c r="AU301" s="1679">
        <f t="shared" si="67"/>
        <v>0</v>
      </c>
      <c r="AV301" s="935"/>
      <c r="AW301" s="935"/>
      <c r="AX301" s="935"/>
      <c r="AY301" s="722"/>
      <c r="AZ301" s="722"/>
      <c r="BA301" s="722"/>
      <c r="BB301" s="722"/>
      <c r="BC301" s="722"/>
      <c r="BD301" s="722"/>
      <c r="BE301" s="706"/>
      <c r="BF301" s="706"/>
      <c r="BG301" s="694"/>
    </row>
    <row r="302" spans="1:59" ht="15.75" x14ac:dyDescent="0.25">
      <c r="A302" s="1883"/>
      <c r="B302" s="1748"/>
      <c r="C302" s="1884"/>
      <c r="D302" s="1884"/>
      <c r="E302" s="1726">
        <f t="shared" si="56"/>
        <v>0</v>
      </c>
      <c r="F302" s="1722"/>
      <c r="G302" s="1741"/>
      <c r="H302" s="1728"/>
      <c r="I302" s="1743"/>
      <c r="J302" s="1743"/>
      <c r="K302" s="1744"/>
      <c r="L302" s="1734">
        <f t="shared" si="58"/>
        <v>0</v>
      </c>
      <c r="M302" s="1735">
        <f t="shared" si="59"/>
        <v>0</v>
      </c>
      <c r="N302" s="1730"/>
      <c r="O302" s="1730"/>
      <c r="P302" s="1730"/>
      <c r="Q302" s="1730"/>
      <c r="R302" s="1730"/>
      <c r="S302" s="1730"/>
      <c r="T302" s="1730"/>
      <c r="U302" s="1730"/>
      <c r="V302" s="1730"/>
      <c r="W302" s="1730"/>
      <c r="X302" s="1903">
        <f t="shared" si="57"/>
        <v>0</v>
      </c>
      <c r="Y302" s="1733">
        <f t="shared" si="60"/>
        <v>0</v>
      </c>
      <c r="Z302" s="528"/>
      <c r="AA302" s="1620"/>
      <c r="AB302" s="1616"/>
      <c r="AC302" s="1616"/>
      <c r="AD302" s="1616"/>
      <c r="AE302" s="1616"/>
      <c r="AF302" s="1587"/>
      <c r="AG302" s="1588"/>
      <c r="AH302" s="1588"/>
      <c r="AI302" s="1588"/>
      <c r="AJ302" s="1628"/>
      <c r="AK302" s="1625">
        <f t="shared" si="61"/>
        <v>0</v>
      </c>
      <c r="AL302" s="1565">
        <f t="shared" si="62"/>
        <v>0</v>
      </c>
      <c r="AM302" s="1565">
        <f t="shared" si="63"/>
        <v>0</v>
      </c>
      <c r="AN302" s="1565">
        <f t="shared" si="64"/>
        <v>0</v>
      </c>
      <c r="AO302" s="1631">
        <f t="shared" si="65"/>
        <v>0</v>
      </c>
      <c r="AP302" s="1634"/>
      <c r="AQ302" s="1635"/>
      <c r="AR302" s="1662">
        <f t="shared" si="66"/>
        <v>0</v>
      </c>
      <c r="AS302" s="1675"/>
      <c r="AT302" s="1676"/>
      <c r="AU302" s="1679">
        <f t="shared" si="67"/>
        <v>0</v>
      </c>
      <c r="AV302" s="935"/>
      <c r="AW302" s="935"/>
      <c r="AX302" s="935"/>
      <c r="AY302" s="722"/>
      <c r="AZ302" s="722"/>
      <c r="BA302" s="722"/>
      <c r="BB302" s="722"/>
      <c r="BC302" s="722"/>
      <c r="BD302" s="722"/>
      <c r="BE302" s="706"/>
      <c r="BF302" s="706"/>
      <c r="BG302" s="694"/>
    </row>
    <row r="303" spans="1:59" ht="15.75" x14ac:dyDescent="0.25">
      <c r="A303" s="1883"/>
      <c r="B303" s="1748"/>
      <c r="C303" s="1884"/>
      <c r="D303" s="1884"/>
      <c r="E303" s="1726">
        <f t="shared" si="56"/>
        <v>0</v>
      </c>
      <c r="F303" s="1722"/>
      <c r="G303" s="1741"/>
      <c r="H303" s="1728"/>
      <c r="I303" s="1743"/>
      <c r="J303" s="1743"/>
      <c r="K303" s="1744"/>
      <c r="L303" s="1734">
        <f t="shared" si="58"/>
        <v>0</v>
      </c>
      <c r="M303" s="1735">
        <f t="shared" si="59"/>
        <v>0</v>
      </c>
      <c r="N303" s="1730"/>
      <c r="O303" s="1730"/>
      <c r="P303" s="1730"/>
      <c r="Q303" s="1730"/>
      <c r="R303" s="1730"/>
      <c r="S303" s="1730"/>
      <c r="T303" s="1730"/>
      <c r="U303" s="1730"/>
      <c r="V303" s="1730"/>
      <c r="W303" s="1730"/>
      <c r="X303" s="1903">
        <f t="shared" si="57"/>
        <v>0</v>
      </c>
      <c r="Y303" s="1733">
        <f t="shared" si="60"/>
        <v>0</v>
      </c>
      <c r="Z303" s="528"/>
      <c r="AA303" s="1620"/>
      <c r="AB303" s="1616"/>
      <c r="AC303" s="1616"/>
      <c r="AD303" s="1616"/>
      <c r="AE303" s="1616"/>
      <c r="AF303" s="1587"/>
      <c r="AG303" s="1588"/>
      <c r="AH303" s="1588"/>
      <c r="AI303" s="1588"/>
      <c r="AJ303" s="1628"/>
      <c r="AK303" s="1625">
        <f t="shared" si="61"/>
        <v>0</v>
      </c>
      <c r="AL303" s="1565">
        <f t="shared" si="62"/>
        <v>0</v>
      </c>
      <c r="AM303" s="1565">
        <f t="shared" si="63"/>
        <v>0</v>
      </c>
      <c r="AN303" s="1565">
        <f t="shared" si="64"/>
        <v>0</v>
      </c>
      <c r="AO303" s="1631">
        <f t="shared" si="65"/>
        <v>0</v>
      </c>
      <c r="AP303" s="1634"/>
      <c r="AQ303" s="1635"/>
      <c r="AR303" s="1662">
        <f t="shared" si="66"/>
        <v>0</v>
      </c>
      <c r="AS303" s="1675"/>
      <c r="AT303" s="1676"/>
      <c r="AU303" s="1679">
        <f t="shared" si="67"/>
        <v>0</v>
      </c>
      <c r="AV303" s="935"/>
      <c r="AW303" s="935"/>
      <c r="AX303" s="935"/>
      <c r="AY303" s="722"/>
      <c r="AZ303" s="722"/>
      <c r="BA303" s="722"/>
      <c r="BB303" s="722"/>
      <c r="BC303" s="722"/>
      <c r="BD303" s="722"/>
      <c r="BE303" s="706"/>
      <c r="BF303" s="706"/>
      <c r="BG303" s="694"/>
    </row>
    <row r="304" spans="1:59" ht="15.75" x14ac:dyDescent="0.25">
      <c r="A304" s="1883"/>
      <c r="B304" s="1748"/>
      <c r="C304" s="1884"/>
      <c r="D304" s="1884"/>
      <c r="E304" s="1726">
        <f t="shared" si="56"/>
        <v>0</v>
      </c>
      <c r="F304" s="1722"/>
      <c r="G304" s="1741"/>
      <c r="H304" s="1728"/>
      <c r="I304" s="1743"/>
      <c r="J304" s="1743"/>
      <c r="K304" s="1744"/>
      <c r="L304" s="1734">
        <f t="shared" si="58"/>
        <v>0</v>
      </c>
      <c r="M304" s="1735">
        <f t="shared" si="59"/>
        <v>0</v>
      </c>
      <c r="N304" s="1730"/>
      <c r="O304" s="1730"/>
      <c r="P304" s="1730"/>
      <c r="Q304" s="1730"/>
      <c r="R304" s="1730"/>
      <c r="S304" s="1730"/>
      <c r="T304" s="1730"/>
      <c r="U304" s="1730"/>
      <c r="V304" s="1730"/>
      <c r="W304" s="1730"/>
      <c r="X304" s="1903">
        <f t="shared" si="57"/>
        <v>0</v>
      </c>
      <c r="Y304" s="1733">
        <f t="shared" si="60"/>
        <v>0</v>
      </c>
      <c r="Z304" s="528"/>
      <c r="AA304" s="1620"/>
      <c r="AB304" s="1616"/>
      <c r="AC304" s="1616"/>
      <c r="AD304" s="1616"/>
      <c r="AE304" s="1616"/>
      <c r="AF304" s="1587"/>
      <c r="AG304" s="1588"/>
      <c r="AH304" s="1588"/>
      <c r="AI304" s="1588"/>
      <c r="AJ304" s="1628"/>
      <c r="AK304" s="1625">
        <f t="shared" si="61"/>
        <v>0</v>
      </c>
      <c r="AL304" s="1565">
        <f t="shared" si="62"/>
        <v>0</v>
      </c>
      <c r="AM304" s="1565">
        <f t="shared" si="63"/>
        <v>0</v>
      </c>
      <c r="AN304" s="1565">
        <f t="shared" si="64"/>
        <v>0</v>
      </c>
      <c r="AO304" s="1631">
        <f t="shared" si="65"/>
        <v>0</v>
      </c>
      <c r="AP304" s="1634"/>
      <c r="AQ304" s="1635"/>
      <c r="AR304" s="1662">
        <f t="shared" si="66"/>
        <v>0</v>
      </c>
      <c r="AS304" s="1675"/>
      <c r="AT304" s="1676"/>
      <c r="AU304" s="1679">
        <f t="shared" si="67"/>
        <v>0</v>
      </c>
      <c r="AV304" s="935"/>
      <c r="AW304" s="935"/>
      <c r="AX304" s="935"/>
      <c r="AY304" s="722"/>
      <c r="AZ304" s="722"/>
      <c r="BA304" s="722"/>
      <c r="BB304" s="722"/>
      <c r="BC304" s="722"/>
      <c r="BD304" s="722"/>
      <c r="BE304" s="706"/>
      <c r="BF304" s="706"/>
      <c r="BG304" s="694"/>
    </row>
    <row r="305" spans="1:59" ht="15.75" x14ac:dyDescent="0.25">
      <c r="A305" s="1883"/>
      <c r="B305" s="1748"/>
      <c r="C305" s="1884"/>
      <c r="D305" s="1884"/>
      <c r="E305" s="1726">
        <f t="shared" si="56"/>
        <v>0</v>
      </c>
      <c r="F305" s="1722"/>
      <c r="G305" s="1741"/>
      <c r="H305" s="1728"/>
      <c r="I305" s="1743"/>
      <c r="J305" s="1743"/>
      <c r="K305" s="1744"/>
      <c r="L305" s="1734">
        <f t="shared" si="58"/>
        <v>0</v>
      </c>
      <c r="M305" s="1735">
        <f t="shared" si="59"/>
        <v>0</v>
      </c>
      <c r="N305" s="1730"/>
      <c r="O305" s="1730"/>
      <c r="P305" s="1730"/>
      <c r="Q305" s="1730"/>
      <c r="R305" s="1730"/>
      <c r="S305" s="1730"/>
      <c r="T305" s="1730"/>
      <c r="U305" s="1730"/>
      <c r="V305" s="1730"/>
      <c r="W305" s="1730"/>
      <c r="X305" s="1903">
        <f t="shared" si="57"/>
        <v>0</v>
      </c>
      <c r="Y305" s="1733">
        <f t="shared" si="60"/>
        <v>0</v>
      </c>
      <c r="Z305" s="528"/>
      <c r="AA305" s="1620"/>
      <c r="AB305" s="1616"/>
      <c r="AC305" s="1616"/>
      <c r="AD305" s="1616"/>
      <c r="AE305" s="1616"/>
      <c r="AF305" s="1587"/>
      <c r="AG305" s="1588"/>
      <c r="AH305" s="1588"/>
      <c r="AI305" s="1588"/>
      <c r="AJ305" s="1628"/>
      <c r="AK305" s="1625">
        <f t="shared" si="61"/>
        <v>0</v>
      </c>
      <c r="AL305" s="1565">
        <f t="shared" si="62"/>
        <v>0</v>
      </c>
      <c r="AM305" s="1565">
        <f t="shared" si="63"/>
        <v>0</v>
      </c>
      <c r="AN305" s="1565">
        <f t="shared" si="64"/>
        <v>0</v>
      </c>
      <c r="AO305" s="1631">
        <f t="shared" si="65"/>
        <v>0</v>
      </c>
      <c r="AP305" s="1634"/>
      <c r="AQ305" s="1635"/>
      <c r="AR305" s="1662">
        <f t="shared" si="66"/>
        <v>0</v>
      </c>
      <c r="AS305" s="1675"/>
      <c r="AT305" s="1676"/>
      <c r="AU305" s="1679">
        <f t="shared" si="67"/>
        <v>0</v>
      </c>
      <c r="AV305" s="935"/>
      <c r="AW305" s="935"/>
      <c r="AX305" s="935"/>
      <c r="AY305" s="722"/>
      <c r="AZ305" s="722"/>
      <c r="BA305" s="722"/>
      <c r="BB305" s="722"/>
      <c r="BC305" s="722"/>
      <c r="BD305" s="722"/>
      <c r="BE305" s="706"/>
      <c r="BF305" s="706"/>
      <c r="BG305" s="694"/>
    </row>
    <row r="306" spans="1:59" ht="15.75" x14ac:dyDescent="0.25">
      <c r="A306" s="1883"/>
      <c r="B306" s="1748"/>
      <c r="C306" s="1884"/>
      <c r="D306" s="1884"/>
      <c r="E306" s="1726">
        <f t="shared" si="56"/>
        <v>0</v>
      </c>
      <c r="F306" s="1722"/>
      <c r="G306" s="1741"/>
      <c r="H306" s="1728"/>
      <c r="I306" s="1743"/>
      <c r="J306" s="1743"/>
      <c r="K306" s="1744"/>
      <c r="L306" s="1734">
        <f t="shared" si="58"/>
        <v>0</v>
      </c>
      <c r="M306" s="1735">
        <f t="shared" si="59"/>
        <v>0</v>
      </c>
      <c r="N306" s="1730"/>
      <c r="O306" s="1730"/>
      <c r="P306" s="1730"/>
      <c r="Q306" s="1730"/>
      <c r="R306" s="1730"/>
      <c r="S306" s="1730"/>
      <c r="T306" s="1730"/>
      <c r="U306" s="1730"/>
      <c r="V306" s="1730"/>
      <c r="W306" s="1730"/>
      <c r="X306" s="1903">
        <f t="shared" si="57"/>
        <v>0</v>
      </c>
      <c r="Y306" s="1733">
        <f t="shared" si="60"/>
        <v>0</v>
      </c>
      <c r="Z306" s="528"/>
      <c r="AA306" s="1620"/>
      <c r="AB306" s="1616"/>
      <c r="AC306" s="1616"/>
      <c r="AD306" s="1616"/>
      <c r="AE306" s="1616"/>
      <c r="AF306" s="1587"/>
      <c r="AG306" s="1588"/>
      <c r="AH306" s="1588"/>
      <c r="AI306" s="1588"/>
      <c r="AJ306" s="1628"/>
      <c r="AK306" s="1625">
        <f t="shared" si="61"/>
        <v>0</v>
      </c>
      <c r="AL306" s="1565">
        <f t="shared" si="62"/>
        <v>0</v>
      </c>
      <c r="AM306" s="1565">
        <f t="shared" si="63"/>
        <v>0</v>
      </c>
      <c r="AN306" s="1565">
        <f t="shared" si="64"/>
        <v>0</v>
      </c>
      <c r="AO306" s="1631">
        <f t="shared" si="65"/>
        <v>0</v>
      </c>
      <c r="AP306" s="1634"/>
      <c r="AQ306" s="1635"/>
      <c r="AR306" s="1662">
        <f t="shared" si="66"/>
        <v>0</v>
      </c>
      <c r="AS306" s="1675"/>
      <c r="AT306" s="1676"/>
      <c r="AU306" s="1679">
        <f t="shared" si="67"/>
        <v>0</v>
      </c>
      <c r="AV306" s="935"/>
      <c r="AW306" s="935"/>
      <c r="AX306" s="935"/>
      <c r="AY306" s="722"/>
      <c r="AZ306" s="722"/>
      <c r="BA306" s="722"/>
      <c r="BB306" s="722"/>
      <c r="BC306" s="722"/>
      <c r="BD306" s="722"/>
      <c r="BE306" s="706"/>
      <c r="BF306" s="706"/>
      <c r="BG306" s="694"/>
    </row>
    <row r="307" spans="1:59" ht="15.75" x14ac:dyDescent="0.25">
      <c r="A307" s="1883"/>
      <c r="B307" s="1748"/>
      <c r="C307" s="1884"/>
      <c r="D307" s="1884"/>
      <c r="E307" s="1726">
        <f t="shared" si="56"/>
        <v>0</v>
      </c>
      <c r="F307" s="1722"/>
      <c r="G307" s="1741"/>
      <c r="H307" s="1728"/>
      <c r="I307" s="1743"/>
      <c r="J307" s="1743"/>
      <c r="K307" s="1744"/>
      <c r="L307" s="1734">
        <f t="shared" si="58"/>
        <v>0</v>
      </c>
      <c r="M307" s="1735">
        <f t="shared" si="59"/>
        <v>0</v>
      </c>
      <c r="N307" s="1730"/>
      <c r="O307" s="1730"/>
      <c r="P307" s="1730"/>
      <c r="Q307" s="1730"/>
      <c r="R307" s="1730"/>
      <c r="S307" s="1730"/>
      <c r="T307" s="1730"/>
      <c r="U307" s="1730"/>
      <c r="V307" s="1730"/>
      <c r="W307" s="1730"/>
      <c r="X307" s="1903">
        <f t="shared" si="57"/>
        <v>0</v>
      </c>
      <c r="Y307" s="1733">
        <f t="shared" si="60"/>
        <v>0</v>
      </c>
      <c r="Z307" s="528"/>
      <c r="AA307" s="1620"/>
      <c r="AB307" s="1616"/>
      <c r="AC307" s="1616"/>
      <c r="AD307" s="1616"/>
      <c r="AE307" s="1616"/>
      <c r="AF307" s="1587"/>
      <c r="AG307" s="1588"/>
      <c r="AH307" s="1588"/>
      <c r="AI307" s="1588"/>
      <c r="AJ307" s="1628"/>
      <c r="AK307" s="1625">
        <f t="shared" si="61"/>
        <v>0</v>
      </c>
      <c r="AL307" s="1565">
        <f t="shared" si="62"/>
        <v>0</v>
      </c>
      <c r="AM307" s="1565">
        <f t="shared" si="63"/>
        <v>0</v>
      </c>
      <c r="AN307" s="1565">
        <f t="shared" si="64"/>
        <v>0</v>
      </c>
      <c r="AO307" s="1631">
        <f t="shared" si="65"/>
        <v>0</v>
      </c>
      <c r="AP307" s="1634"/>
      <c r="AQ307" s="1635"/>
      <c r="AR307" s="1662">
        <f t="shared" si="66"/>
        <v>0</v>
      </c>
      <c r="AS307" s="1675"/>
      <c r="AT307" s="1676"/>
      <c r="AU307" s="1679">
        <f t="shared" si="67"/>
        <v>0</v>
      </c>
      <c r="AV307" s="935"/>
      <c r="AW307" s="935"/>
      <c r="AX307" s="935"/>
      <c r="AY307" s="722"/>
      <c r="AZ307" s="722"/>
      <c r="BA307" s="722"/>
      <c r="BB307" s="722"/>
      <c r="BC307" s="722"/>
      <c r="BD307" s="722"/>
      <c r="BE307" s="706"/>
      <c r="BF307" s="706"/>
      <c r="BG307" s="694"/>
    </row>
    <row r="308" spans="1:59" ht="15.75" x14ac:dyDescent="0.25">
      <c r="A308" s="1883"/>
      <c r="B308" s="1748"/>
      <c r="C308" s="1884"/>
      <c r="D308" s="1884"/>
      <c r="E308" s="1726">
        <f t="shared" si="56"/>
        <v>0</v>
      </c>
      <c r="F308" s="1722"/>
      <c r="G308" s="1741"/>
      <c r="H308" s="1728"/>
      <c r="I308" s="1743"/>
      <c r="J308" s="1743"/>
      <c r="K308" s="1744"/>
      <c r="L308" s="1734">
        <f t="shared" si="58"/>
        <v>0</v>
      </c>
      <c r="M308" s="1735">
        <f t="shared" si="59"/>
        <v>0</v>
      </c>
      <c r="N308" s="1730"/>
      <c r="O308" s="1730"/>
      <c r="P308" s="1730"/>
      <c r="Q308" s="1730"/>
      <c r="R308" s="1730"/>
      <c r="S308" s="1730"/>
      <c r="T308" s="1730"/>
      <c r="U308" s="1730"/>
      <c r="V308" s="1730"/>
      <c r="W308" s="1730"/>
      <c r="X308" s="1903">
        <f t="shared" si="57"/>
        <v>0</v>
      </c>
      <c r="Y308" s="1733">
        <f t="shared" si="60"/>
        <v>0</v>
      </c>
      <c r="Z308" s="528"/>
      <c r="AA308" s="1620"/>
      <c r="AB308" s="1616"/>
      <c r="AC308" s="1616"/>
      <c r="AD308" s="1616"/>
      <c r="AE308" s="1616"/>
      <c r="AF308" s="1587"/>
      <c r="AG308" s="1588"/>
      <c r="AH308" s="1588"/>
      <c r="AI308" s="1588"/>
      <c r="AJ308" s="1628"/>
      <c r="AK308" s="1625">
        <f t="shared" si="61"/>
        <v>0</v>
      </c>
      <c r="AL308" s="1565">
        <f t="shared" si="62"/>
        <v>0</v>
      </c>
      <c r="AM308" s="1565">
        <f t="shared" si="63"/>
        <v>0</v>
      </c>
      <c r="AN308" s="1565">
        <f t="shared" si="64"/>
        <v>0</v>
      </c>
      <c r="AO308" s="1631">
        <f t="shared" si="65"/>
        <v>0</v>
      </c>
      <c r="AP308" s="1634"/>
      <c r="AQ308" s="1635"/>
      <c r="AR308" s="1662">
        <f t="shared" si="66"/>
        <v>0</v>
      </c>
      <c r="AS308" s="1675"/>
      <c r="AT308" s="1676"/>
      <c r="AU308" s="1679">
        <f t="shared" si="67"/>
        <v>0</v>
      </c>
      <c r="AV308" s="935"/>
      <c r="AW308" s="935"/>
      <c r="AX308" s="935"/>
      <c r="AY308" s="722"/>
      <c r="AZ308" s="722"/>
      <c r="BA308" s="722"/>
      <c r="BB308" s="722"/>
      <c r="BC308" s="722"/>
      <c r="BD308" s="722"/>
      <c r="BE308" s="706"/>
      <c r="BF308" s="706"/>
      <c r="BG308" s="694"/>
    </row>
    <row r="309" spans="1:59" ht="15.75" x14ac:dyDescent="0.25">
      <c r="A309" s="1883"/>
      <c r="B309" s="1748"/>
      <c r="C309" s="1884"/>
      <c r="D309" s="1884"/>
      <c r="E309" s="1726">
        <f t="shared" si="56"/>
        <v>0</v>
      </c>
      <c r="F309" s="1722"/>
      <c r="G309" s="1741"/>
      <c r="H309" s="1728"/>
      <c r="I309" s="1743"/>
      <c r="J309" s="1743"/>
      <c r="K309" s="1744"/>
      <c r="L309" s="1734">
        <f t="shared" si="58"/>
        <v>0</v>
      </c>
      <c r="M309" s="1735">
        <f t="shared" si="59"/>
        <v>0</v>
      </c>
      <c r="N309" s="1730"/>
      <c r="O309" s="1730"/>
      <c r="P309" s="1730"/>
      <c r="Q309" s="1730"/>
      <c r="R309" s="1730"/>
      <c r="S309" s="1730"/>
      <c r="T309" s="1730"/>
      <c r="U309" s="1730"/>
      <c r="V309" s="1730"/>
      <c r="W309" s="1730"/>
      <c r="X309" s="1903">
        <f t="shared" si="57"/>
        <v>0</v>
      </c>
      <c r="Y309" s="1733">
        <f t="shared" si="60"/>
        <v>0</v>
      </c>
      <c r="Z309" s="528"/>
      <c r="AA309" s="1620"/>
      <c r="AB309" s="1616"/>
      <c r="AC309" s="1616"/>
      <c r="AD309" s="1616"/>
      <c r="AE309" s="1616"/>
      <c r="AF309" s="1587"/>
      <c r="AG309" s="1588"/>
      <c r="AH309" s="1588"/>
      <c r="AI309" s="1588"/>
      <c r="AJ309" s="1628"/>
      <c r="AK309" s="1625">
        <f t="shared" si="61"/>
        <v>0</v>
      </c>
      <c r="AL309" s="1565">
        <f t="shared" si="62"/>
        <v>0</v>
      </c>
      <c r="AM309" s="1565">
        <f t="shared" si="63"/>
        <v>0</v>
      </c>
      <c r="AN309" s="1565">
        <f t="shared" si="64"/>
        <v>0</v>
      </c>
      <c r="AO309" s="1631">
        <f t="shared" si="65"/>
        <v>0</v>
      </c>
      <c r="AP309" s="1634"/>
      <c r="AQ309" s="1635"/>
      <c r="AR309" s="1662">
        <f t="shared" si="66"/>
        <v>0</v>
      </c>
      <c r="AS309" s="1675"/>
      <c r="AT309" s="1676"/>
      <c r="AU309" s="1679">
        <f t="shared" si="67"/>
        <v>0</v>
      </c>
      <c r="AV309" s="935"/>
      <c r="AW309" s="935"/>
      <c r="AX309" s="935"/>
      <c r="AY309" s="722"/>
      <c r="AZ309" s="722"/>
      <c r="BA309" s="722"/>
      <c r="BB309" s="722"/>
      <c r="BC309" s="722"/>
      <c r="BD309" s="722"/>
      <c r="BE309" s="706"/>
      <c r="BF309" s="706"/>
      <c r="BG309" s="694"/>
    </row>
    <row r="310" spans="1:59" ht="15.75" x14ac:dyDescent="0.25">
      <c r="A310" s="1883"/>
      <c r="B310" s="1748"/>
      <c r="C310" s="1884"/>
      <c r="D310" s="1884"/>
      <c r="E310" s="1726">
        <f t="shared" si="56"/>
        <v>0</v>
      </c>
      <c r="F310" s="1722"/>
      <c r="G310" s="1741"/>
      <c r="H310" s="1728"/>
      <c r="I310" s="1743"/>
      <c r="J310" s="1743"/>
      <c r="K310" s="1744"/>
      <c r="L310" s="1734">
        <f t="shared" si="58"/>
        <v>0</v>
      </c>
      <c r="M310" s="1735">
        <f t="shared" si="59"/>
        <v>0</v>
      </c>
      <c r="N310" s="1730"/>
      <c r="O310" s="1730"/>
      <c r="P310" s="1730"/>
      <c r="Q310" s="1730"/>
      <c r="R310" s="1730"/>
      <c r="S310" s="1730"/>
      <c r="T310" s="1730"/>
      <c r="U310" s="1730"/>
      <c r="V310" s="1730"/>
      <c r="W310" s="1730"/>
      <c r="X310" s="1903">
        <f t="shared" si="57"/>
        <v>0</v>
      </c>
      <c r="Y310" s="1733">
        <f t="shared" si="60"/>
        <v>0</v>
      </c>
      <c r="Z310" s="528"/>
      <c r="AA310" s="1620"/>
      <c r="AB310" s="1616"/>
      <c r="AC310" s="1616"/>
      <c r="AD310" s="1616"/>
      <c r="AE310" s="1616"/>
      <c r="AF310" s="1587"/>
      <c r="AG310" s="1588"/>
      <c r="AH310" s="1588"/>
      <c r="AI310" s="1588"/>
      <c r="AJ310" s="1628"/>
      <c r="AK310" s="1625">
        <f t="shared" si="61"/>
        <v>0</v>
      </c>
      <c r="AL310" s="1565">
        <f t="shared" si="62"/>
        <v>0</v>
      </c>
      <c r="AM310" s="1565">
        <f t="shared" si="63"/>
        <v>0</v>
      </c>
      <c r="AN310" s="1565">
        <f t="shared" si="64"/>
        <v>0</v>
      </c>
      <c r="AO310" s="1631">
        <f t="shared" si="65"/>
        <v>0</v>
      </c>
      <c r="AP310" s="1634"/>
      <c r="AQ310" s="1635"/>
      <c r="AR310" s="1662">
        <f t="shared" si="66"/>
        <v>0</v>
      </c>
      <c r="AS310" s="1675"/>
      <c r="AT310" s="1676"/>
      <c r="AU310" s="1679">
        <f t="shared" si="67"/>
        <v>0</v>
      </c>
      <c r="AV310" s="935"/>
      <c r="AW310" s="935"/>
      <c r="AX310" s="935"/>
      <c r="AY310" s="722"/>
      <c r="AZ310" s="722"/>
      <c r="BA310" s="722"/>
      <c r="BB310" s="722"/>
      <c r="BC310" s="722"/>
      <c r="BD310" s="722"/>
      <c r="BE310" s="706"/>
      <c r="BF310" s="706"/>
      <c r="BG310" s="694"/>
    </row>
    <row r="311" spans="1:59" ht="15.75" x14ac:dyDescent="0.25">
      <c r="A311" s="1883"/>
      <c r="B311" s="1748"/>
      <c r="C311" s="1884"/>
      <c r="D311" s="1884"/>
      <c r="E311" s="1726">
        <f t="shared" si="56"/>
        <v>0</v>
      </c>
      <c r="F311" s="1722"/>
      <c r="G311" s="1741"/>
      <c r="H311" s="1728"/>
      <c r="I311" s="1743"/>
      <c r="J311" s="1743"/>
      <c r="K311" s="1744"/>
      <c r="L311" s="1734">
        <f t="shared" si="58"/>
        <v>0</v>
      </c>
      <c r="M311" s="1735">
        <f t="shared" si="59"/>
        <v>0</v>
      </c>
      <c r="N311" s="1730"/>
      <c r="O311" s="1730"/>
      <c r="P311" s="1730"/>
      <c r="Q311" s="1730"/>
      <c r="R311" s="1730"/>
      <c r="S311" s="1730"/>
      <c r="T311" s="1730"/>
      <c r="U311" s="1730"/>
      <c r="V311" s="1730"/>
      <c r="W311" s="1730"/>
      <c r="X311" s="1903">
        <f t="shared" si="57"/>
        <v>0</v>
      </c>
      <c r="Y311" s="1733">
        <f t="shared" si="60"/>
        <v>0</v>
      </c>
      <c r="Z311" s="528"/>
      <c r="AA311" s="1620"/>
      <c r="AB311" s="1616"/>
      <c r="AC311" s="1616"/>
      <c r="AD311" s="1616"/>
      <c r="AE311" s="1616"/>
      <c r="AF311" s="1587"/>
      <c r="AG311" s="1588"/>
      <c r="AH311" s="1588"/>
      <c r="AI311" s="1588"/>
      <c r="AJ311" s="1628"/>
      <c r="AK311" s="1625">
        <f t="shared" si="61"/>
        <v>0</v>
      </c>
      <c r="AL311" s="1565">
        <f t="shared" si="62"/>
        <v>0</v>
      </c>
      <c r="AM311" s="1565">
        <f t="shared" si="63"/>
        <v>0</v>
      </c>
      <c r="AN311" s="1565">
        <f t="shared" si="64"/>
        <v>0</v>
      </c>
      <c r="AO311" s="1631">
        <f t="shared" si="65"/>
        <v>0</v>
      </c>
      <c r="AP311" s="1634"/>
      <c r="AQ311" s="1635"/>
      <c r="AR311" s="1662">
        <f t="shared" si="66"/>
        <v>0</v>
      </c>
      <c r="AS311" s="1675"/>
      <c r="AT311" s="1676"/>
      <c r="AU311" s="1679">
        <f t="shared" si="67"/>
        <v>0</v>
      </c>
      <c r="AV311" s="935"/>
      <c r="AW311" s="935"/>
      <c r="AX311" s="935"/>
      <c r="AY311" s="722"/>
      <c r="AZ311" s="722"/>
      <c r="BA311" s="722"/>
      <c r="BB311" s="722"/>
      <c r="BC311" s="722"/>
      <c r="BD311" s="722"/>
      <c r="BE311" s="706"/>
      <c r="BF311" s="706"/>
      <c r="BG311" s="694"/>
    </row>
    <row r="312" spans="1:59" ht="15.75" x14ac:dyDescent="0.25">
      <c r="A312" s="1883"/>
      <c r="B312" s="1748"/>
      <c r="C312" s="1884"/>
      <c r="D312" s="1884"/>
      <c r="E312" s="1726">
        <f t="shared" si="56"/>
        <v>0</v>
      </c>
      <c r="F312" s="1722"/>
      <c r="G312" s="1741"/>
      <c r="H312" s="1728"/>
      <c r="I312" s="1743"/>
      <c r="J312" s="1743"/>
      <c r="K312" s="1744"/>
      <c r="L312" s="1734">
        <f t="shared" si="58"/>
        <v>0</v>
      </c>
      <c r="M312" s="1735">
        <f t="shared" si="59"/>
        <v>0</v>
      </c>
      <c r="N312" s="1730"/>
      <c r="O312" s="1730"/>
      <c r="P312" s="1730"/>
      <c r="Q312" s="1730"/>
      <c r="R312" s="1730"/>
      <c r="S312" s="1730"/>
      <c r="T312" s="1730"/>
      <c r="U312" s="1730"/>
      <c r="V312" s="1730"/>
      <c r="W312" s="1730"/>
      <c r="X312" s="1903">
        <f t="shared" si="57"/>
        <v>0</v>
      </c>
      <c r="Y312" s="1733">
        <f t="shared" si="60"/>
        <v>0</v>
      </c>
      <c r="Z312" s="528"/>
      <c r="AA312" s="1620"/>
      <c r="AB312" s="1616"/>
      <c r="AC312" s="1616"/>
      <c r="AD312" s="1616"/>
      <c r="AE312" s="1616"/>
      <c r="AF312" s="1587"/>
      <c r="AG312" s="1588"/>
      <c r="AH312" s="1588"/>
      <c r="AI312" s="1588"/>
      <c r="AJ312" s="1628"/>
      <c r="AK312" s="1625">
        <f t="shared" si="61"/>
        <v>0</v>
      </c>
      <c r="AL312" s="1565">
        <f t="shared" si="62"/>
        <v>0</v>
      </c>
      <c r="AM312" s="1565">
        <f t="shared" si="63"/>
        <v>0</v>
      </c>
      <c r="AN312" s="1565">
        <f t="shared" si="64"/>
        <v>0</v>
      </c>
      <c r="AO312" s="1631">
        <f t="shared" si="65"/>
        <v>0</v>
      </c>
      <c r="AP312" s="1634"/>
      <c r="AQ312" s="1635"/>
      <c r="AR312" s="1662">
        <f t="shared" si="66"/>
        <v>0</v>
      </c>
      <c r="AS312" s="1675"/>
      <c r="AT312" s="1676"/>
      <c r="AU312" s="1679">
        <f t="shared" si="67"/>
        <v>0</v>
      </c>
      <c r="AV312" s="935"/>
      <c r="AW312" s="935"/>
      <c r="AX312" s="935"/>
      <c r="AY312" s="722"/>
      <c r="AZ312" s="722"/>
      <c r="BA312" s="722"/>
      <c r="BB312" s="722"/>
      <c r="BC312" s="722"/>
      <c r="BD312" s="722"/>
      <c r="BE312" s="706"/>
      <c r="BF312" s="706"/>
      <c r="BG312" s="694"/>
    </row>
    <row r="313" spans="1:59" ht="15.75" x14ac:dyDescent="0.25">
      <c r="A313" s="1883"/>
      <c r="B313" s="1748"/>
      <c r="C313" s="1884"/>
      <c r="D313" s="1884"/>
      <c r="E313" s="1726">
        <f t="shared" si="56"/>
        <v>0</v>
      </c>
      <c r="F313" s="1722"/>
      <c r="G313" s="1741"/>
      <c r="H313" s="1728"/>
      <c r="I313" s="1743"/>
      <c r="J313" s="1743"/>
      <c r="K313" s="1744"/>
      <c r="L313" s="1734">
        <f t="shared" si="58"/>
        <v>0</v>
      </c>
      <c r="M313" s="1735">
        <f t="shared" si="59"/>
        <v>0</v>
      </c>
      <c r="N313" s="1730"/>
      <c r="O313" s="1730"/>
      <c r="P313" s="1730"/>
      <c r="Q313" s="1730"/>
      <c r="R313" s="1730"/>
      <c r="S313" s="1730"/>
      <c r="T313" s="1730"/>
      <c r="U313" s="1730"/>
      <c r="V313" s="1730"/>
      <c r="W313" s="1730"/>
      <c r="X313" s="1903">
        <f t="shared" si="57"/>
        <v>0</v>
      </c>
      <c r="Y313" s="1733">
        <f t="shared" si="60"/>
        <v>0</v>
      </c>
      <c r="Z313" s="528"/>
      <c r="AA313" s="1620"/>
      <c r="AB313" s="1616"/>
      <c r="AC313" s="1616"/>
      <c r="AD313" s="1616"/>
      <c r="AE313" s="1616"/>
      <c r="AF313" s="1587"/>
      <c r="AG313" s="1588"/>
      <c r="AH313" s="1588"/>
      <c r="AI313" s="1588"/>
      <c r="AJ313" s="1628"/>
      <c r="AK313" s="1625">
        <f t="shared" si="61"/>
        <v>0</v>
      </c>
      <c r="AL313" s="1565">
        <f t="shared" si="62"/>
        <v>0</v>
      </c>
      <c r="AM313" s="1565">
        <f t="shared" si="63"/>
        <v>0</v>
      </c>
      <c r="AN313" s="1565">
        <f t="shared" si="64"/>
        <v>0</v>
      </c>
      <c r="AO313" s="1631">
        <f t="shared" si="65"/>
        <v>0</v>
      </c>
      <c r="AP313" s="1634"/>
      <c r="AQ313" s="1635"/>
      <c r="AR313" s="1662">
        <f t="shared" si="66"/>
        <v>0</v>
      </c>
      <c r="AS313" s="1675"/>
      <c r="AT313" s="1676"/>
      <c r="AU313" s="1679">
        <f t="shared" si="67"/>
        <v>0</v>
      </c>
      <c r="AV313" s="935"/>
      <c r="AW313" s="935"/>
      <c r="AX313" s="935"/>
      <c r="AY313" s="722"/>
      <c r="AZ313" s="722"/>
      <c r="BA313" s="722"/>
      <c r="BB313" s="722"/>
      <c r="BC313" s="722"/>
      <c r="BD313" s="722"/>
      <c r="BE313" s="706"/>
      <c r="BF313" s="706"/>
      <c r="BG313" s="694"/>
    </row>
    <row r="314" spans="1:59" ht="15.75" x14ac:dyDescent="0.25">
      <c r="A314" s="1883"/>
      <c r="B314" s="1748"/>
      <c r="C314" s="1884"/>
      <c r="D314" s="1884"/>
      <c r="E314" s="1726">
        <f t="shared" si="56"/>
        <v>0</v>
      </c>
      <c r="F314" s="1722"/>
      <c r="G314" s="1741"/>
      <c r="H314" s="1728"/>
      <c r="I314" s="1743"/>
      <c r="J314" s="1743"/>
      <c r="K314" s="1744"/>
      <c r="L314" s="1734">
        <f t="shared" si="58"/>
        <v>0</v>
      </c>
      <c r="M314" s="1735">
        <f t="shared" si="59"/>
        <v>0</v>
      </c>
      <c r="N314" s="1730"/>
      <c r="O314" s="1730"/>
      <c r="P314" s="1730"/>
      <c r="Q314" s="1730"/>
      <c r="R314" s="1730"/>
      <c r="S314" s="1730"/>
      <c r="T314" s="1730"/>
      <c r="U314" s="1730"/>
      <c r="V314" s="1730"/>
      <c r="W314" s="1730"/>
      <c r="X314" s="1903">
        <f t="shared" si="57"/>
        <v>0</v>
      </c>
      <c r="Y314" s="1733">
        <f t="shared" si="60"/>
        <v>0</v>
      </c>
      <c r="Z314" s="528"/>
      <c r="AA314" s="1620"/>
      <c r="AB314" s="1616"/>
      <c r="AC314" s="1616"/>
      <c r="AD314" s="1616"/>
      <c r="AE314" s="1616"/>
      <c r="AF314" s="1587"/>
      <c r="AG314" s="1588"/>
      <c r="AH314" s="1588"/>
      <c r="AI314" s="1588"/>
      <c r="AJ314" s="1628"/>
      <c r="AK314" s="1625">
        <f t="shared" si="61"/>
        <v>0</v>
      </c>
      <c r="AL314" s="1565">
        <f t="shared" si="62"/>
        <v>0</v>
      </c>
      <c r="AM314" s="1565">
        <f t="shared" si="63"/>
        <v>0</v>
      </c>
      <c r="AN314" s="1565">
        <f t="shared" si="64"/>
        <v>0</v>
      </c>
      <c r="AO314" s="1631">
        <f t="shared" si="65"/>
        <v>0</v>
      </c>
      <c r="AP314" s="1634"/>
      <c r="AQ314" s="1635"/>
      <c r="AR314" s="1662">
        <f t="shared" si="66"/>
        <v>0</v>
      </c>
      <c r="AS314" s="1675"/>
      <c r="AT314" s="1676"/>
      <c r="AU314" s="1679">
        <f t="shared" si="67"/>
        <v>0</v>
      </c>
      <c r="AV314" s="935"/>
      <c r="AW314" s="935"/>
      <c r="AX314" s="935"/>
      <c r="AY314" s="722"/>
      <c r="AZ314" s="722"/>
      <c r="BA314" s="722"/>
      <c r="BB314" s="722"/>
      <c r="BC314" s="722"/>
      <c r="BD314" s="722"/>
      <c r="BE314" s="706"/>
      <c r="BF314" s="706"/>
      <c r="BG314" s="694"/>
    </row>
    <row r="315" spans="1:59" ht="15.75" x14ac:dyDescent="0.25">
      <c r="A315" s="1883"/>
      <c r="B315" s="1748"/>
      <c r="C315" s="1884"/>
      <c r="D315" s="1884"/>
      <c r="E315" s="1726">
        <f t="shared" si="56"/>
        <v>0</v>
      </c>
      <c r="F315" s="1722"/>
      <c r="G315" s="1741"/>
      <c r="H315" s="1728"/>
      <c r="I315" s="1743"/>
      <c r="J315" s="1743"/>
      <c r="K315" s="1744"/>
      <c r="L315" s="1734">
        <f t="shared" si="58"/>
        <v>0</v>
      </c>
      <c r="M315" s="1735">
        <f t="shared" si="59"/>
        <v>0</v>
      </c>
      <c r="N315" s="1730"/>
      <c r="O315" s="1730"/>
      <c r="P315" s="1730"/>
      <c r="Q315" s="1730"/>
      <c r="R315" s="1730"/>
      <c r="S315" s="1730"/>
      <c r="T315" s="1730"/>
      <c r="U315" s="1730"/>
      <c r="V315" s="1730"/>
      <c r="W315" s="1730"/>
      <c r="X315" s="1903">
        <f t="shared" si="57"/>
        <v>0</v>
      </c>
      <c r="Y315" s="1733">
        <f t="shared" si="60"/>
        <v>0</v>
      </c>
      <c r="Z315" s="528"/>
      <c r="AA315" s="1620"/>
      <c r="AB315" s="1616"/>
      <c r="AC315" s="1616"/>
      <c r="AD315" s="1616"/>
      <c r="AE315" s="1616"/>
      <c r="AF315" s="1587"/>
      <c r="AG315" s="1588"/>
      <c r="AH315" s="1588"/>
      <c r="AI315" s="1588"/>
      <c r="AJ315" s="1628"/>
      <c r="AK315" s="1625">
        <f t="shared" si="61"/>
        <v>0</v>
      </c>
      <c r="AL315" s="1565">
        <f t="shared" si="62"/>
        <v>0</v>
      </c>
      <c r="AM315" s="1565">
        <f t="shared" si="63"/>
        <v>0</v>
      </c>
      <c r="AN315" s="1565">
        <f t="shared" si="64"/>
        <v>0</v>
      </c>
      <c r="AO315" s="1631">
        <f t="shared" si="65"/>
        <v>0</v>
      </c>
      <c r="AP315" s="1634"/>
      <c r="AQ315" s="1635"/>
      <c r="AR315" s="1662">
        <f t="shared" si="66"/>
        <v>0</v>
      </c>
      <c r="AS315" s="1675"/>
      <c r="AT315" s="1676"/>
      <c r="AU315" s="1679">
        <f t="shared" si="67"/>
        <v>0</v>
      </c>
      <c r="AV315" s="935"/>
      <c r="AW315" s="935"/>
      <c r="AX315" s="935"/>
      <c r="AY315" s="722"/>
      <c r="AZ315" s="722"/>
      <c r="BA315" s="722"/>
      <c r="BB315" s="722"/>
      <c r="BC315" s="722"/>
      <c r="BD315" s="722"/>
      <c r="BE315" s="706"/>
      <c r="BF315" s="706"/>
      <c r="BG315" s="694"/>
    </row>
    <row r="316" spans="1:59" ht="15.75" x14ac:dyDescent="0.25">
      <c r="A316" s="1883"/>
      <c r="B316" s="1748"/>
      <c r="C316" s="1884"/>
      <c r="D316" s="1884"/>
      <c r="E316" s="1726">
        <f t="shared" si="56"/>
        <v>0</v>
      </c>
      <c r="F316" s="1722"/>
      <c r="G316" s="1741"/>
      <c r="H316" s="1728"/>
      <c r="I316" s="1743"/>
      <c r="J316" s="1743"/>
      <c r="K316" s="1744"/>
      <c r="L316" s="1734">
        <f t="shared" si="58"/>
        <v>0</v>
      </c>
      <c r="M316" s="1735">
        <f t="shared" si="59"/>
        <v>0</v>
      </c>
      <c r="N316" s="1730"/>
      <c r="O316" s="1730"/>
      <c r="P316" s="1730"/>
      <c r="Q316" s="1730"/>
      <c r="R316" s="1730"/>
      <c r="S316" s="1730"/>
      <c r="T316" s="1730"/>
      <c r="U316" s="1730"/>
      <c r="V316" s="1730"/>
      <c r="W316" s="1730"/>
      <c r="X316" s="1903">
        <f t="shared" si="57"/>
        <v>0</v>
      </c>
      <c r="Y316" s="1733">
        <f t="shared" si="60"/>
        <v>0</v>
      </c>
      <c r="Z316" s="528"/>
      <c r="AA316" s="1620"/>
      <c r="AB316" s="1616"/>
      <c r="AC316" s="1616"/>
      <c r="AD316" s="1616"/>
      <c r="AE316" s="1616"/>
      <c r="AF316" s="1587"/>
      <c r="AG316" s="1588"/>
      <c r="AH316" s="1588"/>
      <c r="AI316" s="1588"/>
      <c r="AJ316" s="1628"/>
      <c r="AK316" s="1625">
        <f t="shared" si="61"/>
        <v>0</v>
      </c>
      <c r="AL316" s="1565">
        <f t="shared" si="62"/>
        <v>0</v>
      </c>
      <c r="AM316" s="1565">
        <f t="shared" si="63"/>
        <v>0</v>
      </c>
      <c r="AN316" s="1565">
        <f t="shared" si="64"/>
        <v>0</v>
      </c>
      <c r="AO316" s="1631">
        <f t="shared" si="65"/>
        <v>0</v>
      </c>
      <c r="AP316" s="1634"/>
      <c r="AQ316" s="1635"/>
      <c r="AR316" s="1662">
        <f t="shared" si="66"/>
        <v>0</v>
      </c>
      <c r="AS316" s="1675"/>
      <c r="AT316" s="1676"/>
      <c r="AU316" s="1679">
        <f t="shared" si="67"/>
        <v>0</v>
      </c>
      <c r="AV316" s="935"/>
      <c r="AW316" s="935"/>
      <c r="AX316" s="935"/>
      <c r="AY316" s="722"/>
      <c r="AZ316" s="722"/>
      <c r="BA316" s="722"/>
      <c r="BB316" s="722"/>
      <c r="BC316" s="722"/>
      <c r="BD316" s="722"/>
      <c r="BE316" s="706"/>
      <c r="BF316" s="706"/>
      <c r="BG316" s="694"/>
    </row>
    <row r="317" spans="1:59" ht="15.75" x14ac:dyDescent="0.25">
      <c r="A317" s="1883"/>
      <c r="B317" s="1748"/>
      <c r="C317" s="1884"/>
      <c r="D317" s="1884"/>
      <c r="E317" s="1726">
        <f t="shared" si="56"/>
        <v>0</v>
      </c>
      <c r="F317" s="1722"/>
      <c r="G317" s="1741"/>
      <c r="H317" s="1728"/>
      <c r="I317" s="1743"/>
      <c r="J317" s="1743"/>
      <c r="K317" s="1744"/>
      <c r="L317" s="1734">
        <f t="shared" si="58"/>
        <v>0</v>
      </c>
      <c r="M317" s="1735">
        <f t="shared" si="59"/>
        <v>0</v>
      </c>
      <c r="N317" s="1730"/>
      <c r="O317" s="1730"/>
      <c r="P317" s="1730"/>
      <c r="Q317" s="1730"/>
      <c r="R317" s="1730"/>
      <c r="S317" s="1730"/>
      <c r="T317" s="1730"/>
      <c r="U317" s="1730"/>
      <c r="V317" s="1730"/>
      <c r="W317" s="1730"/>
      <c r="X317" s="1903">
        <f t="shared" si="57"/>
        <v>0</v>
      </c>
      <c r="Y317" s="1733">
        <f t="shared" si="60"/>
        <v>0</v>
      </c>
      <c r="Z317" s="528"/>
      <c r="AA317" s="1620"/>
      <c r="AB317" s="1616"/>
      <c r="AC317" s="1616"/>
      <c r="AD317" s="1616"/>
      <c r="AE317" s="1616"/>
      <c r="AF317" s="1587"/>
      <c r="AG317" s="1588"/>
      <c r="AH317" s="1588"/>
      <c r="AI317" s="1588"/>
      <c r="AJ317" s="1628"/>
      <c r="AK317" s="1625">
        <f t="shared" si="61"/>
        <v>0</v>
      </c>
      <c r="AL317" s="1565">
        <f t="shared" si="62"/>
        <v>0</v>
      </c>
      <c r="AM317" s="1565">
        <f t="shared" si="63"/>
        <v>0</v>
      </c>
      <c r="AN317" s="1565">
        <f t="shared" si="64"/>
        <v>0</v>
      </c>
      <c r="AO317" s="1631">
        <f t="shared" si="65"/>
        <v>0</v>
      </c>
      <c r="AP317" s="1634"/>
      <c r="AQ317" s="1635"/>
      <c r="AR317" s="1662">
        <f t="shared" si="66"/>
        <v>0</v>
      </c>
      <c r="AS317" s="1675"/>
      <c r="AT317" s="1676"/>
      <c r="AU317" s="1679">
        <f t="shared" si="67"/>
        <v>0</v>
      </c>
      <c r="AV317" s="935"/>
      <c r="AW317" s="935"/>
      <c r="AX317" s="935"/>
      <c r="AY317" s="722"/>
      <c r="AZ317" s="722"/>
      <c r="BA317" s="722"/>
      <c r="BB317" s="722"/>
      <c r="BC317" s="722"/>
      <c r="BD317" s="722"/>
      <c r="BE317" s="706"/>
      <c r="BF317" s="706"/>
      <c r="BG317" s="694"/>
    </row>
    <row r="318" spans="1:59" ht="15.75" x14ac:dyDescent="0.25">
      <c r="A318" s="1883"/>
      <c r="B318" s="1748"/>
      <c r="C318" s="1884"/>
      <c r="D318" s="1884"/>
      <c r="E318" s="1726">
        <f t="shared" si="56"/>
        <v>0</v>
      </c>
      <c r="F318" s="1722"/>
      <c r="G318" s="1741"/>
      <c r="H318" s="1728"/>
      <c r="I318" s="1743"/>
      <c r="J318" s="1743"/>
      <c r="K318" s="1744"/>
      <c r="L318" s="1734">
        <f t="shared" si="58"/>
        <v>0</v>
      </c>
      <c r="M318" s="1735">
        <f t="shared" si="59"/>
        <v>0</v>
      </c>
      <c r="N318" s="1730"/>
      <c r="O318" s="1730"/>
      <c r="P318" s="1730"/>
      <c r="Q318" s="1730"/>
      <c r="R318" s="1730"/>
      <c r="S318" s="1730"/>
      <c r="T318" s="1730"/>
      <c r="U318" s="1730"/>
      <c r="V318" s="1730"/>
      <c r="W318" s="1730"/>
      <c r="X318" s="1903">
        <f t="shared" si="57"/>
        <v>0</v>
      </c>
      <c r="Y318" s="1733">
        <f t="shared" si="60"/>
        <v>0</v>
      </c>
      <c r="Z318" s="528"/>
      <c r="AA318" s="1620"/>
      <c r="AB318" s="1616"/>
      <c r="AC318" s="1616"/>
      <c r="AD318" s="1616"/>
      <c r="AE318" s="1616"/>
      <c r="AF318" s="1587"/>
      <c r="AG318" s="1588"/>
      <c r="AH318" s="1588"/>
      <c r="AI318" s="1588"/>
      <c r="AJ318" s="1628"/>
      <c r="AK318" s="1625">
        <f t="shared" si="61"/>
        <v>0</v>
      </c>
      <c r="AL318" s="1565">
        <f t="shared" si="62"/>
        <v>0</v>
      </c>
      <c r="AM318" s="1565">
        <f t="shared" si="63"/>
        <v>0</v>
      </c>
      <c r="AN318" s="1565">
        <f t="shared" si="64"/>
        <v>0</v>
      </c>
      <c r="AO318" s="1631">
        <f t="shared" si="65"/>
        <v>0</v>
      </c>
      <c r="AP318" s="1634"/>
      <c r="AQ318" s="1635"/>
      <c r="AR318" s="1662">
        <f t="shared" si="66"/>
        <v>0</v>
      </c>
      <c r="AS318" s="1675"/>
      <c r="AT318" s="1676"/>
      <c r="AU318" s="1679">
        <f t="shared" si="67"/>
        <v>0</v>
      </c>
      <c r="AV318" s="935"/>
      <c r="AW318" s="935"/>
      <c r="AX318" s="935"/>
      <c r="AY318" s="722"/>
      <c r="AZ318" s="722"/>
      <c r="BA318" s="722"/>
      <c r="BB318" s="722"/>
      <c r="BC318" s="722"/>
      <c r="BD318" s="722"/>
      <c r="BE318" s="706"/>
      <c r="BF318" s="706"/>
      <c r="BG318" s="694"/>
    </row>
    <row r="319" spans="1:59" ht="15.75" x14ac:dyDescent="0.25">
      <c r="A319" s="1883"/>
      <c r="B319" s="1748"/>
      <c r="C319" s="1884"/>
      <c r="D319" s="1884"/>
      <c r="E319" s="1726">
        <f t="shared" si="56"/>
        <v>0</v>
      </c>
      <c r="F319" s="1722"/>
      <c r="G319" s="1741"/>
      <c r="H319" s="1728"/>
      <c r="I319" s="1743"/>
      <c r="J319" s="1743"/>
      <c r="K319" s="1744"/>
      <c r="L319" s="1734">
        <f t="shared" si="58"/>
        <v>0</v>
      </c>
      <c r="M319" s="1735">
        <f t="shared" si="59"/>
        <v>0</v>
      </c>
      <c r="N319" s="1730"/>
      <c r="O319" s="1730"/>
      <c r="P319" s="1730"/>
      <c r="Q319" s="1730"/>
      <c r="R319" s="1730"/>
      <c r="S319" s="1730"/>
      <c r="T319" s="1730"/>
      <c r="U319" s="1730"/>
      <c r="V319" s="1730"/>
      <c r="W319" s="1730"/>
      <c r="X319" s="1903">
        <f t="shared" si="57"/>
        <v>0</v>
      </c>
      <c r="Y319" s="1733">
        <f t="shared" si="60"/>
        <v>0</v>
      </c>
      <c r="Z319" s="528"/>
      <c r="AA319" s="1620"/>
      <c r="AB319" s="1616"/>
      <c r="AC319" s="1616"/>
      <c r="AD319" s="1616"/>
      <c r="AE319" s="1616"/>
      <c r="AF319" s="1587"/>
      <c r="AG319" s="1588"/>
      <c r="AH319" s="1588"/>
      <c r="AI319" s="1588"/>
      <c r="AJ319" s="1628"/>
      <c r="AK319" s="1625">
        <f t="shared" si="61"/>
        <v>0</v>
      </c>
      <c r="AL319" s="1565">
        <f t="shared" si="62"/>
        <v>0</v>
      </c>
      <c r="AM319" s="1565">
        <f t="shared" si="63"/>
        <v>0</v>
      </c>
      <c r="AN319" s="1565">
        <f t="shared" si="64"/>
        <v>0</v>
      </c>
      <c r="AO319" s="1631">
        <f t="shared" si="65"/>
        <v>0</v>
      </c>
      <c r="AP319" s="1634"/>
      <c r="AQ319" s="1635"/>
      <c r="AR319" s="1662">
        <f t="shared" si="66"/>
        <v>0</v>
      </c>
      <c r="AS319" s="1675"/>
      <c r="AT319" s="1676"/>
      <c r="AU319" s="1679">
        <f t="shared" si="67"/>
        <v>0</v>
      </c>
      <c r="AV319" s="935"/>
      <c r="AW319" s="935"/>
      <c r="AX319" s="935"/>
      <c r="AY319" s="722"/>
      <c r="AZ319" s="722"/>
      <c r="BA319" s="722"/>
      <c r="BB319" s="722"/>
      <c r="BC319" s="722"/>
      <c r="BD319" s="722"/>
      <c r="BE319" s="706"/>
      <c r="BF319" s="706"/>
      <c r="BG319" s="694"/>
    </row>
    <row r="320" spans="1:59" ht="15.75" x14ac:dyDescent="0.25">
      <c r="A320" s="1883"/>
      <c r="B320" s="1748"/>
      <c r="C320" s="1884"/>
      <c r="D320" s="1884"/>
      <c r="E320" s="1726">
        <f t="shared" si="56"/>
        <v>0</v>
      </c>
      <c r="F320" s="1722"/>
      <c r="G320" s="1741"/>
      <c r="H320" s="1728"/>
      <c r="I320" s="1743"/>
      <c r="J320" s="1743"/>
      <c r="K320" s="1744"/>
      <c r="L320" s="1734">
        <f t="shared" si="58"/>
        <v>0</v>
      </c>
      <c r="M320" s="1735">
        <f t="shared" si="59"/>
        <v>0</v>
      </c>
      <c r="N320" s="1730"/>
      <c r="O320" s="1730"/>
      <c r="P320" s="1730"/>
      <c r="Q320" s="1730"/>
      <c r="R320" s="1730"/>
      <c r="S320" s="1730"/>
      <c r="T320" s="1730"/>
      <c r="U320" s="1730"/>
      <c r="V320" s="1730"/>
      <c r="W320" s="1730"/>
      <c r="X320" s="1903">
        <f t="shared" si="57"/>
        <v>0</v>
      </c>
      <c r="Y320" s="1733">
        <f t="shared" si="60"/>
        <v>0</v>
      </c>
      <c r="Z320" s="528"/>
      <c r="AA320" s="1620"/>
      <c r="AB320" s="1616"/>
      <c r="AC320" s="1616"/>
      <c r="AD320" s="1616"/>
      <c r="AE320" s="1616"/>
      <c r="AF320" s="1587"/>
      <c r="AG320" s="1588"/>
      <c r="AH320" s="1588"/>
      <c r="AI320" s="1588"/>
      <c r="AJ320" s="1628"/>
      <c r="AK320" s="1625">
        <f t="shared" si="61"/>
        <v>0</v>
      </c>
      <c r="AL320" s="1565">
        <f t="shared" si="62"/>
        <v>0</v>
      </c>
      <c r="AM320" s="1565">
        <f t="shared" si="63"/>
        <v>0</v>
      </c>
      <c r="AN320" s="1565">
        <f t="shared" si="64"/>
        <v>0</v>
      </c>
      <c r="AO320" s="1631">
        <f t="shared" si="65"/>
        <v>0</v>
      </c>
      <c r="AP320" s="1634"/>
      <c r="AQ320" s="1635"/>
      <c r="AR320" s="1662">
        <f t="shared" si="66"/>
        <v>0</v>
      </c>
      <c r="AS320" s="1675"/>
      <c r="AT320" s="1676"/>
      <c r="AU320" s="1679">
        <f t="shared" si="67"/>
        <v>0</v>
      </c>
      <c r="AV320" s="935"/>
      <c r="AW320" s="935"/>
      <c r="AX320" s="935"/>
      <c r="AY320" s="722"/>
      <c r="AZ320" s="722"/>
      <c r="BA320" s="722"/>
      <c r="BB320" s="722"/>
      <c r="BC320" s="722"/>
      <c r="BD320" s="722"/>
      <c r="BE320" s="706"/>
      <c r="BF320" s="706"/>
      <c r="BG320" s="694"/>
    </row>
    <row r="321" spans="1:63" ht="15.75" x14ac:dyDescent="0.25">
      <c r="A321" s="1883"/>
      <c r="B321" s="1748"/>
      <c r="C321" s="1884"/>
      <c r="D321" s="1884"/>
      <c r="E321" s="1726">
        <f t="shared" si="56"/>
        <v>0</v>
      </c>
      <c r="F321" s="1722"/>
      <c r="G321" s="1741"/>
      <c r="H321" s="1728"/>
      <c r="I321" s="1743"/>
      <c r="J321" s="1743"/>
      <c r="K321" s="1744"/>
      <c r="L321" s="1734">
        <f t="shared" si="58"/>
        <v>0</v>
      </c>
      <c r="M321" s="1735">
        <f t="shared" si="59"/>
        <v>0</v>
      </c>
      <c r="N321" s="1730"/>
      <c r="O321" s="1730"/>
      <c r="P321" s="1730"/>
      <c r="Q321" s="1730"/>
      <c r="R321" s="1730"/>
      <c r="S321" s="1730"/>
      <c r="T321" s="1730"/>
      <c r="U321" s="1730"/>
      <c r="V321" s="1730"/>
      <c r="W321" s="1730"/>
      <c r="X321" s="1903">
        <f t="shared" si="57"/>
        <v>0</v>
      </c>
      <c r="Y321" s="1733">
        <f t="shared" si="60"/>
        <v>0</v>
      </c>
      <c r="Z321" s="528"/>
      <c r="AA321" s="1620"/>
      <c r="AB321" s="1616"/>
      <c r="AC321" s="1616"/>
      <c r="AD321" s="1616"/>
      <c r="AE321" s="1616"/>
      <c r="AF321" s="1587"/>
      <c r="AG321" s="1588"/>
      <c r="AH321" s="1588"/>
      <c r="AI321" s="1588"/>
      <c r="AJ321" s="1628"/>
      <c r="AK321" s="1625">
        <f t="shared" si="61"/>
        <v>0</v>
      </c>
      <c r="AL321" s="1565">
        <f t="shared" si="62"/>
        <v>0</v>
      </c>
      <c r="AM321" s="1565">
        <f t="shared" si="63"/>
        <v>0</v>
      </c>
      <c r="AN321" s="1565">
        <f t="shared" si="64"/>
        <v>0</v>
      </c>
      <c r="AO321" s="1631">
        <f t="shared" si="65"/>
        <v>0</v>
      </c>
      <c r="AP321" s="1634"/>
      <c r="AQ321" s="1635"/>
      <c r="AR321" s="1662">
        <f t="shared" si="66"/>
        <v>0</v>
      </c>
      <c r="AS321" s="1675"/>
      <c r="AT321" s="1676"/>
      <c r="AU321" s="1679">
        <f t="shared" si="67"/>
        <v>0</v>
      </c>
      <c r="AV321" s="935"/>
      <c r="AW321" s="935"/>
      <c r="AX321" s="935"/>
      <c r="AY321" s="722"/>
      <c r="AZ321" s="722"/>
      <c r="BA321" s="722"/>
      <c r="BB321" s="722"/>
      <c r="BC321" s="722"/>
      <c r="BD321" s="722"/>
      <c r="BE321" s="706"/>
      <c r="BF321" s="706"/>
      <c r="BG321" s="694"/>
    </row>
    <row r="322" spans="1:63" ht="15.75" x14ac:dyDescent="0.25">
      <c r="A322" s="1883"/>
      <c r="B322" s="1748"/>
      <c r="C322" s="1884"/>
      <c r="D322" s="1884"/>
      <c r="E322" s="1726">
        <f t="shared" si="56"/>
        <v>0</v>
      </c>
      <c r="F322" s="1722"/>
      <c r="G322" s="1741"/>
      <c r="H322" s="1728"/>
      <c r="I322" s="1743"/>
      <c r="J322" s="1743"/>
      <c r="K322" s="1744"/>
      <c r="L322" s="1734">
        <f t="shared" si="58"/>
        <v>0</v>
      </c>
      <c r="M322" s="1735">
        <f t="shared" si="59"/>
        <v>0</v>
      </c>
      <c r="N322" s="1730"/>
      <c r="O322" s="1730"/>
      <c r="P322" s="1730"/>
      <c r="Q322" s="1730"/>
      <c r="R322" s="1730"/>
      <c r="S322" s="1730"/>
      <c r="T322" s="1730"/>
      <c r="U322" s="1730"/>
      <c r="V322" s="1730"/>
      <c r="W322" s="1730"/>
      <c r="X322" s="1903">
        <f t="shared" ref="X322:X358" si="68">IF(AND(H322&gt;0,F322&lt;&gt;"GfB"),(SUM(M322:P322,R322,V322,Q322)*12+(T322+U322))*(100+$P$17+$P$18)%+((S322+W322)*12),IF(AND(H322&gt;0,F322="GfB"),(SUM(M322:P322,R322,V322,Q322)*12+(T322+U322))*(100+$P$20+$P$18)%+((S322+W322)*12),0))</f>
        <v>0</v>
      </c>
      <c r="Y322" s="1733">
        <f t="shared" si="60"/>
        <v>0</v>
      </c>
      <c r="Z322" s="528"/>
      <c r="AA322" s="1620"/>
      <c r="AB322" s="1616"/>
      <c r="AC322" s="1616"/>
      <c r="AD322" s="1616"/>
      <c r="AE322" s="1616"/>
      <c r="AF322" s="1587"/>
      <c r="AG322" s="1588"/>
      <c r="AH322" s="1588"/>
      <c r="AI322" s="1588"/>
      <c r="AJ322" s="1628"/>
      <c r="AK322" s="1625">
        <f t="shared" si="61"/>
        <v>0</v>
      </c>
      <c r="AL322" s="1565">
        <f t="shared" si="62"/>
        <v>0</v>
      </c>
      <c r="AM322" s="1565">
        <f t="shared" si="63"/>
        <v>0</v>
      </c>
      <c r="AN322" s="1565">
        <f t="shared" si="64"/>
        <v>0</v>
      </c>
      <c r="AO322" s="1631">
        <f t="shared" si="65"/>
        <v>0</v>
      </c>
      <c r="AP322" s="1634"/>
      <c r="AQ322" s="1635"/>
      <c r="AR322" s="1662">
        <f t="shared" si="66"/>
        <v>0</v>
      </c>
      <c r="AS322" s="1675"/>
      <c r="AT322" s="1676"/>
      <c r="AU322" s="1679">
        <f t="shared" si="67"/>
        <v>0</v>
      </c>
      <c r="AV322" s="935"/>
      <c r="AW322" s="935"/>
      <c r="AX322" s="935"/>
      <c r="AY322" s="722"/>
      <c r="AZ322" s="722"/>
      <c r="BA322" s="722"/>
      <c r="BB322" s="722"/>
      <c r="BC322" s="722"/>
      <c r="BD322" s="722"/>
      <c r="BE322" s="706"/>
      <c r="BF322" s="706"/>
      <c r="BG322" s="694"/>
    </row>
    <row r="323" spans="1:63" ht="15.75" x14ac:dyDescent="0.25">
      <c r="A323" s="1883"/>
      <c r="B323" s="1748"/>
      <c r="C323" s="1884"/>
      <c r="D323" s="1884"/>
      <c r="E323" s="1726">
        <f t="shared" si="56"/>
        <v>0</v>
      </c>
      <c r="F323" s="1722"/>
      <c r="G323" s="1741"/>
      <c r="H323" s="1728"/>
      <c r="I323" s="1743"/>
      <c r="J323" s="1743"/>
      <c r="K323" s="1744"/>
      <c r="L323" s="1734">
        <f>IFERROR(IF($K$24="VK",K323,K323/H323),0)</f>
        <v>0</v>
      </c>
      <c r="M323" s="1735">
        <f>IFERROR(L323*H323,"")</f>
        <v>0</v>
      </c>
      <c r="N323" s="1730"/>
      <c r="O323" s="1730"/>
      <c r="P323" s="1730"/>
      <c r="Q323" s="1730"/>
      <c r="R323" s="1730"/>
      <c r="S323" s="1730"/>
      <c r="T323" s="1730"/>
      <c r="U323" s="1730"/>
      <c r="V323" s="1730"/>
      <c r="W323" s="1730"/>
      <c r="X323" s="1903">
        <f t="shared" si="68"/>
        <v>0</v>
      </c>
      <c r="Y323" s="1733">
        <f>IF(ISERROR(X323/H323),0,(X323/H323))</f>
        <v>0</v>
      </c>
      <c r="Z323" s="528"/>
      <c r="AA323" s="1620"/>
      <c r="AB323" s="1616"/>
      <c r="AC323" s="1616"/>
      <c r="AD323" s="1616"/>
      <c r="AE323" s="1616"/>
      <c r="AF323" s="1587"/>
      <c r="AG323" s="1588"/>
      <c r="AH323" s="1588"/>
      <c r="AI323" s="1588"/>
      <c r="AJ323" s="1628"/>
      <c r="AK323" s="1625">
        <f t="shared" ref="AK323:AK358" si="69">(IF(AND($H323&gt;0,$K323&gt;0),($M323+$N323),0))</f>
        <v>0</v>
      </c>
      <c r="AL323" s="1565">
        <f t="shared" ref="AL323:AL358" si="70">(IF(AND($H323&gt;0,$K323&gt;0),$O323,0))</f>
        <v>0</v>
      </c>
      <c r="AM323" s="1565">
        <f t="shared" ref="AM323:AM358" si="71">(IF(AND($H323&gt;0,$K323&gt;0),$P323,0))</f>
        <v>0</v>
      </c>
      <c r="AN323" s="1565">
        <f t="shared" ref="AN323:AN358" si="72">(IF(AND($H323&gt;0,$K323&gt;0),$Q323,0))</f>
        <v>0</v>
      </c>
      <c r="AO323" s="1631">
        <f t="shared" ref="AO323:AO358" si="73">(IF(AND($H323&gt;0,$K323&gt;0),(($T323+$U323)/12),0))</f>
        <v>0</v>
      </c>
      <c r="AP323" s="1634"/>
      <c r="AQ323" s="1635"/>
      <c r="AR323" s="1662">
        <f t="shared" ref="AR323:AR358" si="74">IF(AND($H323&gt;0,$K323&gt;0),$H323,0)</f>
        <v>0</v>
      </c>
      <c r="AS323" s="1675"/>
      <c r="AT323" s="1676"/>
      <c r="AU323" s="1679">
        <f t="shared" ref="AU323:AU358" si="75">IF(AND($H323&gt;0,$K323&gt;0),$X323,0)</f>
        <v>0</v>
      </c>
      <c r="AV323" s="935"/>
      <c r="AW323" s="935"/>
      <c r="AX323" s="935"/>
      <c r="AY323" s="722"/>
      <c r="AZ323" s="722"/>
      <c r="BA323" s="722"/>
      <c r="BB323" s="722"/>
      <c r="BC323" s="722"/>
      <c r="BD323" s="722"/>
      <c r="BE323" s="706"/>
      <c r="BF323" s="706"/>
      <c r="BG323" s="694"/>
    </row>
    <row r="324" spans="1:63" ht="15.75" x14ac:dyDescent="0.25">
      <c r="A324" s="1883"/>
      <c r="B324" s="1748"/>
      <c r="C324" s="1884"/>
      <c r="D324" s="1884"/>
      <c r="E324" s="1726">
        <f t="shared" si="56"/>
        <v>0</v>
      </c>
      <c r="F324" s="1722"/>
      <c r="G324" s="1741"/>
      <c r="H324" s="1728"/>
      <c r="I324" s="1743"/>
      <c r="J324" s="1743"/>
      <c r="K324" s="1744"/>
      <c r="L324" s="1734">
        <f>IFERROR(IF($K$24="VK",K324,K324/H324),0)</f>
        <v>0</v>
      </c>
      <c r="M324" s="1735">
        <f>IFERROR(L324*H324,"")</f>
        <v>0</v>
      </c>
      <c r="N324" s="1730"/>
      <c r="O324" s="1730"/>
      <c r="P324" s="1730"/>
      <c r="Q324" s="1730"/>
      <c r="R324" s="1730"/>
      <c r="S324" s="1730"/>
      <c r="T324" s="1730"/>
      <c r="U324" s="1730"/>
      <c r="V324" s="1730"/>
      <c r="W324" s="1730"/>
      <c r="X324" s="1903">
        <f t="shared" si="68"/>
        <v>0</v>
      </c>
      <c r="Y324" s="1733">
        <f>IF(ISERROR(X324/H324),0,(X324/H324))</f>
        <v>0</v>
      </c>
      <c r="Z324" s="528"/>
      <c r="AA324" s="1620"/>
      <c r="AB324" s="1616"/>
      <c r="AC324" s="1616"/>
      <c r="AD324" s="1616"/>
      <c r="AE324" s="1616"/>
      <c r="AF324" s="1587"/>
      <c r="AG324" s="1588"/>
      <c r="AH324" s="1588"/>
      <c r="AI324" s="1588"/>
      <c r="AJ324" s="1628"/>
      <c r="AK324" s="1625">
        <f t="shared" si="69"/>
        <v>0</v>
      </c>
      <c r="AL324" s="1565">
        <f t="shared" si="70"/>
        <v>0</v>
      </c>
      <c r="AM324" s="1565">
        <f t="shared" si="71"/>
        <v>0</v>
      </c>
      <c r="AN324" s="1565">
        <f t="shared" si="72"/>
        <v>0</v>
      </c>
      <c r="AO324" s="1631">
        <f t="shared" si="73"/>
        <v>0</v>
      </c>
      <c r="AP324" s="1634"/>
      <c r="AQ324" s="1635"/>
      <c r="AR324" s="1662">
        <f t="shared" si="74"/>
        <v>0</v>
      </c>
      <c r="AS324" s="1675"/>
      <c r="AT324" s="1676"/>
      <c r="AU324" s="1679">
        <f t="shared" si="75"/>
        <v>0</v>
      </c>
      <c r="AV324" s="935"/>
      <c r="AW324" s="935"/>
      <c r="AX324" s="935"/>
      <c r="AY324" s="722"/>
      <c r="AZ324" s="722"/>
      <c r="BA324" s="722"/>
      <c r="BB324" s="722"/>
      <c r="BC324" s="722"/>
      <c r="BD324" s="722"/>
      <c r="BE324" s="706"/>
      <c r="BF324" s="706"/>
      <c r="BG324" s="694"/>
    </row>
    <row r="325" spans="1:63" ht="15.75" x14ac:dyDescent="0.25">
      <c r="A325" s="1883"/>
      <c r="B325" s="1748"/>
      <c r="C325" s="1884"/>
      <c r="D325" s="1884"/>
      <c r="E325" s="1726">
        <f t="shared" si="56"/>
        <v>0</v>
      </c>
      <c r="F325" s="1722"/>
      <c r="G325" s="1741"/>
      <c r="H325" s="1728"/>
      <c r="I325" s="1743"/>
      <c r="J325" s="1743"/>
      <c r="K325" s="1744"/>
      <c r="L325" s="1734">
        <f>IFERROR(IF($K$24="VK",K325,K325/H325),0)</f>
        <v>0</v>
      </c>
      <c r="M325" s="1735">
        <f>IFERROR(L325*H325,"")</f>
        <v>0</v>
      </c>
      <c r="N325" s="1730"/>
      <c r="O325" s="1730"/>
      <c r="P325" s="1730"/>
      <c r="Q325" s="1730"/>
      <c r="R325" s="1730"/>
      <c r="S325" s="1730"/>
      <c r="T325" s="1730"/>
      <c r="U325" s="1730"/>
      <c r="V325" s="1730"/>
      <c r="W325" s="1730"/>
      <c r="X325" s="1903">
        <f t="shared" si="68"/>
        <v>0</v>
      </c>
      <c r="Y325" s="1733">
        <f>IF(ISERROR(X325/H325),0,(X325/H325))</f>
        <v>0</v>
      </c>
      <c r="Z325" s="528"/>
      <c r="AA325" s="1620"/>
      <c r="AB325" s="1616"/>
      <c r="AC325" s="1616"/>
      <c r="AD325" s="1616"/>
      <c r="AE325" s="1616"/>
      <c r="AF325" s="1587"/>
      <c r="AG325" s="1588"/>
      <c r="AH325" s="1588"/>
      <c r="AI325" s="1588"/>
      <c r="AJ325" s="1628"/>
      <c r="AK325" s="1625">
        <f t="shared" si="69"/>
        <v>0</v>
      </c>
      <c r="AL325" s="1565">
        <f t="shared" si="70"/>
        <v>0</v>
      </c>
      <c r="AM325" s="1565">
        <f t="shared" si="71"/>
        <v>0</v>
      </c>
      <c r="AN325" s="1565">
        <f t="shared" si="72"/>
        <v>0</v>
      </c>
      <c r="AO325" s="1631">
        <f t="shared" si="73"/>
        <v>0</v>
      </c>
      <c r="AP325" s="1634"/>
      <c r="AQ325" s="1635"/>
      <c r="AR325" s="1662">
        <f t="shared" si="74"/>
        <v>0</v>
      </c>
      <c r="AS325" s="1675"/>
      <c r="AT325" s="1676"/>
      <c r="AU325" s="1679">
        <f t="shared" si="75"/>
        <v>0</v>
      </c>
      <c r="AV325" s="935"/>
      <c r="AW325" s="935"/>
      <c r="AX325" s="935"/>
      <c r="AY325" s="722"/>
      <c r="AZ325" s="722"/>
      <c r="BA325" s="722"/>
      <c r="BB325" s="722"/>
      <c r="BC325" s="722"/>
      <c r="BD325" s="722"/>
      <c r="BE325" s="706"/>
      <c r="BF325" s="706"/>
      <c r="BG325" s="694"/>
    </row>
    <row r="326" spans="1:63" ht="15.75" x14ac:dyDescent="0.25">
      <c r="A326" s="1883"/>
      <c r="B326" s="1748"/>
      <c r="C326" s="1884"/>
      <c r="D326" s="1884"/>
      <c r="E326" s="1726">
        <f t="shared" si="56"/>
        <v>0</v>
      </c>
      <c r="F326" s="1722"/>
      <c r="G326" s="1741"/>
      <c r="H326" s="1728"/>
      <c r="I326" s="1743"/>
      <c r="J326" s="1743"/>
      <c r="K326" s="1744"/>
      <c r="L326" s="1734">
        <f>IFERROR(IF($K$24="VK",K326,K326/H326),0)</f>
        <v>0</v>
      </c>
      <c r="M326" s="1735">
        <f>IFERROR(L326*H326,"")</f>
        <v>0</v>
      </c>
      <c r="N326" s="1730"/>
      <c r="O326" s="1730"/>
      <c r="P326" s="1730"/>
      <c r="Q326" s="1730"/>
      <c r="R326" s="1730"/>
      <c r="S326" s="1730"/>
      <c r="T326" s="1730"/>
      <c r="U326" s="1730"/>
      <c r="V326" s="1730"/>
      <c r="W326" s="1730"/>
      <c r="X326" s="1903">
        <f t="shared" si="68"/>
        <v>0</v>
      </c>
      <c r="Y326" s="1733">
        <f>IF(ISERROR(X326/H326),0,(X326/H326))</f>
        <v>0</v>
      </c>
      <c r="Z326" s="528"/>
      <c r="AA326" s="1620"/>
      <c r="AB326" s="1616"/>
      <c r="AC326" s="1616"/>
      <c r="AD326" s="1616"/>
      <c r="AE326" s="1616"/>
      <c r="AF326" s="1587"/>
      <c r="AG326" s="1588"/>
      <c r="AH326" s="1588"/>
      <c r="AI326" s="1588"/>
      <c r="AJ326" s="1628"/>
      <c r="AK326" s="1625">
        <f t="shared" si="69"/>
        <v>0</v>
      </c>
      <c r="AL326" s="1565">
        <f t="shared" si="70"/>
        <v>0</v>
      </c>
      <c r="AM326" s="1565">
        <f t="shared" si="71"/>
        <v>0</v>
      </c>
      <c r="AN326" s="1565">
        <f t="shared" si="72"/>
        <v>0</v>
      </c>
      <c r="AO326" s="1631">
        <f t="shared" si="73"/>
        <v>0</v>
      </c>
      <c r="AP326" s="1634"/>
      <c r="AQ326" s="1635"/>
      <c r="AR326" s="1662">
        <f t="shared" si="74"/>
        <v>0</v>
      </c>
      <c r="AS326" s="1675"/>
      <c r="AT326" s="1676"/>
      <c r="AU326" s="1679">
        <f t="shared" si="75"/>
        <v>0</v>
      </c>
      <c r="AV326" s="935"/>
      <c r="AW326" s="935"/>
      <c r="AX326" s="935"/>
      <c r="AY326" s="722"/>
      <c r="AZ326" s="722"/>
      <c r="BA326" s="722"/>
      <c r="BB326" s="722"/>
      <c r="BC326" s="722"/>
      <c r="BD326" s="722"/>
      <c r="BE326" s="706"/>
      <c r="BF326" s="706"/>
      <c r="BG326" s="694"/>
    </row>
    <row r="327" spans="1:63" ht="15.75" x14ac:dyDescent="0.25">
      <c r="A327" s="1883"/>
      <c r="B327" s="1748"/>
      <c r="C327" s="1884"/>
      <c r="D327" s="1884"/>
      <c r="E327" s="1726">
        <f t="shared" si="56"/>
        <v>0</v>
      </c>
      <c r="F327" s="1722"/>
      <c r="G327" s="1741"/>
      <c r="H327" s="1728"/>
      <c r="I327" s="1743"/>
      <c r="J327" s="1743"/>
      <c r="K327" s="1744"/>
      <c r="L327" s="1734">
        <f>IFERROR(IF($K$24="VK",K327,K327/H327),0)</f>
        <v>0</v>
      </c>
      <c r="M327" s="1735">
        <f>IFERROR(L327*H327,"")</f>
        <v>0</v>
      </c>
      <c r="N327" s="1730"/>
      <c r="O327" s="1730"/>
      <c r="P327" s="1730"/>
      <c r="Q327" s="1730"/>
      <c r="R327" s="1730"/>
      <c r="S327" s="1730"/>
      <c r="T327" s="1730"/>
      <c r="U327" s="1730"/>
      <c r="V327" s="1730"/>
      <c r="W327" s="1730"/>
      <c r="X327" s="1903">
        <f t="shared" si="68"/>
        <v>0</v>
      </c>
      <c r="Y327" s="1733">
        <f>IF(ISERROR(X327/H327),0,(X327/H327))</f>
        <v>0</v>
      </c>
      <c r="Z327" s="528"/>
      <c r="AA327" s="1622"/>
      <c r="AB327" s="1623"/>
      <c r="AC327" s="1623"/>
      <c r="AD327" s="1623"/>
      <c r="AE327" s="1623"/>
      <c r="AF327" s="1629"/>
      <c r="AG327" s="1599"/>
      <c r="AH327" s="1599"/>
      <c r="AI327" s="1599"/>
      <c r="AJ327" s="1630"/>
      <c r="AK327" s="1625">
        <f t="shared" si="69"/>
        <v>0</v>
      </c>
      <c r="AL327" s="1565">
        <f t="shared" si="70"/>
        <v>0</v>
      </c>
      <c r="AM327" s="1565">
        <f t="shared" si="71"/>
        <v>0</v>
      </c>
      <c r="AN327" s="1565">
        <f t="shared" si="72"/>
        <v>0</v>
      </c>
      <c r="AO327" s="1631">
        <f t="shared" si="73"/>
        <v>0</v>
      </c>
      <c r="AP327" s="1636"/>
      <c r="AQ327" s="1637"/>
      <c r="AR327" s="1662">
        <f t="shared" si="74"/>
        <v>0</v>
      </c>
      <c r="AS327" s="1677"/>
      <c r="AT327" s="1678"/>
      <c r="AU327" s="1679">
        <f t="shared" si="75"/>
        <v>0</v>
      </c>
      <c r="AV327" s="935"/>
      <c r="AW327" s="935"/>
      <c r="AX327" s="935"/>
      <c r="AY327" s="722"/>
      <c r="AZ327" s="722"/>
      <c r="BA327" s="722"/>
      <c r="BB327" s="722"/>
      <c r="BC327" s="722"/>
      <c r="BD327" s="722"/>
      <c r="BE327" s="706"/>
      <c r="BF327" s="706"/>
      <c r="BG327" s="694"/>
    </row>
    <row r="328" spans="1:63" s="10" customFormat="1" ht="15.75" x14ac:dyDescent="0.25">
      <c r="A328" s="790" t="s">
        <v>389</v>
      </c>
      <c r="B328" s="791"/>
      <c r="C328" s="150"/>
      <c r="D328" s="150"/>
      <c r="E328" s="150"/>
      <c r="F328" s="792" t="s">
        <v>398</v>
      </c>
      <c r="G328" s="793"/>
      <c r="H328" s="800"/>
      <c r="I328" s="794"/>
      <c r="J328" s="794"/>
      <c r="K328" s="795"/>
      <c r="L328" s="795"/>
      <c r="M328" s="796"/>
      <c r="N328" s="796"/>
      <c r="O328" s="796"/>
      <c r="P328" s="796"/>
      <c r="Q328" s="796"/>
      <c r="R328" s="796"/>
      <c r="S328" s="796"/>
      <c r="T328" s="796"/>
      <c r="U328" s="796"/>
      <c r="V328" s="796"/>
      <c r="W328" s="796"/>
      <c r="X328" s="797"/>
      <c r="Y328" s="798"/>
      <c r="Z328" s="799"/>
      <c r="AA328" s="943"/>
      <c r="AB328" s="944"/>
      <c r="AC328" s="944"/>
      <c r="AD328" s="944"/>
      <c r="AE328" s="944"/>
      <c r="AF328" s="945"/>
      <c r="AG328" s="946"/>
      <c r="AH328" s="946"/>
      <c r="AI328" s="946"/>
      <c r="AJ328" s="946"/>
      <c r="AK328" s="947"/>
      <c r="AL328" s="948"/>
      <c r="AM328" s="948"/>
      <c r="AN328" s="948"/>
      <c r="AO328" s="948"/>
      <c r="AP328" s="1429"/>
      <c r="AQ328" s="1429"/>
      <c r="AR328" s="1429"/>
      <c r="AS328" s="943"/>
      <c r="AT328" s="945"/>
      <c r="AU328" s="975"/>
      <c r="AV328" s="935"/>
      <c r="AW328" s="935"/>
      <c r="AX328" s="935"/>
      <c r="AY328" s="732"/>
      <c r="AZ328" s="732"/>
      <c r="BA328" s="732"/>
      <c r="BB328" s="732"/>
      <c r="BC328" s="732"/>
      <c r="BD328" s="732"/>
      <c r="BE328" s="717"/>
      <c r="BF328" s="717"/>
      <c r="BG328" s="704"/>
      <c r="BH328" s="330"/>
      <c r="BI328" s="330"/>
      <c r="BJ328" s="330"/>
      <c r="BK328" s="330"/>
    </row>
    <row r="329" spans="1:63" ht="15.75" x14ac:dyDescent="0.25">
      <c r="A329" s="1883"/>
      <c r="B329" s="1748"/>
      <c r="C329" s="1884"/>
      <c r="D329" s="1884"/>
      <c r="E329" s="1726">
        <f t="shared" si="56"/>
        <v>0</v>
      </c>
      <c r="F329" s="1722"/>
      <c r="G329" s="1741"/>
      <c r="H329" s="1728"/>
      <c r="I329" s="1743"/>
      <c r="J329" s="1743"/>
      <c r="K329" s="1744"/>
      <c r="L329" s="1734">
        <f>IFERROR(IF($K$24="VK",K329,K329/H329),0)</f>
        <v>0</v>
      </c>
      <c r="M329" s="1735">
        <f>IFERROR(L329*H329,"")</f>
        <v>0</v>
      </c>
      <c r="N329" s="1730"/>
      <c r="O329" s="1730"/>
      <c r="P329" s="1730"/>
      <c r="Q329" s="1730"/>
      <c r="R329" s="1730"/>
      <c r="S329" s="1730"/>
      <c r="T329" s="1730"/>
      <c r="U329" s="1730"/>
      <c r="V329" s="1730"/>
      <c r="W329" s="1730"/>
      <c r="X329" s="1903">
        <f t="shared" si="68"/>
        <v>0</v>
      </c>
      <c r="Y329" s="1733">
        <f>IF(ISERROR(X329/H329),0,(X329/H329))</f>
        <v>0</v>
      </c>
      <c r="Z329" s="528"/>
      <c r="AA329" s="1617"/>
      <c r="AB329" s="1618"/>
      <c r="AC329" s="1618"/>
      <c r="AD329" s="1618"/>
      <c r="AE329" s="1618"/>
      <c r="AF329" s="1626"/>
      <c r="AG329" s="1592"/>
      <c r="AH329" s="1592"/>
      <c r="AI329" s="1592"/>
      <c r="AJ329" s="1627"/>
      <c r="AK329" s="1625">
        <f t="shared" si="69"/>
        <v>0</v>
      </c>
      <c r="AL329" s="1565">
        <f t="shared" si="70"/>
        <v>0</v>
      </c>
      <c r="AM329" s="1565">
        <f t="shared" si="71"/>
        <v>0</v>
      </c>
      <c r="AN329" s="1565">
        <f t="shared" si="72"/>
        <v>0</v>
      </c>
      <c r="AO329" s="1631">
        <f t="shared" si="73"/>
        <v>0</v>
      </c>
      <c r="AP329" s="1632"/>
      <c r="AQ329" s="1633"/>
      <c r="AR329" s="1662">
        <f t="shared" si="74"/>
        <v>0</v>
      </c>
      <c r="AS329" s="1673"/>
      <c r="AT329" s="1674"/>
      <c r="AU329" s="1649">
        <f t="shared" si="75"/>
        <v>0</v>
      </c>
      <c r="AV329" s="935"/>
      <c r="AW329" s="935"/>
      <c r="AX329" s="935"/>
      <c r="AY329" s="722"/>
      <c r="AZ329" s="722"/>
      <c r="BA329" s="722"/>
      <c r="BB329" s="722"/>
      <c r="BC329" s="722"/>
      <c r="BD329" s="722"/>
      <c r="BE329" s="706"/>
      <c r="BF329" s="706"/>
      <c r="BG329" s="694"/>
    </row>
    <row r="330" spans="1:63" ht="15.75" x14ac:dyDescent="0.25">
      <c r="A330" s="1883"/>
      <c r="B330" s="1748"/>
      <c r="C330" s="1884"/>
      <c r="D330" s="1884"/>
      <c r="E330" s="1726">
        <f t="shared" si="56"/>
        <v>0</v>
      </c>
      <c r="F330" s="1722"/>
      <c r="G330" s="1741"/>
      <c r="H330" s="1728"/>
      <c r="I330" s="1743"/>
      <c r="J330" s="1743"/>
      <c r="K330" s="1744"/>
      <c r="L330" s="1734">
        <f t="shared" ref="L330:L358" si="76">IFERROR(IF($K$24="VK",K330,K330/H330),0)</f>
        <v>0</v>
      </c>
      <c r="M330" s="1735">
        <f t="shared" ref="M330:M357" si="77">IFERROR(L330*H330,"")</f>
        <v>0</v>
      </c>
      <c r="N330" s="1730"/>
      <c r="O330" s="1730"/>
      <c r="P330" s="1730"/>
      <c r="Q330" s="1730"/>
      <c r="R330" s="1730"/>
      <c r="S330" s="1730"/>
      <c r="T330" s="1730"/>
      <c r="U330" s="1730"/>
      <c r="V330" s="1730"/>
      <c r="W330" s="1730"/>
      <c r="X330" s="1903">
        <f t="shared" si="68"/>
        <v>0</v>
      </c>
      <c r="Y330" s="1733">
        <f t="shared" ref="Y330:Y358" si="78">IF(ISERROR(X330/H330),0,(X330/H330))</f>
        <v>0</v>
      </c>
      <c r="Z330" s="528"/>
      <c r="AA330" s="1620"/>
      <c r="AB330" s="1616"/>
      <c r="AC330" s="1616"/>
      <c r="AD330" s="1616"/>
      <c r="AE330" s="1616"/>
      <c r="AF330" s="1587"/>
      <c r="AG330" s="1588"/>
      <c r="AH330" s="1588"/>
      <c r="AI330" s="1588"/>
      <c r="AJ330" s="1628"/>
      <c r="AK330" s="1625">
        <f t="shared" si="69"/>
        <v>0</v>
      </c>
      <c r="AL330" s="1565">
        <f t="shared" si="70"/>
        <v>0</v>
      </c>
      <c r="AM330" s="1565">
        <f t="shared" si="71"/>
        <v>0</v>
      </c>
      <c r="AN330" s="1565">
        <f t="shared" si="72"/>
        <v>0</v>
      </c>
      <c r="AO330" s="1631">
        <f t="shared" si="73"/>
        <v>0</v>
      </c>
      <c r="AP330" s="1634"/>
      <c r="AQ330" s="1635"/>
      <c r="AR330" s="1662">
        <f t="shared" si="74"/>
        <v>0</v>
      </c>
      <c r="AS330" s="1675"/>
      <c r="AT330" s="1676"/>
      <c r="AU330" s="1649">
        <f t="shared" si="75"/>
        <v>0</v>
      </c>
      <c r="AV330" s="935"/>
      <c r="AW330" s="935"/>
      <c r="AX330" s="935"/>
      <c r="AY330" s="722"/>
      <c r="AZ330" s="722"/>
      <c r="BA330" s="722"/>
      <c r="BB330" s="722"/>
      <c r="BC330" s="722"/>
      <c r="BD330" s="722"/>
      <c r="BE330" s="706"/>
      <c r="BF330" s="706"/>
      <c r="BG330" s="694"/>
    </row>
    <row r="331" spans="1:63" ht="15.75" x14ac:dyDescent="0.25">
      <c r="A331" s="1883"/>
      <c r="B331" s="1748"/>
      <c r="C331" s="1884"/>
      <c r="D331" s="1884"/>
      <c r="E331" s="1726">
        <f t="shared" si="56"/>
        <v>0</v>
      </c>
      <c r="F331" s="1722"/>
      <c r="G331" s="1741"/>
      <c r="H331" s="1728"/>
      <c r="I331" s="1743"/>
      <c r="J331" s="1743"/>
      <c r="K331" s="1744"/>
      <c r="L331" s="1734">
        <f t="shared" si="76"/>
        <v>0</v>
      </c>
      <c r="M331" s="1735">
        <f t="shared" si="77"/>
        <v>0</v>
      </c>
      <c r="N331" s="1730"/>
      <c r="O331" s="1730"/>
      <c r="P331" s="1730"/>
      <c r="Q331" s="1730"/>
      <c r="R331" s="1730"/>
      <c r="S331" s="1730"/>
      <c r="T331" s="1730"/>
      <c r="U331" s="1730"/>
      <c r="V331" s="1730"/>
      <c r="W331" s="1730"/>
      <c r="X331" s="1903">
        <f t="shared" si="68"/>
        <v>0</v>
      </c>
      <c r="Y331" s="1733">
        <f t="shared" si="78"/>
        <v>0</v>
      </c>
      <c r="Z331" s="528"/>
      <c r="AA331" s="1620"/>
      <c r="AB331" s="1616"/>
      <c r="AC331" s="1616"/>
      <c r="AD331" s="1616"/>
      <c r="AE331" s="1616"/>
      <c r="AF331" s="1587"/>
      <c r="AG331" s="1588"/>
      <c r="AH331" s="1588"/>
      <c r="AI331" s="1588"/>
      <c r="AJ331" s="1628"/>
      <c r="AK331" s="1625">
        <f t="shared" si="69"/>
        <v>0</v>
      </c>
      <c r="AL331" s="1565">
        <f t="shared" si="70"/>
        <v>0</v>
      </c>
      <c r="AM331" s="1565">
        <f t="shared" si="71"/>
        <v>0</v>
      </c>
      <c r="AN331" s="1565">
        <f t="shared" si="72"/>
        <v>0</v>
      </c>
      <c r="AO331" s="1631">
        <f t="shared" si="73"/>
        <v>0</v>
      </c>
      <c r="AP331" s="1634"/>
      <c r="AQ331" s="1635"/>
      <c r="AR331" s="1662">
        <f t="shared" si="74"/>
        <v>0</v>
      </c>
      <c r="AS331" s="1675"/>
      <c r="AT331" s="1676"/>
      <c r="AU331" s="1649">
        <f t="shared" si="75"/>
        <v>0</v>
      </c>
      <c r="AV331" s="935"/>
      <c r="AW331" s="935"/>
      <c r="AX331" s="935"/>
      <c r="AY331" s="722"/>
      <c r="AZ331" s="722"/>
      <c r="BA331" s="722"/>
      <c r="BB331" s="722"/>
      <c r="BC331" s="722"/>
      <c r="BD331" s="722"/>
      <c r="BE331" s="706"/>
      <c r="BF331" s="706"/>
      <c r="BG331" s="694"/>
    </row>
    <row r="332" spans="1:63" ht="15.75" x14ac:dyDescent="0.25">
      <c r="A332" s="1883"/>
      <c r="B332" s="1748"/>
      <c r="C332" s="1884"/>
      <c r="D332" s="1884"/>
      <c r="E332" s="1726">
        <f t="shared" si="56"/>
        <v>0</v>
      </c>
      <c r="F332" s="1722"/>
      <c r="G332" s="1741"/>
      <c r="H332" s="1728"/>
      <c r="I332" s="1743"/>
      <c r="J332" s="1743"/>
      <c r="K332" s="1744"/>
      <c r="L332" s="1734">
        <f t="shared" si="76"/>
        <v>0</v>
      </c>
      <c r="M332" s="1735">
        <f t="shared" si="77"/>
        <v>0</v>
      </c>
      <c r="N332" s="1730"/>
      <c r="O332" s="1730"/>
      <c r="P332" s="1730"/>
      <c r="Q332" s="1730"/>
      <c r="R332" s="1730"/>
      <c r="S332" s="1730"/>
      <c r="T332" s="1730"/>
      <c r="U332" s="1730"/>
      <c r="V332" s="1730"/>
      <c r="W332" s="1730"/>
      <c r="X332" s="1903">
        <f t="shared" si="68"/>
        <v>0</v>
      </c>
      <c r="Y332" s="1733">
        <f t="shared" si="78"/>
        <v>0</v>
      </c>
      <c r="Z332" s="528"/>
      <c r="AA332" s="1620"/>
      <c r="AB332" s="1616"/>
      <c r="AC332" s="1616"/>
      <c r="AD332" s="1616"/>
      <c r="AE332" s="1616"/>
      <c r="AF332" s="1587"/>
      <c r="AG332" s="1588"/>
      <c r="AH332" s="1588"/>
      <c r="AI332" s="1588"/>
      <c r="AJ332" s="1628"/>
      <c r="AK332" s="1625">
        <f t="shared" si="69"/>
        <v>0</v>
      </c>
      <c r="AL332" s="1565">
        <f t="shared" si="70"/>
        <v>0</v>
      </c>
      <c r="AM332" s="1565">
        <f t="shared" si="71"/>
        <v>0</v>
      </c>
      <c r="AN332" s="1565">
        <f t="shared" si="72"/>
        <v>0</v>
      </c>
      <c r="AO332" s="1631">
        <f t="shared" si="73"/>
        <v>0</v>
      </c>
      <c r="AP332" s="1634"/>
      <c r="AQ332" s="1635"/>
      <c r="AR332" s="1662">
        <f t="shared" si="74"/>
        <v>0</v>
      </c>
      <c r="AS332" s="1675"/>
      <c r="AT332" s="1676"/>
      <c r="AU332" s="1649">
        <f t="shared" si="75"/>
        <v>0</v>
      </c>
      <c r="AV332" s="935"/>
      <c r="AW332" s="935"/>
      <c r="AX332" s="935"/>
      <c r="AY332" s="722"/>
      <c r="AZ332" s="722"/>
      <c r="BA332" s="722"/>
      <c r="BB332" s="722"/>
      <c r="BC332" s="722"/>
      <c r="BD332" s="722"/>
      <c r="BE332" s="706"/>
      <c r="BF332" s="706"/>
      <c r="BG332" s="694"/>
    </row>
    <row r="333" spans="1:63" ht="15.75" x14ac:dyDescent="0.25">
      <c r="A333" s="1883"/>
      <c r="B333" s="1748"/>
      <c r="C333" s="1884"/>
      <c r="D333" s="1884"/>
      <c r="E333" s="1726">
        <f t="shared" si="56"/>
        <v>0</v>
      </c>
      <c r="F333" s="1722"/>
      <c r="G333" s="1741"/>
      <c r="H333" s="1728"/>
      <c r="I333" s="1743"/>
      <c r="J333" s="1743"/>
      <c r="K333" s="1744"/>
      <c r="L333" s="1734">
        <f t="shared" si="76"/>
        <v>0</v>
      </c>
      <c r="M333" s="1735">
        <f t="shared" si="77"/>
        <v>0</v>
      </c>
      <c r="N333" s="1730"/>
      <c r="O333" s="1730"/>
      <c r="P333" s="1730"/>
      <c r="Q333" s="1730"/>
      <c r="R333" s="1730"/>
      <c r="S333" s="1730"/>
      <c r="T333" s="1730"/>
      <c r="U333" s="1730"/>
      <c r="V333" s="1730"/>
      <c r="W333" s="1730"/>
      <c r="X333" s="1903">
        <f t="shared" si="68"/>
        <v>0</v>
      </c>
      <c r="Y333" s="1733">
        <f t="shared" si="78"/>
        <v>0</v>
      </c>
      <c r="Z333" s="528"/>
      <c r="AA333" s="1620"/>
      <c r="AB333" s="1616"/>
      <c r="AC333" s="1616"/>
      <c r="AD333" s="1616"/>
      <c r="AE333" s="1616"/>
      <c r="AF333" s="1587"/>
      <c r="AG333" s="1588"/>
      <c r="AH333" s="1588"/>
      <c r="AI333" s="1588"/>
      <c r="AJ333" s="1628"/>
      <c r="AK333" s="1625">
        <f t="shared" si="69"/>
        <v>0</v>
      </c>
      <c r="AL333" s="1565">
        <f t="shared" si="70"/>
        <v>0</v>
      </c>
      <c r="AM333" s="1565">
        <f t="shared" si="71"/>
        <v>0</v>
      </c>
      <c r="AN333" s="1565">
        <f t="shared" si="72"/>
        <v>0</v>
      </c>
      <c r="AO333" s="1631">
        <f t="shared" si="73"/>
        <v>0</v>
      </c>
      <c r="AP333" s="1634"/>
      <c r="AQ333" s="1635"/>
      <c r="AR333" s="1662">
        <f t="shared" si="74"/>
        <v>0</v>
      </c>
      <c r="AS333" s="1675"/>
      <c r="AT333" s="1676"/>
      <c r="AU333" s="1649">
        <f t="shared" si="75"/>
        <v>0</v>
      </c>
      <c r="AV333" s="935"/>
      <c r="AW333" s="935"/>
      <c r="AX333" s="935"/>
      <c r="AY333" s="722"/>
      <c r="AZ333" s="722"/>
      <c r="BA333" s="722"/>
      <c r="BB333" s="722"/>
      <c r="BC333" s="722"/>
      <c r="BD333" s="722"/>
      <c r="BE333" s="706"/>
      <c r="BF333" s="706"/>
      <c r="BG333" s="694"/>
    </row>
    <row r="334" spans="1:63" ht="15.75" x14ac:dyDescent="0.25">
      <c r="A334" s="1883"/>
      <c r="B334" s="1748"/>
      <c r="C334" s="1884"/>
      <c r="D334" s="1884"/>
      <c r="E334" s="1726">
        <f t="shared" si="56"/>
        <v>0</v>
      </c>
      <c r="F334" s="1722"/>
      <c r="G334" s="1741"/>
      <c r="H334" s="1728"/>
      <c r="I334" s="1743"/>
      <c r="J334" s="1743"/>
      <c r="K334" s="1744"/>
      <c r="L334" s="1734">
        <f t="shared" si="76"/>
        <v>0</v>
      </c>
      <c r="M334" s="1735">
        <f t="shared" si="77"/>
        <v>0</v>
      </c>
      <c r="N334" s="1730"/>
      <c r="O334" s="1730"/>
      <c r="P334" s="1730"/>
      <c r="Q334" s="1730"/>
      <c r="R334" s="1730"/>
      <c r="S334" s="1730"/>
      <c r="T334" s="1730"/>
      <c r="U334" s="1730"/>
      <c r="V334" s="1730"/>
      <c r="W334" s="1730"/>
      <c r="X334" s="1903">
        <f t="shared" si="68"/>
        <v>0</v>
      </c>
      <c r="Y334" s="1733">
        <f t="shared" si="78"/>
        <v>0</v>
      </c>
      <c r="Z334" s="528"/>
      <c r="AA334" s="1620"/>
      <c r="AB334" s="1616"/>
      <c r="AC334" s="1616"/>
      <c r="AD334" s="1616"/>
      <c r="AE334" s="1616"/>
      <c r="AF334" s="1587"/>
      <c r="AG334" s="1588"/>
      <c r="AH334" s="1588"/>
      <c r="AI334" s="1588"/>
      <c r="AJ334" s="1628"/>
      <c r="AK334" s="1625">
        <f t="shared" si="69"/>
        <v>0</v>
      </c>
      <c r="AL334" s="1565">
        <f t="shared" si="70"/>
        <v>0</v>
      </c>
      <c r="AM334" s="1565">
        <f t="shared" si="71"/>
        <v>0</v>
      </c>
      <c r="AN334" s="1565">
        <f t="shared" si="72"/>
        <v>0</v>
      </c>
      <c r="AO334" s="1631">
        <f t="shared" si="73"/>
        <v>0</v>
      </c>
      <c r="AP334" s="1634"/>
      <c r="AQ334" s="1635"/>
      <c r="AR334" s="1662">
        <f t="shared" si="74"/>
        <v>0</v>
      </c>
      <c r="AS334" s="1675"/>
      <c r="AT334" s="1676"/>
      <c r="AU334" s="1649">
        <f t="shared" si="75"/>
        <v>0</v>
      </c>
      <c r="AV334" s="935"/>
      <c r="AW334" s="935"/>
      <c r="AX334" s="935"/>
      <c r="AY334" s="722"/>
      <c r="AZ334" s="722"/>
      <c r="BA334" s="722"/>
      <c r="BB334" s="722"/>
      <c r="BC334" s="722"/>
      <c r="BD334" s="722"/>
      <c r="BE334" s="706"/>
      <c r="BF334" s="706"/>
      <c r="BG334" s="694"/>
    </row>
    <row r="335" spans="1:63" ht="15.75" x14ac:dyDescent="0.25">
      <c r="A335" s="1883"/>
      <c r="B335" s="1748"/>
      <c r="C335" s="1884"/>
      <c r="D335" s="1884"/>
      <c r="E335" s="1726">
        <f t="shared" si="56"/>
        <v>0</v>
      </c>
      <c r="F335" s="1722"/>
      <c r="G335" s="1741"/>
      <c r="H335" s="1728"/>
      <c r="I335" s="1743"/>
      <c r="J335" s="1743"/>
      <c r="K335" s="1744"/>
      <c r="L335" s="1734">
        <f t="shared" si="76"/>
        <v>0</v>
      </c>
      <c r="M335" s="1735">
        <f t="shared" si="77"/>
        <v>0</v>
      </c>
      <c r="N335" s="1730"/>
      <c r="O335" s="1730"/>
      <c r="P335" s="1730"/>
      <c r="Q335" s="1730"/>
      <c r="R335" s="1730"/>
      <c r="S335" s="1730"/>
      <c r="T335" s="1730"/>
      <c r="U335" s="1730"/>
      <c r="V335" s="1730"/>
      <c r="W335" s="1730"/>
      <c r="X335" s="1903">
        <f t="shared" si="68"/>
        <v>0</v>
      </c>
      <c r="Y335" s="1733">
        <f t="shared" si="78"/>
        <v>0</v>
      </c>
      <c r="Z335" s="528"/>
      <c r="AA335" s="1620"/>
      <c r="AB335" s="1616"/>
      <c r="AC335" s="1616"/>
      <c r="AD335" s="1616"/>
      <c r="AE335" s="1616"/>
      <c r="AF335" s="1587"/>
      <c r="AG335" s="1588"/>
      <c r="AH335" s="1588"/>
      <c r="AI335" s="1588"/>
      <c r="AJ335" s="1628"/>
      <c r="AK335" s="1625">
        <f t="shared" si="69"/>
        <v>0</v>
      </c>
      <c r="AL335" s="1565">
        <f t="shared" si="70"/>
        <v>0</v>
      </c>
      <c r="AM335" s="1565">
        <f t="shared" si="71"/>
        <v>0</v>
      </c>
      <c r="AN335" s="1565">
        <f t="shared" si="72"/>
        <v>0</v>
      </c>
      <c r="AO335" s="1631">
        <f t="shared" si="73"/>
        <v>0</v>
      </c>
      <c r="AP335" s="1634"/>
      <c r="AQ335" s="1635"/>
      <c r="AR335" s="1662">
        <f t="shared" si="74"/>
        <v>0</v>
      </c>
      <c r="AS335" s="1675"/>
      <c r="AT335" s="1676"/>
      <c r="AU335" s="1649">
        <f t="shared" si="75"/>
        <v>0</v>
      </c>
      <c r="AV335" s="935"/>
      <c r="AW335" s="935"/>
      <c r="AX335" s="935"/>
      <c r="AY335" s="722"/>
      <c r="AZ335" s="722"/>
      <c r="BA335" s="722"/>
      <c r="BB335" s="722"/>
      <c r="BC335" s="722"/>
      <c r="BD335" s="722"/>
      <c r="BE335" s="706"/>
      <c r="BF335" s="706"/>
      <c r="BG335" s="694"/>
    </row>
    <row r="336" spans="1:63" ht="15.75" x14ac:dyDescent="0.25">
      <c r="A336" s="1883"/>
      <c r="B336" s="1748"/>
      <c r="C336" s="1884"/>
      <c r="D336" s="1884"/>
      <c r="E336" s="1726">
        <f t="shared" si="56"/>
        <v>0</v>
      </c>
      <c r="F336" s="1722"/>
      <c r="G336" s="1741"/>
      <c r="H336" s="1728"/>
      <c r="I336" s="1743"/>
      <c r="J336" s="1743"/>
      <c r="K336" s="1744"/>
      <c r="L336" s="1734">
        <f t="shared" si="76"/>
        <v>0</v>
      </c>
      <c r="M336" s="1735">
        <f t="shared" si="77"/>
        <v>0</v>
      </c>
      <c r="N336" s="1730"/>
      <c r="O336" s="1730"/>
      <c r="P336" s="1730"/>
      <c r="Q336" s="1730"/>
      <c r="R336" s="1730"/>
      <c r="S336" s="1730"/>
      <c r="T336" s="1730"/>
      <c r="U336" s="1730"/>
      <c r="V336" s="1730"/>
      <c r="W336" s="1730"/>
      <c r="X336" s="1903">
        <f t="shared" si="68"/>
        <v>0</v>
      </c>
      <c r="Y336" s="1733">
        <f t="shared" si="78"/>
        <v>0</v>
      </c>
      <c r="Z336" s="528"/>
      <c r="AA336" s="1620"/>
      <c r="AB336" s="1616"/>
      <c r="AC336" s="1616"/>
      <c r="AD336" s="1616"/>
      <c r="AE336" s="1616"/>
      <c r="AF336" s="1587"/>
      <c r="AG336" s="1588"/>
      <c r="AH336" s="1588"/>
      <c r="AI336" s="1588"/>
      <c r="AJ336" s="1628"/>
      <c r="AK336" s="1625">
        <f t="shared" si="69"/>
        <v>0</v>
      </c>
      <c r="AL336" s="1565">
        <f t="shared" si="70"/>
        <v>0</v>
      </c>
      <c r="AM336" s="1565">
        <f t="shared" si="71"/>
        <v>0</v>
      </c>
      <c r="AN336" s="1565">
        <f t="shared" si="72"/>
        <v>0</v>
      </c>
      <c r="AO336" s="1631">
        <f t="shared" si="73"/>
        <v>0</v>
      </c>
      <c r="AP336" s="1634"/>
      <c r="AQ336" s="1635"/>
      <c r="AR336" s="1662">
        <f t="shared" si="74"/>
        <v>0</v>
      </c>
      <c r="AS336" s="1675"/>
      <c r="AT336" s="1676"/>
      <c r="AU336" s="1649">
        <f t="shared" si="75"/>
        <v>0</v>
      </c>
      <c r="AV336" s="935"/>
      <c r="AW336" s="935"/>
      <c r="AX336" s="935"/>
      <c r="AY336" s="722"/>
      <c r="AZ336" s="722"/>
      <c r="BA336" s="722"/>
      <c r="BB336" s="722"/>
      <c r="BC336" s="722"/>
      <c r="BD336" s="722"/>
      <c r="BE336" s="706"/>
      <c r="BF336" s="706"/>
      <c r="BG336" s="694"/>
    </row>
    <row r="337" spans="1:59" ht="15.75" x14ac:dyDescent="0.25">
      <c r="A337" s="1883"/>
      <c r="B337" s="1748"/>
      <c r="C337" s="1884"/>
      <c r="D337" s="1884"/>
      <c r="E337" s="1726">
        <f t="shared" si="56"/>
        <v>0</v>
      </c>
      <c r="F337" s="1722"/>
      <c r="G337" s="1741"/>
      <c r="H337" s="1728"/>
      <c r="I337" s="1743"/>
      <c r="J337" s="1743"/>
      <c r="K337" s="1744"/>
      <c r="L337" s="1734">
        <f t="shared" si="76"/>
        <v>0</v>
      </c>
      <c r="M337" s="1735">
        <f t="shared" si="77"/>
        <v>0</v>
      </c>
      <c r="N337" s="1730"/>
      <c r="O337" s="1730"/>
      <c r="P337" s="1730"/>
      <c r="Q337" s="1730"/>
      <c r="R337" s="1730"/>
      <c r="S337" s="1730"/>
      <c r="T337" s="1730"/>
      <c r="U337" s="1730"/>
      <c r="V337" s="1730"/>
      <c r="W337" s="1730"/>
      <c r="X337" s="1903">
        <f t="shared" si="68"/>
        <v>0</v>
      </c>
      <c r="Y337" s="1733">
        <f t="shared" si="78"/>
        <v>0</v>
      </c>
      <c r="Z337" s="528"/>
      <c r="AA337" s="1620"/>
      <c r="AB337" s="1616"/>
      <c r="AC337" s="1616"/>
      <c r="AD337" s="1616"/>
      <c r="AE337" s="1616"/>
      <c r="AF337" s="1587"/>
      <c r="AG337" s="1588"/>
      <c r="AH337" s="1588"/>
      <c r="AI337" s="1588"/>
      <c r="AJ337" s="1628"/>
      <c r="AK337" s="1625">
        <f t="shared" si="69"/>
        <v>0</v>
      </c>
      <c r="AL337" s="1565">
        <f t="shared" si="70"/>
        <v>0</v>
      </c>
      <c r="AM337" s="1565">
        <f t="shared" si="71"/>
        <v>0</v>
      </c>
      <c r="AN337" s="1565">
        <f t="shared" si="72"/>
        <v>0</v>
      </c>
      <c r="AO337" s="1631">
        <f t="shared" si="73"/>
        <v>0</v>
      </c>
      <c r="AP337" s="1634"/>
      <c r="AQ337" s="1635"/>
      <c r="AR337" s="1662">
        <f t="shared" si="74"/>
        <v>0</v>
      </c>
      <c r="AS337" s="1675"/>
      <c r="AT337" s="1676"/>
      <c r="AU337" s="1649">
        <f t="shared" si="75"/>
        <v>0</v>
      </c>
      <c r="AV337" s="935"/>
      <c r="AW337" s="935"/>
      <c r="AX337" s="935"/>
      <c r="AY337" s="722"/>
      <c r="AZ337" s="722"/>
      <c r="BA337" s="722"/>
      <c r="BB337" s="722"/>
      <c r="BC337" s="722"/>
      <c r="BD337" s="722"/>
      <c r="BE337" s="706"/>
      <c r="BF337" s="706"/>
      <c r="BG337" s="694"/>
    </row>
    <row r="338" spans="1:59" ht="15.75" x14ac:dyDescent="0.25">
      <c r="A338" s="1883"/>
      <c r="B338" s="1748"/>
      <c r="C338" s="1884"/>
      <c r="D338" s="1884"/>
      <c r="E338" s="1726">
        <f t="shared" si="56"/>
        <v>0</v>
      </c>
      <c r="F338" s="1722"/>
      <c r="G338" s="1741"/>
      <c r="H338" s="1728"/>
      <c r="I338" s="1743"/>
      <c r="J338" s="1743"/>
      <c r="K338" s="1744"/>
      <c r="L338" s="1734">
        <f t="shared" si="76"/>
        <v>0</v>
      </c>
      <c r="M338" s="1735">
        <f t="shared" si="77"/>
        <v>0</v>
      </c>
      <c r="N338" s="1730"/>
      <c r="O338" s="1730"/>
      <c r="P338" s="1730"/>
      <c r="Q338" s="1730"/>
      <c r="R338" s="1730"/>
      <c r="S338" s="1730"/>
      <c r="T338" s="1730"/>
      <c r="U338" s="1730"/>
      <c r="V338" s="1730"/>
      <c r="W338" s="1730"/>
      <c r="X338" s="1903">
        <f t="shared" si="68"/>
        <v>0</v>
      </c>
      <c r="Y338" s="1733">
        <f t="shared" si="78"/>
        <v>0</v>
      </c>
      <c r="Z338" s="528"/>
      <c r="AA338" s="1620"/>
      <c r="AB338" s="1616"/>
      <c r="AC338" s="1616"/>
      <c r="AD338" s="1616"/>
      <c r="AE338" s="1616"/>
      <c r="AF338" s="1587"/>
      <c r="AG338" s="1588"/>
      <c r="AH338" s="1588"/>
      <c r="AI338" s="1588"/>
      <c r="AJ338" s="1628"/>
      <c r="AK338" s="1625">
        <f t="shared" si="69"/>
        <v>0</v>
      </c>
      <c r="AL338" s="1565">
        <f t="shared" si="70"/>
        <v>0</v>
      </c>
      <c r="AM338" s="1565">
        <f t="shared" si="71"/>
        <v>0</v>
      </c>
      <c r="AN338" s="1565">
        <f t="shared" si="72"/>
        <v>0</v>
      </c>
      <c r="AO338" s="1631">
        <f t="shared" si="73"/>
        <v>0</v>
      </c>
      <c r="AP338" s="1634"/>
      <c r="AQ338" s="1635"/>
      <c r="AR338" s="1662">
        <f t="shared" si="74"/>
        <v>0</v>
      </c>
      <c r="AS338" s="1675"/>
      <c r="AT338" s="1676"/>
      <c r="AU338" s="1649">
        <f t="shared" si="75"/>
        <v>0</v>
      </c>
      <c r="AV338" s="935"/>
      <c r="AW338" s="935"/>
      <c r="AX338" s="935"/>
      <c r="AY338" s="722"/>
      <c r="AZ338" s="722"/>
      <c r="BA338" s="722"/>
      <c r="BB338" s="722"/>
      <c r="BC338" s="722"/>
      <c r="BD338" s="722"/>
      <c r="BE338" s="706"/>
      <c r="BF338" s="706"/>
      <c r="BG338" s="694"/>
    </row>
    <row r="339" spans="1:59" ht="15.75" x14ac:dyDescent="0.25">
      <c r="A339" s="1883"/>
      <c r="B339" s="1748"/>
      <c r="C339" s="1884"/>
      <c r="D339" s="1884"/>
      <c r="E339" s="1726">
        <f t="shared" si="56"/>
        <v>0</v>
      </c>
      <c r="F339" s="1722"/>
      <c r="G339" s="1741"/>
      <c r="H339" s="1728"/>
      <c r="I339" s="1743"/>
      <c r="J339" s="1743"/>
      <c r="K339" s="1744"/>
      <c r="L339" s="1734">
        <f t="shared" si="76"/>
        <v>0</v>
      </c>
      <c r="M339" s="1735">
        <f t="shared" si="77"/>
        <v>0</v>
      </c>
      <c r="N339" s="1730"/>
      <c r="O339" s="1730"/>
      <c r="P339" s="1730"/>
      <c r="Q339" s="1730"/>
      <c r="R339" s="1730"/>
      <c r="S339" s="1730"/>
      <c r="T339" s="1730"/>
      <c r="U339" s="1730"/>
      <c r="V339" s="1730"/>
      <c r="W339" s="1730"/>
      <c r="X339" s="1903">
        <f t="shared" si="68"/>
        <v>0</v>
      </c>
      <c r="Y339" s="1733">
        <f t="shared" si="78"/>
        <v>0</v>
      </c>
      <c r="Z339" s="528"/>
      <c r="AA339" s="1620"/>
      <c r="AB339" s="1616"/>
      <c r="AC339" s="1616"/>
      <c r="AD339" s="1616"/>
      <c r="AE339" s="1616"/>
      <c r="AF339" s="1587"/>
      <c r="AG339" s="1588"/>
      <c r="AH339" s="1588"/>
      <c r="AI339" s="1588"/>
      <c r="AJ339" s="1628"/>
      <c r="AK339" s="1625">
        <f t="shared" si="69"/>
        <v>0</v>
      </c>
      <c r="AL339" s="1565">
        <f t="shared" si="70"/>
        <v>0</v>
      </c>
      <c r="AM339" s="1565">
        <f t="shared" si="71"/>
        <v>0</v>
      </c>
      <c r="AN339" s="1565">
        <f t="shared" si="72"/>
        <v>0</v>
      </c>
      <c r="AO339" s="1631">
        <f t="shared" si="73"/>
        <v>0</v>
      </c>
      <c r="AP339" s="1634"/>
      <c r="AQ339" s="1635"/>
      <c r="AR339" s="1662">
        <f t="shared" si="74"/>
        <v>0</v>
      </c>
      <c r="AS339" s="1675"/>
      <c r="AT339" s="1676"/>
      <c r="AU339" s="1649">
        <f t="shared" si="75"/>
        <v>0</v>
      </c>
      <c r="AV339" s="935"/>
      <c r="AW339" s="935"/>
      <c r="AX339" s="935"/>
      <c r="AY339" s="722"/>
      <c r="AZ339" s="722"/>
      <c r="BA339" s="722"/>
      <c r="BB339" s="722"/>
      <c r="BC339" s="722"/>
      <c r="BD339" s="722"/>
      <c r="BE339" s="706"/>
      <c r="BF339" s="706"/>
      <c r="BG339" s="694"/>
    </row>
    <row r="340" spans="1:59" ht="15.75" x14ac:dyDescent="0.25">
      <c r="A340" s="1883"/>
      <c r="B340" s="1748"/>
      <c r="C340" s="1884"/>
      <c r="D340" s="1884"/>
      <c r="E340" s="1726">
        <f t="shared" si="56"/>
        <v>0</v>
      </c>
      <c r="F340" s="1722"/>
      <c r="G340" s="1741"/>
      <c r="H340" s="1728"/>
      <c r="I340" s="1743"/>
      <c r="J340" s="1743"/>
      <c r="K340" s="1744"/>
      <c r="L340" s="1734">
        <f t="shared" si="76"/>
        <v>0</v>
      </c>
      <c r="M340" s="1735">
        <f t="shared" si="77"/>
        <v>0</v>
      </c>
      <c r="N340" s="1730"/>
      <c r="O340" s="1730"/>
      <c r="P340" s="1730"/>
      <c r="Q340" s="1730"/>
      <c r="R340" s="1730"/>
      <c r="S340" s="1730"/>
      <c r="T340" s="1730"/>
      <c r="U340" s="1730"/>
      <c r="V340" s="1730"/>
      <c r="W340" s="1730"/>
      <c r="X340" s="1903">
        <f t="shared" si="68"/>
        <v>0</v>
      </c>
      <c r="Y340" s="1733">
        <f t="shared" si="78"/>
        <v>0</v>
      </c>
      <c r="Z340" s="528"/>
      <c r="AA340" s="1620"/>
      <c r="AB340" s="1616"/>
      <c r="AC340" s="1616"/>
      <c r="AD340" s="1616"/>
      <c r="AE340" s="1616"/>
      <c r="AF340" s="1587"/>
      <c r="AG340" s="1588"/>
      <c r="AH340" s="1588"/>
      <c r="AI340" s="1588"/>
      <c r="AJ340" s="1628"/>
      <c r="AK340" s="1625">
        <f t="shared" si="69"/>
        <v>0</v>
      </c>
      <c r="AL340" s="1565">
        <f t="shared" si="70"/>
        <v>0</v>
      </c>
      <c r="AM340" s="1565">
        <f t="shared" si="71"/>
        <v>0</v>
      </c>
      <c r="AN340" s="1565">
        <f t="shared" si="72"/>
        <v>0</v>
      </c>
      <c r="AO340" s="1631">
        <f t="shared" si="73"/>
        <v>0</v>
      </c>
      <c r="AP340" s="1634"/>
      <c r="AQ340" s="1635"/>
      <c r="AR340" s="1662">
        <f t="shared" si="74"/>
        <v>0</v>
      </c>
      <c r="AS340" s="1675"/>
      <c r="AT340" s="1676"/>
      <c r="AU340" s="1649">
        <f t="shared" si="75"/>
        <v>0</v>
      </c>
      <c r="AV340" s="935"/>
      <c r="AW340" s="935"/>
      <c r="AX340" s="935"/>
      <c r="AY340" s="722"/>
      <c r="AZ340" s="722"/>
      <c r="BA340" s="722"/>
      <c r="BB340" s="722"/>
      <c r="BC340" s="722"/>
      <c r="BD340" s="722"/>
      <c r="BE340" s="706"/>
      <c r="BF340" s="706"/>
      <c r="BG340" s="694"/>
    </row>
    <row r="341" spans="1:59" ht="15.75" x14ac:dyDescent="0.25">
      <c r="A341" s="1883"/>
      <c r="B341" s="1748"/>
      <c r="C341" s="1884"/>
      <c r="D341" s="1884"/>
      <c r="E341" s="1726">
        <f t="shared" si="56"/>
        <v>0</v>
      </c>
      <c r="F341" s="1722"/>
      <c r="G341" s="1741"/>
      <c r="H341" s="1728"/>
      <c r="I341" s="1743"/>
      <c r="J341" s="1743"/>
      <c r="K341" s="1744"/>
      <c r="L341" s="1734">
        <f t="shared" si="76"/>
        <v>0</v>
      </c>
      <c r="M341" s="1735">
        <f t="shared" si="77"/>
        <v>0</v>
      </c>
      <c r="N341" s="1730"/>
      <c r="O341" s="1730"/>
      <c r="P341" s="1730"/>
      <c r="Q341" s="1730"/>
      <c r="R341" s="1730"/>
      <c r="S341" s="1730"/>
      <c r="T341" s="1730"/>
      <c r="U341" s="1730"/>
      <c r="V341" s="1730"/>
      <c r="W341" s="1730"/>
      <c r="X341" s="1903">
        <f t="shared" si="68"/>
        <v>0</v>
      </c>
      <c r="Y341" s="1733">
        <f t="shared" si="78"/>
        <v>0</v>
      </c>
      <c r="Z341" s="528"/>
      <c r="AA341" s="1620"/>
      <c r="AB341" s="1616"/>
      <c r="AC341" s="1616"/>
      <c r="AD341" s="1616"/>
      <c r="AE341" s="1616"/>
      <c r="AF341" s="1587"/>
      <c r="AG341" s="1588"/>
      <c r="AH341" s="1588"/>
      <c r="AI341" s="1588"/>
      <c r="AJ341" s="1628"/>
      <c r="AK341" s="1625">
        <f t="shared" si="69"/>
        <v>0</v>
      </c>
      <c r="AL341" s="1565">
        <f t="shared" si="70"/>
        <v>0</v>
      </c>
      <c r="AM341" s="1565">
        <f t="shared" si="71"/>
        <v>0</v>
      </c>
      <c r="AN341" s="1565">
        <f t="shared" si="72"/>
        <v>0</v>
      </c>
      <c r="AO341" s="1631">
        <f t="shared" si="73"/>
        <v>0</v>
      </c>
      <c r="AP341" s="1634"/>
      <c r="AQ341" s="1635"/>
      <c r="AR341" s="1662">
        <f t="shared" si="74"/>
        <v>0</v>
      </c>
      <c r="AS341" s="1675"/>
      <c r="AT341" s="1676"/>
      <c r="AU341" s="1649">
        <f t="shared" si="75"/>
        <v>0</v>
      </c>
      <c r="AV341" s="935"/>
      <c r="AW341" s="935"/>
      <c r="AX341" s="935"/>
      <c r="AY341" s="722"/>
      <c r="AZ341" s="722"/>
      <c r="BA341" s="722"/>
      <c r="BB341" s="722"/>
      <c r="BC341" s="722"/>
      <c r="BD341" s="722"/>
      <c r="BE341" s="706"/>
      <c r="BF341" s="706"/>
      <c r="BG341" s="694"/>
    </row>
    <row r="342" spans="1:59" ht="15.75" x14ac:dyDescent="0.25">
      <c r="A342" s="1883"/>
      <c r="B342" s="1748"/>
      <c r="C342" s="1884"/>
      <c r="D342" s="1884"/>
      <c r="E342" s="1726">
        <f t="shared" si="56"/>
        <v>0</v>
      </c>
      <c r="F342" s="1722"/>
      <c r="G342" s="1741"/>
      <c r="H342" s="1728"/>
      <c r="I342" s="1743"/>
      <c r="J342" s="1743"/>
      <c r="K342" s="1744"/>
      <c r="L342" s="1734">
        <f t="shared" si="76"/>
        <v>0</v>
      </c>
      <c r="M342" s="1735">
        <f t="shared" si="77"/>
        <v>0</v>
      </c>
      <c r="N342" s="1730"/>
      <c r="O342" s="1730"/>
      <c r="P342" s="1730"/>
      <c r="Q342" s="1730"/>
      <c r="R342" s="1730"/>
      <c r="S342" s="1730"/>
      <c r="T342" s="1730"/>
      <c r="U342" s="1730"/>
      <c r="V342" s="1730"/>
      <c r="W342" s="1730"/>
      <c r="X342" s="1903">
        <f t="shared" si="68"/>
        <v>0</v>
      </c>
      <c r="Y342" s="1733">
        <f t="shared" si="78"/>
        <v>0</v>
      </c>
      <c r="Z342" s="528"/>
      <c r="AA342" s="1620"/>
      <c r="AB342" s="1616"/>
      <c r="AC342" s="1616"/>
      <c r="AD342" s="1616"/>
      <c r="AE342" s="1616"/>
      <c r="AF342" s="1587"/>
      <c r="AG342" s="1588"/>
      <c r="AH342" s="1588"/>
      <c r="AI342" s="1588"/>
      <c r="AJ342" s="1628"/>
      <c r="AK342" s="1625">
        <f t="shared" si="69"/>
        <v>0</v>
      </c>
      <c r="AL342" s="1565">
        <f t="shared" si="70"/>
        <v>0</v>
      </c>
      <c r="AM342" s="1565">
        <f t="shared" si="71"/>
        <v>0</v>
      </c>
      <c r="AN342" s="1565">
        <f t="shared" si="72"/>
        <v>0</v>
      </c>
      <c r="AO342" s="1631">
        <f t="shared" si="73"/>
        <v>0</v>
      </c>
      <c r="AP342" s="1634"/>
      <c r="AQ342" s="1635"/>
      <c r="AR342" s="1662">
        <f t="shared" si="74"/>
        <v>0</v>
      </c>
      <c r="AS342" s="1675"/>
      <c r="AT342" s="1676"/>
      <c r="AU342" s="1649">
        <f t="shared" si="75"/>
        <v>0</v>
      </c>
      <c r="AV342" s="935"/>
      <c r="AW342" s="935"/>
      <c r="AX342" s="935"/>
      <c r="AY342" s="722"/>
      <c r="AZ342" s="722"/>
      <c r="BA342" s="722"/>
      <c r="BB342" s="722"/>
      <c r="BC342" s="722"/>
      <c r="BD342" s="722"/>
      <c r="BE342" s="706"/>
      <c r="BF342" s="706"/>
      <c r="BG342" s="694"/>
    </row>
    <row r="343" spans="1:59" ht="15.75" x14ac:dyDescent="0.25">
      <c r="A343" s="1883"/>
      <c r="B343" s="1748"/>
      <c r="C343" s="1884"/>
      <c r="D343" s="1884"/>
      <c r="E343" s="1726">
        <f t="shared" si="56"/>
        <v>0</v>
      </c>
      <c r="F343" s="1722"/>
      <c r="G343" s="1741"/>
      <c r="H343" s="1728"/>
      <c r="I343" s="1743"/>
      <c r="J343" s="1743"/>
      <c r="K343" s="1744"/>
      <c r="L343" s="1734">
        <f t="shared" si="76"/>
        <v>0</v>
      </c>
      <c r="M343" s="1735">
        <f t="shared" si="77"/>
        <v>0</v>
      </c>
      <c r="N343" s="1730"/>
      <c r="O343" s="1730"/>
      <c r="P343" s="1730"/>
      <c r="Q343" s="1730"/>
      <c r="R343" s="1730"/>
      <c r="S343" s="1730"/>
      <c r="T343" s="1730"/>
      <c r="U343" s="1730"/>
      <c r="V343" s="1730"/>
      <c r="W343" s="1730"/>
      <c r="X343" s="1903">
        <f t="shared" si="68"/>
        <v>0</v>
      </c>
      <c r="Y343" s="1733">
        <f t="shared" si="78"/>
        <v>0</v>
      </c>
      <c r="Z343" s="528"/>
      <c r="AA343" s="1620"/>
      <c r="AB343" s="1616"/>
      <c r="AC343" s="1616"/>
      <c r="AD343" s="1616"/>
      <c r="AE343" s="1616"/>
      <c r="AF343" s="1587"/>
      <c r="AG343" s="1588"/>
      <c r="AH343" s="1588"/>
      <c r="AI343" s="1588"/>
      <c r="AJ343" s="1628"/>
      <c r="AK343" s="1625">
        <f t="shared" si="69"/>
        <v>0</v>
      </c>
      <c r="AL343" s="1565">
        <f t="shared" si="70"/>
        <v>0</v>
      </c>
      <c r="AM343" s="1565">
        <f t="shared" si="71"/>
        <v>0</v>
      </c>
      <c r="AN343" s="1565">
        <f t="shared" si="72"/>
        <v>0</v>
      </c>
      <c r="AO343" s="1631">
        <f t="shared" si="73"/>
        <v>0</v>
      </c>
      <c r="AP343" s="1634"/>
      <c r="AQ343" s="1635"/>
      <c r="AR343" s="1662">
        <f t="shared" si="74"/>
        <v>0</v>
      </c>
      <c r="AS343" s="1675"/>
      <c r="AT343" s="1676"/>
      <c r="AU343" s="1649">
        <f t="shared" si="75"/>
        <v>0</v>
      </c>
      <c r="AV343" s="935"/>
      <c r="AW343" s="935"/>
      <c r="AX343" s="935"/>
      <c r="AY343" s="722"/>
      <c r="AZ343" s="722"/>
      <c r="BA343" s="722"/>
      <c r="BB343" s="722"/>
      <c r="BC343" s="722"/>
      <c r="BD343" s="722"/>
      <c r="BE343" s="706"/>
      <c r="BF343" s="706"/>
      <c r="BG343" s="694"/>
    </row>
    <row r="344" spans="1:59" ht="15.75" x14ac:dyDescent="0.25">
      <c r="A344" s="1883"/>
      <c r="B344" s="1748"/>
      <c r="C344" s="1884"/>
      <c r="D344" s="1884"/>
      <c r="E344" s="1726">
        <f t="shared" si="56"/>
        <v>0</v>
      </c>
      <c r="F344" s="1722"/>
      <c r="G344" s="1741"/>
      <c r="H344" s="1728"/>
      <c r="I344" s="1743"/>
      <c r="J344" s="1743"/>
      <c r="K344" s="1744"/>
      <c r="L344" s="1734">
        <f t="shared" si="76"/>
        <v>0</v>
      </c>
      <c r="M344" s="1735">
        <f t="shared" si="77"/>
        <v>0</v>
      </c>
      <c r="N344" s="1730"/>
      <c r="O344" s="1730"/>
      <c r="P344" s="1730"/>
      <c r="Q344" s="1730"/>
      <c r="R344" s="1730"/>
      <c r="S344" s="1730"/>
      <c r="T344" s="1730"/>
      <c r="U344" s="1730"/>
      <c r="V344" s="1730"/>
      <c r="W344" s="1730"/>
      <c r="X344" s="1903">
        <f t="shared" si="68"/>
        <v>0</v>
      </c>
      <c r="Y344" s="1733">
        <f t="shared" si="78"/>
        <v>0</v>
      </c>
      <c r="Z344" s="528"/>
      <c r="AA344" s="1620"/>
      <c r="AB344" s="1616"/>
      <c r="AC344" s="1616"/>
      <c r="AD344" s="1616"/>
      <c r="AE344" s="1616"/>
      <c r="AF344" s="1587"/>
      <c r="AG344" s="1588"/>
      <c r="AH344" s="1588"/>
      <c r="AI344" s="1588"/>
      <c r="AJ344" s="1628"/>
      <c r="AK344" s="1625">
        <f t="shared" si="69"/>
        <v>0</v>
      </c>
      <c r="AL344" s="1565">
        <f t="shared" si="70"/>
        <v>0</v>
      </c>
      <c r="AM344" s="1565">
        <f t="shared" si="71"/>
        <v>0</v>
      </c>
      <c r="AN344" s="1565">
        <f t="shared" si="72"/>
        <v>0</v>
      </c>
      <c r="AO344" s="1631">
        <f t="shared" si="73"/>
        <v>0</v>
      </c>
      <c r="AP344" s="1634"/>
      <c r="AQ344" s="1635"/>
      <c r="AR344" s="1662">
        <f t="shared" si="74"/>
        <v>0</v>
      </c>
      <c r="AS344" s="1675"/>
      <c r="AT344" s="1676"/>
      <c r="AU344" s="1649">
        <f t="shared" si="75"/>
        <v>0</v>
      </c>
      <c r="AV344" s="935"/>
      <c r="AW344" s="935"/>
      <c r="AX344" s="935"/>
      <c r="AY344" s="722"/>
      <c r="AZ344" s="722"/>
      <c r="BA344" s="722"/>
      <c r="BB344" s="722"/>
      <c r="BC344" s="722"/>
      <c r="BD344" s="722"/>
      <c r="BE344" s="706"/>
      <c r="BF344" s="706"/>
      <c r="BG344" s="694"/>
    </row>
    <row r="345" spans="1:59" ht="15.75" x14ac:dyDescent="0.25">
      <c r="A345" s="1883"/>
      <c r="B345" s="1748"/>
      <c r="C345" s="1884"/>
      <c r="D345" s="1884"/>
      <c r="E345" s="1726">
        <f t="shared" si="56"/>
        <v>0</v>
      </c>
      <c r="F345" s="1722"/>
      <c r="G345" s="1741"/>
      <c r="H345" s="1728"/>
      <c r="I345" s="1743"/>
      <c r="J345" s="1743"/>
      <c r="K345" s="1744"/>
      <c r="L345" s="1734">
        <f t="shared" si="76"/>
        <v>0</v>
      </c>
      <c r="M345" s="1735">
        <f t="shared" si="77"/>
        <v>0</v>
      </c>
      <c r="N345" s="1730"/>
      <c r="O345" s="1730"/>
      <c r="P345" s="1730"/>
      <c r="Q345" s="1730"/>
      <c r="R345" s="1730"/>
      <c r="S345" s="1730"/>
      <c r="T345" s="1730"/>
      <c r="U345" s="1730"/>
      <c r="V345" s="1730"/>
      <c r="W345" s="1730"/>
      <c r="X345" s="1903">
        <f t="shared" si="68"/>
        <v>0</v>
      </c>
      <c r="Y345" s="1733">
        <f t="shared" si="78"/>
        <v>0</v>
      </c>
      <c r="Z345" s="528"/>
      <c r="AA345" s="1620"/>
      <c r="AB345" s="1616"/>
      <c r="AC345" s="1616"/>
      <c r="AD345" s="1616"/>
      <c r="AE345" s="1616"/>
      <c r="AF345" s="1587"/>
      <c r="AG345" s="1588"/>
      <c r="AH345" s="1588"/>
      <c r="AI345" s="1588"/>
      <c r="AJ345" s="1628"/>
      <c r="AK345" s="1625">
        <f t="shared" si="69"/>
        <v>0</v>
      </c>
      <c r="AL345" s="1565">
        <f t="shared" si="70"/>
        <v>0</v>
      </c>
      <c r="AM345" s="1565">
        <f t="shared" si="71"/>
        <v>0</v>
      </c>
      <c r="AN345" s="1565">
        <f t="shared" si="72"/>
        <v>0</v>
      </c>
      <c r="AO345" s="1631">
        <f t="shared" si="73"/>
        <v>0</v>
      </c>
      <c r="AP345" s="1634"/>
      <c r="AQ345" s="1635"/>
      <c r="AR345" s="1662">
        <f t="shared" si="74"/>
        <v>0</v>
      </c>
      <c r="AS345" s="1675"/>
      <c r="AT345" s="1676"/>
      <c r="AU345" s="1649">
        <f t="shared" si="75"/>
        <v>0</v>
      </c>
      <c r="AV345" s="935"/>
      <c r="AW345" s="935"/>
      <c r="AX345" s="935"/>
      <c r="AY345" s="722"/>
      <c r="AZ345" s="722"/>
      <c r="BA345" s="722"/>
      <c r="BB345" s="722"/>
      <c r="BC345" s="722"/>
      <c r="BD345" s="722"/>
      <c r="BE345" s="706"/>
      <c r="BF345" s="706"/>
      <c r="BG345" s="694"/>
    </row>
    <row r="346" spans="1:59" ht="15.75" x14ac:dyDescent="0.25">
      <c r="A346" s="1883"/>
      <c r="B346" s="1748"/>
      <c r="C346" s="1884"/>
      <c r="D346" s="1884"/>
      <c r="E346" s="1726">
        <f t="shared" si="56"/>
        <v>0</v>
      </c>
      <c r="F346" s="1722"/>
      <c r="G346" s="1741"/>
      <c r="H346" s="1728"/>
      <c r="I346" s="1743"/>
      <c r="J346" s="1743"/>
      <c r="K346" s="1744"/>
      <c r="L346" s="1734">
        <f t="shared" si="76"/>
        <v>0</v>
      </c>
      <c r="M346" s="1735">
        <f t="shared" si="77"/>
        <v>0</v>
      </c>
      <c r="N346" s="1730"/>
      <c r="O346" s="1730"/>
      <c r="P346" s="1730"/>
      <c r="Q346" s="1730"/>
      <c r="R346" s="1730"/>
      <c r="S346" s="1730"/>
      <c r="T346" s="1730"/>
      <c r="U346" s="1730"/>
      <c r="V346" s="1730"/>
      <c r="W346" s="1730"/>
      <c r="X346" s="1903">
        <f t="shared" si="68"/>
        <v>0</v>
      </c>
      <c r="Y346" s="1733">
        <f t="shared" si="78"/>
        <v>0</v>
      </c>
      <c r="Z346" s="528"/>
      <c r="AA346" s="1620"/>
      <c r="AB346" s="1616"/>
      <c r="AC346" s="1616"/>
      <c r="AD346" s="1616"/>
      <c r="AE346" s="1616"/>
      <c r="AF346" s="1587"/>
      <c r="AG346" s="1588"/>
      <c r="AH346" s="1588"/>
      <c r="AI346" s="1588"/>
      <c r="AJ346" s="1628"/>
      <c r="AK346" s="1625">
        <f t="shared" si="69"/>
        <v>0</v>
      </c>
      <c r="AL346" s="1565">
        <f t="shared" si="70"/>
        <v>0</v>
      </c>
      <c r="AM346" s="1565">
        <f t="shared" si="71"/>
        <v>0</v>
      </c>
      <c r="AN346" s="1565">
        <f t="shared" si="72"/>
        <v>0</v>
      </c>
      <c r="AO346" s="1631">
        <f t="shared" si="73"/>
        <v>0</v>
      </c>
      <c r="AP346" s="1634"/>
      <c r="AQ346" s="1635"/>
      <c r="AR346" s="1662">
        <f t="shared" si="74"/>
        <v>0</v>
      </c>
      <c r="AS346" s="1675"/>
      <c r="AT346" s="1676"/>
      <c r="AU346" s="1649">
        <f t="shared" si="75"/>
        <v>0</v>
      </c>
      <c r="AV346" s="935"/>
      <c r="AW346" s="935"/>
      <c r="AX346" s="935"/>
      <c r="AY346" s="722"/>
      <c r="AZ346" s="722"/>
      <c r="BA346" s="722"/>
      <c r="BB346" s="722"/>
      <c r="BC346" s="722"/>
      <c r="BD346" s="722"/>
      <c r="BE346" s="706"/>
      <c r="BF346" s="706"/>
      <c r="BG346" s="694"/>
    </row>
    <row r="347" spans="1:59" ht="15.75" x14ac:dyDescent="0.25">
      <c r="A347" s="1883"/>
      <c r="B347" s="1748"/>
      <c r="C347" s="1884"/>
      <c r="D347" s="1884"/>
      <c r="E347" s="1726">
        <f>IFERROR(D347/B347,0)</f>
        <v>0</v>
      </c>
      <c r="F347" s="1722"/>
      <c r="G347" s="1741"/>
      <c r="H347" s="1728"/>
      <c r="I347" s="1743"/>
      <c r="J347" s="1743"/>
      <c r="K347" s="1744"/>
      <c r="L347" s="1734">
        <f t="shared" si="76"/>
        <v>0</v>
      </c>
      <c r="M347" s="1735">
        <f t="shared" si="77"/>
        <v>0</v>
      </c>
      <c r="N347" s="1730"/>
      <c r="O347" s="1730"/>
      <c r="P347" s="1730"/>
      <c r="Q347" s="1730"/>
      <c r="R347" s="1730"/>
      <c r="S347" s="1730"/>
      <c r="T347" s="1730"/>
      <c r="U347" s="1730"/>
      <c r="V347" s="1730"/>
      <c r="W347" s="1730"/>
      <c r="X347" s="1903">
        <f t="shared" si="68"/>
        <v>0</v>
      </c>
      <c r="Y347" s="1733">
        <f t="shared" si="78"/>
        <v>0</v>
      </c>
      <c r="Z347" s="528"/>
      <c r="AA347" s="1620"/>
      <c r="AB347" s="1616"/>
      <c r="AC347" s="1616"/>
      <c r="AD347" s="1616"/>
      <c r="AE347" s="1616"/>
      <c r="AF347" s="1587"/>
      <c r="AG347" s="1588"/>
      <c r="AH347" s="1588"/>
      <c r="AI347" s="1588"/>
      <c r="AJ347" s="1628"/>
      <c r="AK347" s="1625">
        <f t="shared" si="69"/>
        <v>0</v>
      </c>
      <c r="AL347" s="1565">
        <f t="shared" si="70"/>
        <v>0</v>
      </c>
      <c r="AM347" s="1565">
        <f t="shared" si="71"/>
        <v>0</v>
      </c>
      <c r="AN347" s="1565">
        <f t="shared" si="72"/>
        <v>0</v>
      </c>
      <c r="AO347" s="1631">
        <f t="shared" si="73"/>
        <v>0</v>
      </c>
      <c r="AP347" s="1634"/>
      <c r="AQ347" s="1635"/>
      <c r="AR347" s="1662">
        <f t="shared" si="74"/>
        <v>0</v>
      </c>
      <c r="AS347" s="1675"/>
      <c r="AT347" s="1676"/>
      <c r="AU347" s="1649">
        <f t="shared" si="75"/>
        <v>0</v>
      </c>
      <c r="AV347" s="935"/>
      <c r="AW347" s="935"/>
      <c r="AX347" s="935"/>
      <c r="AY347" s="722"/>
      <c r="AZ347" s="722"/>
      <c r="BA347" s="722"/>
      <c r="BB347" s="722"/>
      <c r="BC347" s="722"/>
      <c r="BD347" s="722"/>
      <c r="BE347" s="706"/>
      <c r="BF347" s="706"/>
      <c r="BG347" s="694"/>
    </row>
    <row r="348" spans="1:59" ht="15.75" x14ac:dyDescent="0.25">
      <c r="A348" s="1883"/>
      <c r="B348" s="1748"/>
      <c r="C348" s="1884"/>
      <c r="D348" s="1884"/>
      <c r="E348" s="1726">
        <f t="shared" ref="E348:E358" si="79">IFERROR(D348/B348,0)</f>
        <v>0</v>
      </c>
      <c r="F348" s="1722"/>
      <c r="G348" s="1741"/>
      <c r="H348" s="1728"/>
      <c r="I348" s="1743"/>
      <c r="J348" s="1743"/>
      <c r="K348" s="1744"/>
      <c r="L348" s="1734">
        <f t="shared" si="76"/>
        <v>0</v>
      </c>
      <c r="M348" s="1735">
        <f t="shared" si="77"/>
        <v>0</v>
      </c>
      <c r="N348" s="1730"/>
      <c r="O348" s="1730"/>
      <c r="P348" s="1730"/>
      <c r="Q348" s="1730"/>
      <c r="R348" s="1730"/>
      <c r="S348" s="1730"/>
      <c r="T348" s="1730"/>
      <c r="U348" s="1730"/>
      <c r="V348" s="1730"/>
      <c r="W348" s="1730"/>
      <c r="X348" s="1903">
        <f t="shared" si="68"/>
        <v>0</v>
      </c>
      <c r="Y348" s="1733">
        <f t="shared" si="78"/>
        <v>0</v>
      </c>
      <c r="Z348" s="528"/>
      <c r="AA348" s="1620"/>
      <c r="AB348" s="1616"/>
      <c r="AC348" s="1616"/>
      <c r="AD348" s="1616"/>
      <c r="AE348" s="1616"/>
      <c r="AF348" s="1587"/>
      <c r="AG348" s="1588"/>
      <c r="AH348" s="1588"/>
      <c r="AI348" s="1588"/>
      <c r="AJ348" s="1628"/>
      <c r="AK348" s="1625">
        <f t="shared" si="69"/>
        <v>0</v>
      </c>
      <c r="AL348" s="1565">
        <f t="shared" si="70"/>
        <v>0</v>
      </c>
      <c r="AM348" s="1565">
        <f t="shared" si="71"/>
        <v>0</v>
      </c>
      <c r="AN348" s="1565">
        <f t="shared" si="72"/>
        <v>0</v>
      </c>
      <c r="AO348" s="1631">
        <f t="shared" si="73"/>
        <v>0</v>
      </c>
      <c r="AP348" s="1634"/>
      <c r="AQ348" s="1635"/>
      <c r="AR348" s="1662">
        <f t="shared" si="74"/>
        <v>0</v>
      </c>
      <c r="AS348" s="1675"/>
      <c r="AT348" s="1676"/>
      <c r="AU348" s="1649">
        <f t="shared" si="75"/>
        <v>0</v>
      </c>
      <c r="AV348" s="935"/>
      <c r="AW348" s="935"/>
      <c r="AX348" s="935"/>
      <c r="AY348" s="722"/>
      <c r="AZ348" s="722"/>
      <c r="BA348" s="722"/>
      <c r="BB348" s="722"/>
      <c r="BC348" s="722"/>
      <c r="BD348" s="722"/>
      <c r="BE348" s="706"/>
      <c r="BF348" s="706"/>
      <c r="BG348" s="694"/>
    </row>
    <row r="349" spans="1:59" ht="15.75" x14ac:dyDescent="0.25">
      <c r="A349" s="1883"/>
      <c r="B349" s="1748"/>
      <c r="C349" s="1884"/>
      <c r="D349" s="1884"/>
      <c r="E349" s="1726">
        <f t="shared" si="79"/>
        <v>0</v>
      </c>
      <c r="F349" s="1722"/>
      <c r="G349" s="1741"/>
      <c r="H349" s="1728"/>
      <c r="I349" s="1743"/>
      <c r="J349" s="1743"/>
      <c r="K349" s="1744"/>
      <c r="L349" s="1734">
        <f t="shared" si="76"/>
        <v>0</v>
      </c>
      <c r="M349" s="1735">
        <f t="shared" si="77"/>
        <v>0</v>
      </c>
      <c r="N349" s="1730"/>
      <c r="O349" s="1730"/>
      <c r="P349" s="1730"/>
      <c r="Q349" s="1730"/>
      <c r="R349" s="1730"/>
      <c r="S349" s="1730"/>
      <c r="T349" s="1730"/>
      <c r="U349" s="1730"/>
      <c r="V349" s="1730"/>
      <c r="W349" s="1730"/>
      <c r="X349" s="1903">
        <f t="shared" si="68"/>
        <v>0</v>
      </c>
      <c r="Y349" s="1733">
        <f t="shared" si="78"/>
        <v>0</v>
      </c>
      <c r="Z349" s="528"/>
      <c r="AA349" s="1620"/>
      <c r="AB349" s="1616"/>
      <c r="AC349" s="1616"/>
      <c r="AD349" s="1616"/>
      <c r="AE349" s="1616"/>
      <c r="AF349" s="1587"/>
      <c r="AG349" s="1588"/>
      <c r="AH349" s="1588"/>
      <c r="AI349" s="1588"/>
      <c r="AJ349" s="1628"/>
      <c r="AK349" s="1625">
        <f t="shared" si="69"/>
        <v>0</v>
      </c>
      <c r="AL349" s="1565">
        <f t="shared" si="70"/>
        <v>0</v>
      </c>
      <c r="AM349" s="1565">
        <f t="shared" si="71"/>
        <v>0</v>
      </c>
      <c r="AN349" s="1565">
        <f t="shared" si="72"/>
        <v>0</v>
      </c>
      <c r="AO349" s="1631">
        <f t="shared" si="73"/>
        <v>0</v>
      </c>
      <c r="AP349" s="1634"/>
      <c r="AQ349" s="1635"/>
      <c r="AR349" s="1662">
        <f t="shared" si="74"/>
        <v>0</v>
      </c>
      <c r="AS349" s="1675"/>
      <c r="AT349" s="1676"/>
      <c r="AU349" s="1649">
        <f t="shared" si="75"/>
        <v>0</v>
      </c>
      <c r="AV349" s="935"/>
      <c r="AW349" s="935"/>
      <c r="AX349" s="935"/>
      <c r="AY349" s="722"/>
      <c r="AZ349" s="722"/>
      <c r="BA349" s="722"/>
      <c r="BB349" s="722"/>
      <c r="BC349" s="722"/>
      <c r="BD349" s="722"/>
      <c r="BE349" s="706"/>
      <c r="BF349" s="706"/>
      <c r="BG349" s="694"/>
    </row>
    <row r="350" spans="1:59" ht="15.75" x14ac:dyDescent="0.25">
      <c r="A350" s="1883"/>
      <c r="B350" s="1748"/>
      <c r="C350" s="1884"/>
      <c r="D350" s="1884"/>
      <c r="E350" s="1726">
        <f t="shared" si="79"/>
        <v>0</v>
      </c>
      <c r="F350" s="1722"/>
      <c r="G350" s="1741"/>
      <c r="H350" s="1728"/>
      <c r="I350" s="1743"/>
      <c r="J350" s="1743"/>
      <c r="K350" s="1744"/>
      <c r="L350" s="1734">
        <f t="shared" si="76"/>
        <v>0</v>
      </c>
      <c r="M350" s="1735">
        <f t="shared" si="77"/>
        <v>0</v>
      </c>
      <c r="N350" s="1730"/>
      <c r="O350" s="1730"/>
      <c r="P350" s="1730"/>
      <c r="Q350" s="1730"/>
      <c r="R350" s="1730"/>
      <c r="S350" s="1730"/>
      <c r="T350" s="1730"/>
      <c r="U350" s="1730"/>
      <c r="V350" s="1730"/>
      <c r="W350" s="1730"/>
      <c r="X350" s="1903">
        <f t="shared" si="68"/>
        <v>0</v>
      </c>
      <c r="Y350" s="1733">
        <f t="shared" si="78"/>
        <v>0</v>
      </c>
      <c r="Z350" s="528"/>
      <c r="AA350" s="1620"/>
      <c r="AB350" s="1616"/>
      <c r="AC350" s="1616"/>
      <c r="AD350" s="1616"/>
      <c r="AE350" s="1616"/>
      <c r="AF350" s="1587"/>
      <c r="AG350" s="1588"/>
      <c r="AH350" s="1588"/>
      <c r="AI350" s="1588"/>
      <c r="AJ350" s="1628"/>
      <c r="AK350" s="1625">
        <f t="shared" si="69"/>
        <v>0</v>
      </c>
      <c r="AL350" s="1565">
        <f t="shared" si="70"/>
        <v>0</v>
      </c>
      <c r="AM350" s="1565">
        <f t="shared" si="71"/>
        <v>0</v>
      </c>
      <c r="AN350" s="1565">
        <f t="shared" si="72"/>
        <v>0</v>
      </c>
      <c r="AO350" s="1631">
        <f t="shared" si="73"/>
        <v>0</v>
      </c>
      <c r="AP350" s="1634"/>
      <c r="AQ350" s="1635"/>
      <c r="AR350" s="1662">
        <f t="shared" si="74"/>
        <v>0</v>
      </c>
      <c r="AS350" s="1675"/>
      <c r="AT350" s="1676"/>
      <c r="AU350" s="1649">
        <f t="shared" si="75"/>
        <v>0</v>
      </c>
      <c r="AV350" s="935"/>
      <c r="AW350" s="935"/>
      <c r="AX350" s="935"/>
      <c r="AY350" s="722"/>
      <c r="AZ350" s="722"/>
      <c r="BA350" s="722"/>
      <c r="BB350" s="722"/>
      <c r="BC350" s="722"/>
      <c r="BD350" s="722"/>
      <c r="BE350" s="706"/>
      <c r="BF350" s="706"/>
      <c r="BG350" s="694"/>
    </row>
    <row r="351" spans="1:59" ht="15.75" x14ac:dyDescent="0.25">
      <c r="A351" s="1883"/>
      <c r="B351" s="1748"/>
      <c r="C351" s="1884"/>
      <c r="D351" s="1884"/>
      <c r="E351" s="1726">
        <f t="shared" si="79"/>
        <v>0</v>
      </c>
      <c r="F351" s="1722"/>
      <c r="G351" s="1741"/>
      <c r="H351" s="1728"/>
      <c r="I351" s="1743"/>
      <c r="J351" s="1743"/>
      <c r="K351" s="1744"/>
      <c r="L351" s="1734">
        <f t="shared" si="76"/>
        <v>0</v>
      </c>
      <c r="M351" s="1735">
        <f t="shared" si="77"/>
        <v>0</v>
      </c>
      <c r="N351" s="1730"/>
      <c r="O351" s="1730"/>
      <c r="P351" s="1730"/>
      <c r="Q351" s="1730"/>
      <c r="R351" s="1730"/>
      <c r="S351" s="1730"/>
      <c r="T351" s="1730"/>
      <c r="U351" s="1730"/>
      <c r="V351" s="1730"/>
      <c r="W351" s="1730"/>
      <c r="X351" s="1903">
        <f t="shared" si="68"/>
        <v>0</v>
      </c>
      <c r="Y351" s="1733">
        <f t="shared" si="78"/>
        <v>0</v>
      </c>
      <c r="Z351" s="528"/>
      <c r="AA351" s="1620"/>
      <c r="AB351" s="1616"/>
      <c r="AC351" s="1616"/>
      <c r="AD351" s="1616"/>
      <c r="AE351" s="1616"/>
      <c r="AF351" s="1587"/>
      <c r="AG351" s="1588"/>
      <c r="AH351" s="1588"/>
      <c r="AI351" s="1588"/>
      <c r="AJ351" s="1628"/>
      <c r="AK351" s="1625">
        <f t="shared" si="69"/>
        <v>0</v>
      </c>
      <c r="AL351" s="1565">
        <f t="shared" si="70"/>
        <v>0</v>
      </c>
      <c r="AM351" s="1565">
        <f t="shared" si="71"/>
        <v>0</v>
      </c>
      <c r="AN351" s="1565">
        <f t="shared" si="72"/>
        <v>0</v>
      </c>
      <c r="AO351" s="1631">
        <f t="shared" si="73"/>
        <v>0</v>
      </c>
      <c r="AP351" s="1634"/>
      <c r="AQ351" s="1635"/>
      <c r="AR351" s="1662">
        <f t="shared" si="74"/>
        <v>0</v>
      </c>
      <c r="AS351" s="1675"/>
      <c r="AT351" s="1676"/>
      <c r="AU351" s="1649">
        <f t="shared" si="75"/>
        <v>0</v>
      </c>
      <c r="AV351" s="935"/>
      <c r="AW351" s="935"/>
      <c r="AX351" s="935"/>
      <c r="AY351" s="722"/>
      <c r="AZ351" s="722"/>
      <c r="BA351" s="722"/>
      <c r="BB351" s="722"/>
      <c r="BC351" s="722"/>
      <c r="BD351" s="722"/>
      <c r="BE351" s="706"/>
      <c r="BF351" s="706"/>
      <c r="BG351" s="694"/>
    </row>
    <row r="352" spans="1:59" ht="15.75" x14ac:dyDescent="0.25">
      <c r="A352" s="1883"/>
      <c r="B352" s="1748"/>
      <c r="C352" s="1884"/>
      <c r="D352" s="1884"/>
      <c r="E352" s="1726">
        <f t="shared" si="79"/>
        <v>0</v>
      </c>
      <c r="F352" s="1722"/>
      <c r="G352" s="1741"/>
      <c r="H352" s="1728"/>
      <c r="I352" s="1743"/>
      <c r="J352" s="1743"/>
      <c r="K352" s="1744"/>
      <c r="L352" s="1734">
        <f t="shared" si="76"/>
        <v>0</v>
      </c>
      <c r="M352" s="1735">
        <f t="shared" si="77"/>
        <v>0</v>
      </c>
      <c r="N352" s="1730"/>
      <c r="O352" s="1730"/>
      <c r="P352" s="1730"/>
      <c r="Q352" s="1730"/>
      <c r="R352" s="1730"/>
      <c r="S352" s="1730"/>
      <c r="T352" s="1730"/>
      <c r="U352" s="1730"/>
      <c r="V352" s="1730"/>
      <c r="W352" s="1730"/>
      <c r="X352" s="1903">
        <f t="shared" si="68"/>
        <v>0</v>
      </c>
      <c r="Y352" s="1733">
        <f t="shared" si="78"/>
        <v>0</v>
      </c>
      <c r="Z352" s="528"/>
      <c r="AA352" s="1620"/>
      <c r="AB352" s="1616"/>
      <c r="AC352" s="1616"/>
      <c r="AD352" s="1616"/>
      <c r="AE352" s="1616"/>
      <c r="AF352" s="1587"/>
      <c r="AG352" s="1588"/>
      <c r="AH352" s="1588"/>
      <c r="AI352" s="1588"/>
      <c r="AJ352" s="1628"/>
      <c r="AK352" s="1625">
        <f t="shared" si="69"/>
        <v>0</v>
      </c>
      <c r="AL352" s="1565">
        <f t="shared" si="70"/>
        <v>0</v>
      </c>
      <c r="AM352" s="1565">
        <f t="shared" si="71"/>
        <v>0</v>
      </c>
      <c r="AN352" s="1565">
        <f t="shared" si="72"/>
        <v>0</v>
      </c>
      <c r="AO352" s="1631">
        <f t="shared" si="73"/>
        <v>0</v>
      </c>
      <c r="AP352" s="1634"/>
      <c r="AQ352" s="1635"/>
      <c r="AR352" s="1662">
        <f t="shared" si="74"/>
        <v>0</v>
      </c>
      <c r="AS352" s="1675"/>
      <c r="AT352" s="1676"/>
      <c r="AU352" s="1649">
        <f t="shared" si="75"/>
        <v>0</v>
      </c>
      <c r="AV352" s="935"/>
      <c r="AW352" s="935"/>
      <c r="AX352" s="935"/>
      <c r="AY352" s="722"/>
      <c r="AZ352" s="722"/>
      <c r="BA352" s="722"/>
      <c r="BB352" s="722"/>
      <c r="BC352" s="722"/>
      <c r="BD352" s="722"/>
      <c r="BE352" s="706"/>
      <c r="BF352" s="706"/>
      <c r="BG352" s="694"/>
    </row>
    <row r="353" spans="1:59" ht="15.75" x14ac:dyDescent="0.25">
      <c r="A353" s="1883"/>
      <c r="B353" s="1748"/>
      <c r="C353" s="1884"/>
      <c r="D353" s="1884"/>
      <c r="E353" s="1726">
        <f t="shared" si="79"/>
        <v>0</v>
      </c>
      <c r="F353" s="1722"/>
      <c r="G353" s="1741"/>
      <c r="H353" s="1728"/>
      <c r="I353" s="1743"/>
      <c r="J353" s="1743"/>
      <c r="K353" s="1744"/>
      <c r="L353" s="1734">
        <f t="shared" si="76"/>
        <v>0</v>
      </c>
      <c r="M353" s="1735">
        <f t="shared" si="77"/>
        <v>0</v>
      </c>
      <c r="N353" s="1730"/>
      <c r="O353" s="1730"/>
      <c r="P353" s="1730"/>
      <c r="Q353" s="1730"/>
      <c r="R353" s="1730"/>
      <c r="S353" s="1730"/>
      <c r="T353" s="1730"/>
      <c r="U353" s="1730"/>
      <c r="V353" s="1730"/>
      <c r="W353" s="1730"/>
      <c r="X353" s="1903">
        <f t="shared" si="68"/>
        <v>0</v>
      </c>
      <c r="Y353" s="1733">
        <f t="shared" si="78"/>
        <v>0</v>
      </c>
      <c r="Z353" s="528"/>
      <c r="AA353" s="1620"/>
      <c r="AB353" s="1616"/>
      <c r="AC353" s="1616"/>
      <c r="AD353" s="1616"/>
      <c r="AE353" s="1616"/>
      <c r="AF353" s="1587"/>
      <c r="AG353" s="1588"/>
      <c r="AH353" s="1588"/>
      <c r="AI353" s="1588"/>
      <c r="AJ353" s="1628"/>
      <c r="AK353" s="1625">
        <f t="shared" si="69"/>
        <v>0</v>
      </c>
      <c r="AL353" s="1565">
        <f t="shared" si="70"/>
        <v>0</v>
      </c>
      <c r="AM353" s="1565">
        <f t="shared" si="71"/>
        <v>0</v>
      </c>
      <c r="AN353" s="1565">
        <f t="shared" si="72"/>
        <v>0</v>
      </c>
      <c r="AO353" s="1631">
        <f t="shared" si="73"/>
        <v>0</v>
      </c>
      <c r="AP353" s="1634"/>
      <c r="AQ353" s="1635"/>
      <c r="AR353" s="1662">
        <f t="shared" si="74"/>
        <v>0</v>
      </c>
      <c r="AS353" s="1675"/>
      <c r="AT353" s="1676"/>
      <c r="AU353" s="1649">
        <f t="shared" si="75"/>
        <v>0</v>
      </c>
      <c r="AV353" s="935"/>
      <c r="AW353" s="935"/>
      <c r="AX353" s="935"/>
      <c r="AY353" s="722"/>
      <c r="AZ353" s="722"/>
      <c r="BA353" s="722"/>
      <c r="BB353" s="722"/>
      <c r="BC353" s="722"/>
      <c r="BD353" s="722"/>
      <c r="BE353" s="706"/>
      <c r="BF353" s="706"/>
      <c r="BG353" s="694"/>
    </row>
    <row r="354" spans="1:59" ht="15.75" x14ac:dyDescent="0.25">
      <c r="A354" s="1883"/>
      <c r="B354" s="1748"/>
      <c r="C354" s="1884"/>
      <c r="D354" s="1884"/>
      <c r="E354" s="1726">
        <f t="shared" si="79"/>
        <v>0</v>
      </c>
      <c r="F354" s="1722"/>
      <c r="G354" s="1741"/>
      <c r="H354" s="1728"/>
      <c r="I354" s="1743"/>
      <c r="J354" s="1743"/>
      <c r="K354" s="1744"/>
      <c r="L354" s="1734">
        <f t="shared" si="76"/>
        <v>0</v>
      </c>
      <c r="M354" s="1735">
        <f t="shared" si="77"/>
        <v>0</v>
      </c>
      <c r="N354" s="1730"/>
      <c r="O354" s="1730"/>
      <c r="P354" s="1730"/>
      <c r="Q354" s="1730"/>
      <c r="R354" s="1730"/>
      <c r="S354" s="1730"/>
      <c r="T354" s="1730"/>
      <c r="U354" s="1730"/>
      <c r="V354" s="1730"/>
      <c r="W354" s="1730"/>
      <c r="X354" s="1903">
        <f t="shared" si="68"/>
        <v>0</v>
      </c>
      <c r="Y354" s="1733">
        <f t="shared" si="78"/>
        <v>0</v>
      </c>
      <c r="Z354" s="528"/>
      <c r="AA354" s="1620"/>
      <c r="AB354" s="1616"/>
      <c r="AC354" s="1616"/>
      <c r="AD354" s="1616"/>
      <c r="AE354" s="1616"/>
      <c r="AF354" s="1587"/>
      <c r="AG354" s="1588"/>
      <c r="AH354" s="1588"/>
      <c r="AI354" s="1588"/>
      <c r="AJ354" s="1628"/>
      <c r="AK354" s="1625">
        <f t="shared" si="69"/>
        <v>0</v>
      </c>
      <c r="AL354" s="1565">
        <f t="shared" si="70"/>
        <v>0</v>
      </c>
      <c r="AM354" s="1565">
        <f t="shared" si="71"/>
        <v>0</v>
      </c>
      <c r="AN354" s="1565">
        <f t="shared" si="72"/>
        <v>0</v>
      </c>
      <c r="AO354" s="1631">
        <f t="shared" si="73"/>
        <v>0</v>
      </c>
      <c r="AP354" s="1634"/>
      <c r="AQ354" s="1635"/>
      <c r="AR354" s="1662">
        <f t="shared" si="74"/>
        <v>0</v>
      </c>
      <c r="AS354" s="1675"/>
      <c r="AT354" s="1676"/>
      <c r="AU354" s="1649">
        <f t="shared" si="75"/>
        <v>0</v>
      </c>
      <c r="AV354" s="935"/>
      <c r="AW354" s="935"/>
      <c r="AX354" s="935"/>
      <c r="AY354" s="722"/>
      <c r="AZ354" s="722"/>
      <c r="BA354" s="722"/>
      <c r="BB354" s="722"/>
      <c r="BC354" s="722"/>
      <c r="BD354" s="722"/>
      <c r="BE354" s="706"/>
      <c r="BF354" s="706"/>
      <c r="BG354" s="694"/>
    </row>
    <row r="355" spans="1:59" ht="15.75" x14ac:dyDescent="0.25">
      <c r="A355" s="1883"/>
      <c r="B355" s="1748"/>
      <c r="C355" s="1884"/>
      <c r="D355" s="1884"/>
      <c r="E355" s="1726">
        <f t="shared" si="79"/>
        <v>0</v>
      </c>
      <c r="F355" s="1722"/>
      <c r="G355" s="1741"/>
      <c r="H355" s="1728"/>
      <c r="I355" s="1743"/>
      <c r="J355" s="1743"/>
      <c r="K355" s="1744"/>
      <c r="L355" s="1734">
        <f t="shared" si="76"/>
        <v>0</v>
      </c>
      <c r="M355" s="1735">
        <f t="shared" si="77"/>
        <v>0</v>
      </c>
      <c r="N355" s="1730"/>
      <c r="O355" s="1730"/>
      <c r="P355" s="1730"/>
      <c r="Q355" s="1730"/>
      <c r="R355" s="1730"/>
      <c r="S355" s="1730"/>
      <c r="T355" s="1730"/>
      <c r="U355" s="1730"/>
      <c r="V355" s="1730"/>
      <c r="W355" s="1730"/>
      <c r="X355" s="1903">
        <f t="shared" si="68"/>
        <v>0</v>
      </c>
      <c r="Y355" s="1733">
        <f t="shared" si="78"/>
        <v>0</v>
      </c>
      <c r="Z355" s="528"/>
      <c r="AA355" s="1620"/>
      <c r="AB355" s="1616"/>
      <c r="AC355" s="1616"/>
      <c r="AD355" s="1616"/>
      <c r="AE355" s="1616"/>
      <c r="AF355" s="1587"/>
      <c r="AG355" s="1588"/>
      <c r="AH355" s="1588"/>
      <c r="AI355" s="1588"/>
      <c r="AJ355" s="1628"/>
      <c r="AK355" s="1625">
        <f t="shared" si="69"/>
        <v>0</v>
      </c>
      <c r="AL355" s="1565">
        <f t="shared" si="70"/>
        <v>0</v>
      </c>
      <c r="AM355" s="1565">
        <f t="shared" si="71"/>
        <v>0</v>
      </c>
      <c r="AN355" s="1565">
        <f t="shared" si="72"/>
        <v>0</v>
      </c>
      <c r="AO355" s="1631">
        <f t="shared" si="73"/>
        <v>0</v>
      </c>
      <c r="AP355" s="1634"/>
      <c r="AQ355" s="1635"/>
      <c r="AR355" s="1662">
        <f t="shared" si="74"/>
        <v>0</v>
      </c>
      <c r="AS355" s="1675"/>
      <c r="AT355" s="1676"/>
      <c r="AU355" s="1649">
        <f t="shared" si="75"/>
        <v>0</v>
      </c>
      <c r="AV355" s="935"/>
      <c r="AW355" s="935"/>
      <c r="AX355" s="935"/>
      <c r="AY355" s="722"/>
      <c r="AZ355" s="722"/>
      <c r="BA355" s="722"/>
      <c r="BB355" s="722"/>
      <c r="BC355" s="722"/>
      <c r="BD355" s="722"/>
      <c r="BE355" s="706"/>
      <c r="BF355" s="706"/>
      <c r="BG355" s="694"/>
    </row>
    <row r="356" spans="1:59" ht="15.75" x14ac:dyDescent="0.25">
      <c r="A356" s="1883"/>
      <c r="B356" s="1748"/>
      <c r="C356" s="1884"/>
      <c r="D356" s="1884"/>
      <c r="E356" s="1726">
        <f t="shared" si="79"/>
        <v>0</v>
      </c>
      <c r="F356" s="1722"/>
      <c r="G356" s="1741"/>
      <c r="H356" s="1728"/>
      <c r="I356" s="1743"/>
      <c r="J356" s="1743"/>
      <c r="K356" s="1744"/>
      <c r="L356" s="1734">
        <f t="shared" si="76"/>
        <v>0</v>
      </c>
      <c r="M356" s="1735">
        <f t="shared" si="77"/>
        <v>0</v>
      </c>
      <c r="N356" s="1730"/>
      <c r="O356" s="1730"/>
      <c r="P356" s="1730"/>
      <c r="Q356" s="1730"/>
      <c r="R356" s="1730"/>
      <c r="S356" s="1730"/>
      <c r="T356" s="1730"/>
      <c r="U356" s="1730"/>
      <c r="V356" s="1730"/>
      <c r="W356" s="1730"/>
      <c r="X356" s="1903">
        <f t="shared" si="68"/>
        <v>0</v>
      </c>
      <c r="Y356" s="1733">
        <f t="shared" si="78"/>
        <v>0</v>
      </c>
      <c r="Z356" s="528"/>
      <c r="AA356" s="1620"/>
      <c r="AB356" s="1616"/>
      <c r="AC356" s="1616"/>
      <c r="AD356" s="1616"/>
      <c r="AE356" s="1616"/>
      <c r="AF356" s="1587"/>
      <c r="AG356" s="1588"/>
      <c r="AH356" s="1588"/>
      <c r="AI356" s="1588"/>
      <c r="AJ356" s="1628"/>
      <c r="AK356" s="1625">
        <f t="shared" si="69"/>
        <v>0</v>
      </c>
      <c r="AL356" s="1565">
        <f t="shared" si="70"/>
        <v>0</v>
      </c>
      <c r="AM356" s="1565">
        <f t="shared" si="71"/>
        <v>0</v>
      </c>
      <c r="AN356" s="1565">
        <f t="shared" si="72"/>
        <v>0</v>
      </c>
      <c r="AO356" s="1631">
        <f t="shared" si="73"/>
        <v>0</v>
      </c>
      <c r="AP356" s="1634"/>
      <c r="AQ356" s="1635"/>
      <c r="AR356" s="1662">
        <f t="shared" si="74"/>
        <v>0</v>
      </c>
      <c r="AS356" s="1675"/>
      <c r="AT356" s="1676"/>
      <c r="AU356" s="1649">
        <f t="shared" si="75"/>
        <v>0</v>
      </c>
      <c r="AV356" s="935"/>
      <c r="AW356" s="935"/>
      <c r="AX356" s="935"/>
      <c r="AY356" s="722"/>
      <c r="AZ356" s="722"/>
      <c r="BA356" s="722"/>
      <c r="BB356" s="722"/>
      <c r="BC356" s="722"/>
      <c r="BD356" s="722"/>
      <c r="BE356" s="706"/>
      <c r="BF356" s="706"/>
      <c r="BG356" s="694"/>
    </row>
    <row r="357" spans="1:59" ht="15.75" x14ac:dyDescent="0.25">
      <c r="A357" s="1883"/>
      <c r="B357" s="1748"/>
      <c r="C357" s="1884"/>
      <c r="D357" s="1884"/>
      <c r="E357" s="1726">
        <f t="shared" si="79"/>
        <v>0</v>
      </c>
      <c r="F357" s="1722"/>
      <c r="G357" s="1741"/>
      <c r="H357" s="1728"/>
      <c r="I357" s="1743"/>
      <c r="J357" s="1743"/>
      <c r="K357" s="1744"/>
      <c r="L357" s="1734">
        <f t="shared" si="76"/>
        <v>0</v>
      </c>
      <c r="M357" s="1735">
        <f t="shared" si="77"/>
        <v>0</v>
      </c>
      <c r="N357" s="1730"/>
      <c r="O357" s="1730"/>
      <c r="P357" s="1730"/>
      <c r="Q357" s="1730"/>
      <c r="R357" s="1730"/>
      <c r="S357" s="1730"/>
      <c r="T357" s="1730"/>
      <c r="U357" s="1730"/>
      <c r="V357" s="1730"/>
      <c r="W357" s="1730"/>
      <c r="X357" s="1903">
        <f t="shared" si="68"/>
        <v>0</v>
      </c>
      <c r="Y357" s="1733">
        <f t="shared" si="78"/>
        <v>0</v>
      </c>
      <c r="Z357" s="528"/>
      <c r="AA357" s="1620"/>
      <c r="AB357" s="1616"/>
      <c r="AC357" s="1616"/>
      <c r="AD357" s="1616"/>
      <c r="AE357" s="1616"/>
      <c r="AF357" s="1587"/>
      <c r="AG357" s="1588"/>
      <c r="AH357" s="1588"/>
      <c r="AI357" s="1588"/>
      <c r="AJ357" s="1628"/>
      <c r="AK357" s="1625">
        <f t="shared" si="69"/>
        <v>0</v>
      </c>
      <c r="AL357" s="1565">
        <f t="shared" si="70"/>
        <v>0</v>
      </c>
      <c r="AM357" s="1565">
        <f t="shared" si="71"/>
        <v>0</v>
      </c>
      <c r="AN357" s="1565">
        <f t="shared" si="72"/>
        <v>0</v>
      </c>
      <c r="AO357" s="1631">
        <f t="shared" si="73"/>
        <v>0</v>
      </c>
      <c r="AP357" s="1634"/>
      <c r="AQ357" s="1635"/>
      <c r="AR357" s="1662">
        <f t="shared" si="74"/>
        <v>0</v>
      </c>
      <c r="AS357" s="1675"/>
      <c r="AT357" s="1676"/>
      <c r="AU357" s="1649">
        <f t="shared" si="75"/>
        <v>0</v>
      </c>
      <c r="AV357" s="935"/>
      <c r="AW357" s="935"/>
      <c r="AX357" s="935"/>
      <c r="AY357" s="722"/>
      <c r="AZ357" s="722"/>
      <c r="BA357" s="722"/>
      <c r="BB357" s="722"/>
      <c r="BC357" s="722"/>
      <c r="BD357" s="722"/>
      <c r="BE357" s="706"/>
      <c r="BF357" s="706"/>
      <c r="BG357" s="694"/>
    </row>
    <row r="358" spans="1:59" ht="16.5" thickBot="1" x14ac:dyDescent="0.3">
      <c r="A358" s="1883"/>
      <c r="B358" s="1748"/>
      <c r="C358" s="1884"/>
      <c r="D358" s="1884"/>
      <c r="E358" s="1726">
        <f t="shared" si="79"/>
        <v>0</v>
      </c>
      <c r="F358" s="1722"/>
      <c r="G358" s="1741"/>
      <c r="H358" s="1728"/>
      <c r="I358" s="1743"/>
      <c r="J358" s="1743"/>
      <c r="K358" s="1744"/>
      <c r="L358" s="1734">
        <f t="shared" si="76"/>
        <v>0</v>
      </c>
      <c r="M358" s="1735">
        <f>IFERROR(L358*H358,"")</f>
        <v>0</v>
      </c>
      <c r="N358" s="1730"/>
      <c r="O358" s="1730"/>
      <c r="P358" s="1730"/>
      <c r="Q358" s="1730"/>
      <c r="R358" s="1730"/>
      <c r="S358" s="1730"/>
      <c r="T358" s="1730"/>
      <c r="U358" s="1730"/>
      <c r="V358" s="1730"/>
      <c r="W358" s="1730"/>
      <c r="X358" s="1903">
        <f t="shared" si="68"/>
        <v>0</v>
      </c>
      <c r="Y358" s="1733">
        <f t="shared" si="78"/>
        <v>0</v>
      </c>
      <c r="Z358" s="528"/>
      <c r="AA358" s="1622"/>
      <c r="AB358" s="1623"/>
      <c r="AC358" s="1623"/>
      <c r="AD358" s="1623"/>
      <c r="AE358" s="1623"/>
      <c r="AF358" s="1629"/>
      <c r="AG358" s="1599"/>
      <c r="AH358" s="1599"/>
      <c r="AI358" s="1599"/>
      <c r="AJ358" s="1630"/>
      <c r="AK358" s="1625">
        <f t="shared" si="69"/>
        <v>0</v>
      </c>
      <c r="AL358" s="1565">
        <f t="shared" si="70"/>
        <v>0</v>
      </c>
      <c r="AM358" s="1565">
        <f t="shared" si="71"/>
        <v>0</v>
      </c>
      <c r="AN358" s="1565">
        <f t="shared" si="72"/>
        <v>0</v>
      </c>
      <c r="AO358" s="1631">
        <f t="shared" si="73"/>
        <v>0</v>
      </c>
      <c r="AP358" s="1636"/>
      <c r="AQ358" s="1637"/>
      <c r="AR358" s="1662">
        <f t="shared" si="74"/>
        <v>0</v>
      </c>
      <c r="AS358" s="1677"/>
      <c r="AT358" s="1678"/>
      <c r="AU358" s="1649">
        <f t="shared" si="75"/>
        <v>0</v>
      </c>
      <c r="AV358" s="935"/>
      <c r="AW358" s="935"/>
      <c r="AX358" s="935"/>
      <c r="AY358" s="722"/>
      <c r="AZ358" s="722"/>
      <c r="BA358" s="722"/>
      <c r="BB358" s="722"/>
      <c r="BC358" s="722"/>
      <c r="BD358" s="722"/>
      <c r="BE358" s="706"/>
      <c r="BF358" s="706"/>
      <c r="BG358" s="694"/>
    </row>
    <row r="359" spans="1:59" ht="42" customHeight="1" thickBot="1" x14ac:dyDescent="0.3">
      <c r="A359" s="789" t="s">
        <v>468</v>
      </c>
      <c r="B359" s="1398">
        <f>SUM(B258:B358)</f>
        <v>0</v>
      </c>
      <c r="C359" s="672">
        <f>IFERROR(SUM(C258:C358)/B359,0)</f>
        <v>0</v>
      </c>
      <c r="D359" s="676">
        <f>SUM(D258:D358)</f>
        <v>0</v>
      </c>
      <c r="E359" s="675">
        <f>IFERROR(D359/B359,0)</f>
        <v>0</v>
      </c>
      <c r="F359" s="2470" t="s">
        <v>468</v>
      </c>
      <c r="G359" s="2471"/>
      <c r="H359" s="1399">
        <f>SUM(H258:H358)</f>
        <v>0</v>
      </c>
      <c r="I359" s="371"/>
      <c r="J359" s="371"/>
      <c r="K359" s="371"/>
      <c r="L359" s="371"/>
      <c r="M359" s="460">
        <f t="shared" ref="M359:W359" si="80">IFERROR(SUM(M258:M358)/$H$359,0)</f>
        <v>0</v>
      </c>
      <c r="N359" s="426">
        <f t="shared" si="80"/>
        <v>0</v>
      </c>
      <c r="O359" s="426">
        <f t="shared" si="80"/>
        <v>0</v>
      </c>
      <c r="P359" s="426">
        <f t="shared" si="80"/>
        <v>0</v>
      </c>
      <c r="Q359" s="426">
        <f t="shared" si="80"/>
        <v>0</v>
      </c>
      <c r="R359" s="426">
        <f t="shared" si="80"/>
        <v>0</v>
      </c>
      <c r="S359" s="426">
        <f t="shared" si="80"/>
        <v>0</v>
      </c>
      <c r="T359" s="426">
        <f t="shared" si="80"/>
        <v>0</v>
      </c>
      <c r="U359" s="426">
        <f t="shared" si="80"/>
        <v>0</v>
      </c>
      <c r="V359" s="426">
        <f t="shared" si="80"/>
        <v>0</v>
      </c>
      <c r="W359" s="426">
        <f t="shared" si="80"/>
        <v>0</v>
      </c>
      <c r="X359" s="427">
        <f>SUM(X258:X358)</f>
        <v>0</v>
      </c>
      <c r="Y359" s="429">
        <f>IFERROR(SUM(X359/H359),0)</f>
        <v>0</v>
      </c>
      <c r="Z359" s="510"/>
      <c r="AA359" s="708"/>
      <c r="AB359" s="708"/>
      <c r="AC359" s="708"/>
      <c r="AD359" s="708"/>
      <c r="AE359" s="708"/>
      <c r="AF359" s="708"/>
      <c r="AG359" s="708"/>
      <c r="AH359" s="708"/>
      <c r="AI359" s="708"/>
      <c r="AJ359" s="708"/>
      <c r="AK359" s="708"/>
      <c r="AL359" s="708"/>
      <c r="AM359" s="708"/>
      <c r="AN359" s="708"/>
      <c r="AO359" s="708"/>
      <c r="AP359" s="1426"/>
      <c r="AQ359" s="1426"/>
      <c r="AR359" s="1426"/>
      <c r="AS359" s="988"/>
      <c r="AT359" s="1007"/>
      <c r="AU359" s="971"/>
      <c r="AV359" s="935"/>
      <c r="AW359" s="935"/>
      <c r="AX359" s="935"/>
      <c r="AY359" s="724"/>
      <c r="AZ359" s="724"/>
      <c r="BA359" s="724"/>
      <c r="BB359" s="724"/>
      <c r="BC359" s="724"/>
      <c r="BD359" s="724"/>
      <c r="BE359" s="708"/>
      <c r="BF359" s="708"/>
      <c r="BG359" s="696"/>
    </row>
    <row r="360" spans="1:59" ht="15.75" x14ac:dyDescent="0.25">
      <c r="F360" s="475"/>
      <c r="G360" s="372"/>
      <c r="M360" s="373"/>
      <c r="N360" s="373"/>
      <c r="X360" s="465"/>
      <c r="Y360" s="477"/>
      <c r="Z360" s="540"/>
      <c r="AA360" s="713"/>
      <c r="AB360" s="713"/>
      <c r="AC360" s="713"/>
      <c r="AD360" s="713"/>
      <c r="AE360" s="713"/>
      <c r="AF360" s="713"/>
      <c r="AG360" s="713"/>
      <c r="AH360" s="713"/>
      <c r="AI360" s="713"/>
      <c r="AJ360" s="713"/>
      <c r="AK360" s="713"/>
      <c r="AL360" s="713"/>
      <c r="AM360" s="713"/>
      <c r="AN360" s="713"/>
      <c r="AO360" s="713"/>
      <c r="AP360" s="1430"/>
      <c r="AQ360" s="1430"/>
      <c r="AR360" s="1430"/>
      <c r="AS360" s="991"/>
      <c r="AT360" s="1011"/>
      <c r="AU360" s="976"/>
      <c r="AV360" s="935"/>
      <c r="AW360" s="935"/>
      <c r="AX360" s="935"/>
      <c r="AY360" s="728"/>
      <c r="AZ360" s="728"/>
      <c r="BA360" s="728"/>
      <c r="BB360" s="728"/>
      <c r="BC360" s="728"/>
      <c r="BD360" s="728"/>
      <c r="BE360" s="713"/>
      <c r="BF360" s="713"/>
      <c r="BG360" s="700"/>
    </row>
    <row r="361" spans="1:59" ht="16.5" thickBot="1" x14ac:dyDescent="0.3">
      <c r="F361" s="475"/>
      <c r="G361" s="372"/>
      <c r="M361" s="373"/>
      <c r="N361" s="373"/>
      <c r="X361" s="678"/>
      <c r="Y361" s="691"/>
      <c r="Z361" s="540"/>
      <c r="AA361" s="713"/>
      <c r="AB361" s="713"/>
      <c r="AC361" s="713"/>
      <c r="AD361" s="713"/>
      <c r="AE361" s="713"/>
      <c r="AF361" s="713"/>
      <c r="AG361" s="713"/>
      <c r="AH361" s="713"/>
      <c r="AI361" s="713"/>
      <c r="AJ361" s="713"/>
      <c r="AK361" s="713"/>
      <c r="AL361" s="713"/>
      <c r="AM361" s="713"/>
      <c r="AN361" s="713"/>
      <c r="AO361" s="713"/>
      <c r="AP361" s="1430"/>
      <c r="AQ361" s="1430"/>
      <c r="AR361" s="1430"/>
      <c r="AS361" s="991"/>
      <c r="AT361" s="1011"/>
      <c r="AU361" s="976"/>
      <c r="AV361" s="935"/>
      <c r="AW361" s="935"/>
      <c r="AX361" s="935"/>
      <c r="AY361" s="728"/>
      <c r="AZ361" s="728"/>
      <c r="BA361" s="728"/>
      <c r="BB361" s="728"/>
      <c r="BC361" s="728"/>
      <c r="BD361" s="728"/>
      <c r="BE361" s="713"/>
      <c r="BF361" s="713"/>
      <c r="BG361" s="700"/>
    </row>
    <row r="362" spans="1:59" ht="16.5" thickBot="1" x14ac:dyDescent="0.3">
      <c r="A362" s="814" t="s">
        <v>1043</v>
      </c>
      <c r="B362" s="1400">
        <f>B359+B255+B151</f>
        <v>0</v>
      </c>
      <c r="C362" s="672">
        <f>IFERROR(SUM(C329:C358,C258:C327,C225:C254,C154:C223,C51:C145)/(B362-SUM(B146:B150)),0)</f>
        <v>0</v>
      </c>
      <c r="D362" s="813">
        <f>D359+D255+D151</f>
        <v>0</v>
      </c>
      <c r="E362" s="429">
        <f>IFERROR(D362/B362,0)</f>
        <v>0</v>
      </c>
      <c r="F362" s="2538" t="s">
        <v>1043</v>
      </c>
      <c r="G362" s="2539"/>
      <c r="H362" s="1400">
        <f>H359+H255+H151</f>
        <v>0</v>
      </c>
      <c r="I362" s="677"/>
      <c r="J362" s="677"/>
      <c r="K362" s="677"/>
      <c r="L362" s="677"/>
      <c r="M362" s="815">
        <f>IFERROR(SUM(M329:M358,M258:M327,M225:M254,M154:M223,M51:M145)/($H$362-SUM($H$146:$H$150)),0)</f>
        <v>0</v>
      </c>
      <c r="N362" s="426">
        <f t="shared" ref="N362:W362" si="81">IFERROR(SUM(N329:N358,N258:N327,N225:N254,N154:N223,N51:N145)/($H$362-SUM($H$146:$H$150)),0)</f>
        <v>0</v>
      </c>
      <c r="O362" s="426">
        <f t="shared" si="81"/>
        <v>0</v>
      </c>
      <c r="P362" s="426">
        <f t="shared" si="81"/>
        <v>0</v>
      </c>
      <c r="Q362" s="426">
        <f t="shared" si="81"/>
        <v>0</v>
      </c>
      <c r="R362" s="426">
        <f t="shared" si="81"/>
        <v>0</v>
      </c>
      <c r="S362" s="426">
        <f t="shared" si="81"/>
        <v>0</v>
      </c>
      <c r="T362" s="426">
        <f t="shared" si="81"/>
        <v>0</v>
      </c>
      <c r="U362" s="426">
        <f t="shared" si="81"/>
        <v>0</v>
      </c>
      <c r="V362" s="426">
        <f t="shared" si="81"/>
        <v>0</v>
      </c>
      <c r="W362" s="426">
        <f t="shared" si="81"/>
        <v>0</v>
      </c>
      <c r="X362" s="427">
        <f>X359+X255+X151</f>
        <v>0</v>
      </c>
      <c r="Y362" s="429">
        <f>IFERROR(SUM(X362/H362),0)</f>
        <v>0</v>
      </c>
      <c r="Z362" s="540"/>
      <c r="AA362" s="713"/>
      <c r="AB362" s="713"/>
      <c r="AC362" s="713"/>
      <c r="AD362" s="713"/>
      <c r="AE362" s="713"/>
      <c r="AF362" s="713"/>
      <c r="AG362" s="713"/>
      <c r="AH362" s="713"/>
      <c r="AI362" s="713"/>
      <c r="AJ362" s="713"/>
      <c r="AK362" s="713"/>
      <c r="AL362" s="713"/>
      <c r="AM362" s="713"/>
      <c r="AN362" s="713"/>
      <c r="AO362" s="713"/>
      <c r="AP362" s="1430"/>
      <c r="AQ362" s="1430"/>
      <c r="AR362" s="1430"/>
      <c r="AS362" s="991"/>
      <c r="AT362" s="1011"/>
      <c r="AU362" s="976"/>
      <c r="AV362" s="935"/>
      <c r="AW362" s="935"/>
      <c r="AX362" s="935"/>
      <c r="AY362" s="728"/>
      <c r="AZ362" s="728"/>
      <c r="BA362" s="728"/>
      <c r="BB362" s="728"/>
      <c r="BC362" s="728"/>
      <c r="BD362" s="728"/>
      <c r="BE362" s="713"/>
      <c r="BF362" s="713"/>
      <c r="BG362" s="700"/>
    </row>
    <row r="363" spans="1:59" ht="15.75" x14ac:dyDescent="0.25">
      <c r="F363" s="475"/>
      <c r="G363" s="372"/>
      <c r="H363" s="54"/>
      <c r="J363" s="54"/>
      <c r="M363" s="373"/>
      <c r="N363" s="373"/>
      <c r="O363" s="1071"/>
      <c r="X363" s="678"/>
      <c r="Y363" s="691"/>
      <c r="Z363" s="540"/>
      <c r="AA363" s="713"/>
      <c r="AB363" s="713"/>
      <c r="AC363" s="713"/>
      <c r="AD363" s="713"/>
      <c r="AE363" s="713"/>
      <c r="AF363" s="713"/>
      <c r="AG363" s="713"/>
      <c r="AH363" s="713"/>
      <c r="AI363" s="713"/>
      <c r="AJ363" s="713"/>
      <c r="AK363" s="713"/>
      <c r="AL363" s="713"/>
      <c r="AM363" s="713"/>
      <c r="AN363" s="713"/>
      <c r="AO363" s="713"/>
      <c r="AP363" s="1430"/>
      <c r="AQ363" s="1430"/>
      <c r="AR363" s="1430"/>
      <c r="AS363" s="991"/>
      <c r="AT363" s="1011"/>
      <c r="AU363" s="976"/>
      <c r="AV363" s="935"/>
      <c r="AW363" s="935"/>
      <c r="AX363" s="935"/>
      <c r="AY363" s="728"/>
      <c r="AZ363" s="728"/>
      <c r="BA363" s="728"/>
      <c r="BB363" s="728"/>
      <c r="BC363" s="728"/>
      <c r="BD363" s="728"/>
      <c r="BE363" s="713"/>
      <c r="BF363" s="713"/>
      <c r="BG363" s="700"/>
    </row>
    <row r="364" spans="1:59" ht="30" customHeight="1" x14ac:dyDescent="0.25">
      <c r="A364" s="2519" t="s">
        <v>1028</v>
      </c>
      <c r="B364" s="2520"/>
      <c r="C364" s="2033" t="str">
        <f>IFERROR(ROUND(AR15/AQ15,4),"")</f>
        <v/>
      </c>
      <c r="D364" s="2030" t="s">
        <v>418</v>
      </c>
      <c r="E364" s="2024"/>
      <c r="F364" s="2494" t="s">
        <v>1026</v>
      </c>
      <c r="G364" s="2495"/>
      <c r="H364" s="2496"/>
      <c r="I364" s="2028" t="str">
        <f>IFERROR(ROUND(H151/AG15,4),"")</f>
        <v/>
      </c>
      <c r="J364" s="2032" t="s">
        <v>491</v>
      </c>
      <c r="K364" s="1980"/>
      <c r="L364" s="2026"/>
      <c r="M364" s="2027"/>
      <c r="N364" s="2043">
        <f>AG15</f>
        <v>0</v>
      </c>
      <c r="O364" s="885" t="str">
        <f>IF(I364="","",IF(I364&lt;75%,"Geforderte Personalausstattung liegt unter der Mindestpersonalvorhaltung laut Rahmenvertrag, bitte begründen.",IF(I364&gt;100.001%,"Geforderte Personalausstattung liegt über der maximal möglichen Personalausstattung nach § 113 c Abs. 1 Nr. 3 SGB XI, bitte begründen.","")))</f>
        <v/>
      </c>
      <c r="T364" s="1133"/>
      <c r="V364" s="239"/>
      <c r="W364" s="1071"/>
      <c r="X364" s="239"/>
      <c r="Y364" s="468"/>
      <c r="Z364" s="540"/>
      <c r="AA364" s="713"/>
      <c r="AB364" s="713"/>
      <c r="AC364" s="713"/>
      <c r="AD364" s="713"/>
      <c r="AE364" s="713"/>
      <c r="AF364" s="713"/>
      <c r="AG364" s="713"/>
      <c r="AH364" s="713"/>
      <c r="AI364" s="713"/>
      <c r="AJ364" s="713"/>
      <c r="AK364" s="713"/>
      <c r="AL364" s="713"/>
      <c r="AM364" s="713"/>
      <c r="AN364" s="713"/>
      <c r="AO364" s="713"/>
      <c r="AP364" s="1430"/>
      <c r="AQ364" s="1430"/>
      <c r="AR364" s="1430"/>
      <c r="AS364" s="991"/>
      <c r="AT364" s="1011"/>
      <c r="AU364" s="976"/>
      <c r="AV364" s="935"/>
      <c r="AW364" s="935"/>
      <c r="AX364" s="935"/>
      <c r="AY364" s="728"/>
      <c r="AZ364" s="728"/>
      <c r="BA364" s="728"/>
      <c r="BB364" s="728"/>
      <c r="BC364" s="728"/>
      <c r="BD364" s="728"/>
      <c r="BE364" s="713"/>
      <c r="BF364" s="713"/>
      <c r="BG364" s="700"/>
    </row>
    <row r="365" spans="1:59" ht="30" customHeight="1" x14ac:dyDescent="0.25">
      <c r="A365" s="2519" t="s">
        <v>1029</v>
      </c>
      <c r="B365" s="2520"/>
      <c r="C365" s="2033" t="str">
        <f>IFERROR(ROUND(AR17/AQ17,4),"")</f>
        <v/>
      </c>
      <c r="D365" s="2030" t="s">
        <v>419</v>
      </c>
      <c r="E365" s="2024"/>
      <c r="F365" s="2494" t="s">
        <v>1033</v>
      </c>
      <c r="G365" s="2495"/>
      <c r="H365" s="2496"/>
      <c r="I365" s="2029" t="str">
        <f>IFERROR(ROUND(H255/AG17,4),"")</f>
        <v/>
      </c>
      <c r="J365" s="2032" t="s">
        <v>492</v>
      </c>
      <c r="K365" s="1980"/>
      <c r="L365" s="2026"/>
      <c r="M365" s="2027"/>
      <c r="N365" s="2043">
        <f>AG17</f>
        <v>0</v>
      </c>
      <c r="O365" s="885" t="str">
        <f>IFERROR(IF((H359+H255)&lt;AI20,"Geforderte Personalausstattung liegt unter der Mindestpersonalvorhaltung laut Rahmenvertrag, bitte prüfen.",IF(AND(I365&gt;100.01%,((H359+H255)/(AG17+AG19))&gt;70%),"Geforderte Personalausstattung liegt über maximal möglicher Personalausstattung nach § 113 c Abs. 1 SGB XI i.V.m. Rahmenvertrag, bitte begründen.","")),"")</f>
        <v/>
      </c>
      <c r="V365" s="239"/>
      <c r="W365" s="239"/>
      <c r="X365" s="239"/>
      <c r="Y365" s="468"/>
      <c r="Z365" s="540"/>
      <c r="AA365" s="713"/>
      <c r="AB365" s="713"/>
      <c r="AC365" s="713"/>
      <c r="AD365" s="713"/>
      <c r="AE365" s="713"/>
      <c r="AF365" s="713"/>
      <c r="AG365" s="713"/>
      <c r="AH365" s="713"/>
      <c r="AI365" s="713"/>
      <c r="AJ365" s="713"/>
      <c r="AK365" s="713"/>
      <c r="AL365" s="713"/>
      <c r="AM365" s="713"/>
      <c r="AN365" s="713"/>
      <c r="AO365" s="713"/>
      <c r="AP365" s="1430"/>
      <c r="AQ365" s="1430"/>
      <c r="AR365" s="1430"/>
      <c r="AS365" s="991"/>
      <c r="AT365" s="1011"/>
      <c r="AU365" s="976"/>
      <c r="AV365" s="935"/>
      <c r="AW365" s="935"/>
      <c r="AX365" s="935"/>
      <c r="AY365" s="728"/>
      <c r="AZ365" s="728"/>
      <c r="BA365" s="728"/>
      <c r="BB365" s="728"/>
      <c r="BC365" s="728"/>
      <c r="BD365" s="728"/>
      <c r="BE365" s="713"/>
      <c r="BF365" s="713"/>
      <c r="BG365" s="700"/>
    </row>
    <row r="366" spans="1:59" ht="30" customHeight="1" x14ac:dyDescent="0.25">
      <c r="A366" s="2521" t="s">
        <v>1030</v>
      </c>
      <c r="B366" s="2522"/>
      <c r="C366" s="2034" t="str">
        <f>IFERROR(ROUND(AR19/AQ19,4),"")</f>
        <v/>
      </c>
      <c r="D366" s="2031" t="s">
        <v>420</v>
      </c>
      <c r="E366" s="2025"/>
      <c r="F366" s="2494" t="s">
        <v>1027</v>
      </c>
      <c r="G366" s="2495"/>
      <c r="H366" s="2496"/>
      <c r="I366" s="2029" t="str">
        <f>IFERROR(ROUND(H359/AG19,4),"")</f>
        <v/>
      </c>
      <c r="J366" s="2032" t="s">
        <v>493</v>
      </c>
      <c r="K366" s="1980"/>
      <c r="L366" s="2026"/>
      <c r="M366" s="2027"/>
      <c r="N366" s="2043">
        <f>AG19</f>
        <v>0</v>
      </c>
      <c r="O366" s="885" t="str">
        <f>IFERROR(IF((H359+H255)&lt;AI20,"Geforderte Personalausstattung liegt unter der Mindestpersonalvorhaltung laut Rahmenvertrag, bitte prüfen.",IF(AND(I366&gt;100.01%,((H359+H255)/(AG17+AG19))&gt;70%),"Geforderte Personalausstattung liegt über maximal möglicher Personalausstattung nach § 113 c Abs. 1 SGB XI i.V.m. Rahmenvertrag, bitte begründen.","")),"")</f>
        <v/>
      </c>
      <c r="V366" s="239"/>
      <c r="W366" s="239"/>
      <c r="X366" s="239"/>
      <c r="Y366" s="468"/>
      <c r="Z366" s="540"/>
      <c r="AA366" s="713"/>
      <c r="AB366" s="713"/>
      <c r="AC366" s="713"/>
      <c r="AD366" s="713"/>
      <c r="AE366" s="713"/>
      <c r="AF366" s="713"/>
      <c r="AG366" s="713"/>
      <c r="AH366" s="713"/>
      <c r="AI366" s="713"/>
      <c r="AJ366" s="713"/>
      <c r="AK366" s="713"/>
      <c r="AL366" s="713"/>
      <c r="AM366" s="713"/>
      <c r="AN366" s="713"/>
      <c r="AO366" s="713"/>
      <c r="AP366" s="1430"/>
      <c r="AQ366" s="1430"/>
      <c r="AR366" s="1430"/>
      <c r="AS366" s="991"/>
      <c r="AT366" s="1011"/>
      <c r="AU366" s="976"/>
      <c r="AV366" s="935"/>
      <c r="AW366" s="935"/>
      <c r="AX366" s="935"/>
      <c r="AY366" s="728"/>
      <c r="AZ366" s="728"/>
      <c r="BA366" s="728"/>
      <c r="BB366" s="728"/>
      <c r="BC366" s="728"/>
      <c r="BD366" s="728"/>
      <c r="BE366" s="713"/>
      <c r="BF366" s="713"/>
      <c r="BG366" s="700"/>
    </row>
    <row r="367" spans="1:59" ht="15.75" x14ac:dyDescent="0.25">
      <c r="A367" s="473"/>
      <c r="B367" s="239"/>
      <c r="C367" s="1044"/>
      <c r="D367" s="239"/>
      <c r="F367" s="873"/>
      <c r="G367" s="872"/>
      <c r="J367" s="20"/>
      <c r="K367" s="239"/>
      <c r="M367" s="372"/>
      <c r="N367" s="373"/>
      <c r="O367" s="887" t="str">
        <f>IFERROR(IF((H359+H255)&lt;AI20,"Die geforderte Personalausstattung für die Pflege- und Betreuungskräfte gesamt ("&amp;TEXT(AI16,"0,0000")&amp;" VK) liegt unter 70% der Personalausstattung nach § 113 c Abs. 1 Nr. 2 u. 1 SGB XI für die Pflege- und Betreuungskräfte gesamt ("&amp;TEXT(AI20,"0,0000")&amp;" VK).",""),"")</f>
        <v/>
      </c>
      <c r="V367" s="239"/>
      <c r="W367" s="239"/>
      <c r="X367" s="239"/>
      <c r="Y367" s="468"/>
      <c r="Z367" s="540"/>
      <c r="AA367" s="713"/>
      <c r="AB367" s="713"/>
      <c r="AC367" s="713"/>
      <c r="AD367" s="713"/>
      <c r="AE367" s="713"/>
      <c r="AF367" s="713"/>
      <c r="AG367" s="713"/>
      <c r="AH367" s="713"/>
      <c r="AI367" s="713"/>
      <c r="AJ367" s="713"/>
      <c r="AK367" s="713"/>
      <c r="AL367" s="713"/>
      <c r="AM367" s="713"/>
      <c r="AN367" s="713"/>
      <c r="AO367" s="713"/>
      <c r="AP367" s="1430"/>
      <c r="AQ367" s="1430"/>
      <c r="AR367" s="1430"/>
      <c r="AS367" s="991"/>
      <c r="AT367" s="1011"/>
      <c r="AU367" s="976"/>
      <c r="AV367" s="935"/>
      <c r="AW367" s="935"/>
      <c r="AX367" s="935"/>
      <c r="AY367" s="728"/>
      <c r="AZ367" s="728"/>
      <c r="BA367" s="728"/>
      <c r="BB367" s="728"/>
      <c r="BC367" s="728"/>
      <c r="BD367" s="728"/>
      <c r="BE367" s="713"/>
      <c r="BF367" s="713"/>
      <c r="BG367" s="700"/>
    </row>
    <row r="368" spans="1:59" ht="18" customHeight="1" x14ac:dyDescent="0.25">
      <c r="F368" s="470"/>
      <c r="I368" s="2492" t="str">
        <f>IFERROR(IF(OR(O364&lt;&gt;"",O365&lt;&gt;"",O366&lt;&gt;""),"Begründungen zur Personalausstattung sind beigefügt:",""),"")</f>
        <v/>
      </c>
      <c r="J368" s="2492"/>
      <c r="K368" s="2492"/>
      <c r="L368" s="2493"/>
      <c r="M368" s="1871"/>
      <c r="O368" s="2045"/>
      <c r="Y368" s="468"/>
      <c r="Z368" s="533"/>
      <c r="AA368" s="705"/>
      <c r="AB368" s="705"/>
      <c r="AC368" s="705"/>
      <c r="AD368" s="705"/>
      <c r="AE368" s="705"/>
      <c r="AF368" s="705"/>
      <c r="AG368" s="705"/>
      <c r="AH368" s="705"/>
      <c r="AI368" s="705"/>
      <c r="AJ368" s="705"/>
      <c r="AK368" s="705"/>
      <c r="AL368" s="705"/>
      <c r="AM368" s="705"/>
      <c r="AN368" s="705"/>
      <c r="AO368" s="705"/>
      <c r="AP368" s="1423"/>
      <c r="AQ368" s="1423"/>
      <c r="AR368" s="1423"/>
      <c r="AS368" s="987"/>
      <c r="AT368" s="1006"/>
      <c r="AU368" s="968"/>
      <c r="AV368" s="935"/>
      <c r="AW368" s="935"/>
      <c r="AX368" s="935"/>
    </row>
    <row r="369" spans="1:59" ht="15.75" x14ac:dyDescent="0.25">
      <c r="A369" s="478" t="s">
        <v>469</v>
      </c>
      <c r="F369" s="478" t="s">
        <v>469</v>
      </c>
      <c r="G369" s="239"/>
      <c r="M369" s="373"/>
      <c r="N369" s="373"/>
      <c r="P369" s="2476"/>
      <c r="Q369" s="2476"/>
      <c r="R369" s="2476"/>
      <c r="S369" s="2476"/>
      <c r="T369" s="2476"/>
      <c r="U369" s="2476"/>
      <c r="V369" s="2476"/>
      <c r="W369" s="2476"/>
      <c r="X369" s="2476"/>
      <c r="Y369" s="2477"/>
      <c r="Z369" s="539"/>
      <c r="AA369" s="712"/>
      <c r="AB369" s="712"/>
      <c r="AC369" s="712"/>
      <c r="AD369" s="712"/>
      <c r="AE369" s="712"/>
      <c r="AF369" s="712"/>
      <c r="AG369" s="712"/>
      <c r="AH369" s="712"/>
      <c r="AI369" s="712"/>
      <c r="AJ369" s="712"/>
      <c r="AK369" s="712"/>
      <c r="AL369" s="712"/>
      <c r="AM369" s="712"/>
      <c r="AN369" s="712"/>
      <c r="AO369" s="712"/>
      <c r="AP369" s="1424"/>
      <c r="AQ369" s="1424"/>
      <c r="AR369" s="1424"/>
      <c r="AS369" s="712"/>
      <c r="AT369" s="936"/>
      <c r="AU369" s="969"/>
      <c r="AV369" s="935"/>
      <c r="AW369" s="935"/>
      <c r="AX369" s="935"/>
      <c r="AY369" s="509"/>
      <c r="AZ369" s="509"/>
      <c r="BA369" s="509"/>
      <c r="BB369" s="509"/>
      <c r="BC369" s="509"/>
      <c r="BD369" s="509"/>
      <c r="BE369" s="712"/>
      <c r="BF369" s="712"/>
      <c r="BG369" s="693"/>
    </row>
    <row r="370" spans="1:59" ht="15.75" x14ac:dyDescent="0.25">
      <c r="A370" s="478" t="s">
        <v>470</v>
      </c>
      <c r="F370" s="478" t="s">
        <v>470</v>
      </c>
      <c r="G370" s="239"/>
      <c r="M370" s="373"/>
      <c r="N370" s="373"/>
      <c r="P370" s="766"/>
      <c r="Q370" s="766"/>
      <c r="R370" s="766"/>
      <c r="S370" s="766"/>
      <c r="T370" s="766"/>
      <c r="U370" s="766"/>
      <c r="V370" s="766"/>
      <c r="W370" s="766"/>
      <c r="X370" s="766"/>
      <c r="Y370" s="767"/>
      <c r="Z370" s="539"/>
      <c r="AA370" s="712"/>
      <c r="AB370" s="712"/>
      <c r="AC370" s="712"/>
      <c r="AD370" s="712"/>
      <c r="AE370" s="712"/>
      <c r="AF370" s="712"/>
      <c r="AG370" s="712"/>
      <c r="AH370" s="712"/>
      <c r="AI370" s="712"/>
      <c r="AJ370" s="712"/>
      <c r="AK370" s="712"/>
      <c r="AL370" s="712"/>
      <c r="AM370" s="712"/>
      <c r="AN370" s="712"/>
      <c r="AO370" s="712"/>
      <c r="AP370" s="1424"/>
      <c r="AQ370" s="1424"/>
      <c r="AR370" s="1424"/>
      <c r="AS370" s="712"/>
      <c r="AT370" s="936"/>
      <c r="AU370" s="969"/>
      <c r="AV370" s="935"/>
      <c r="AW370" s="935"/>
      <c r="AX370" s="935"/>
      <c r="AY370" s="509"/>
      <c r="AZ370" s="509"/>
      <c r="BA370" s="509"/>
      <c r="BB370" s="509"/>
      <c r="BC370" s="509"/>
      <c r="BD370" s="509"/>
      <c r="BE370" s="712"/>
      <c r="BF370" s="712"/>
      <c r="BG370" s="693"/>
    </row>
    <row r="371" spans="1:59" ht="15.75" x14ac:dyDescent="0.25">
      <c r="A371" s="1883"/>
      <c r="B371" s="1748"/>
      <c r="C371" s="1884"/>
      <c r="D371" s="1884"/>
      <c r="E371" s="1726">
        <f t="shared" ref="E371:E395" si="82">IFERROR(D371/B371,0)</f>
        <v>0</v>
      </c>
      <c r="F371" s="1722"/>
      <c r="G371" s="1741"/>
      <c r="H371" s="1728"/>
      <c r="I371" s="1743"/>
      <c r="J371" s="1743"/>
      <c r="K371" s="1744"/>
      <c r="L371" s="1731">
        <f>IFERROR(IF($K$24="VK",K371,K371/H371),0)</f>
        <v>0</v>
      </c>
      <c r="M371" s="1732">
        <f>IFERROR(L371*H371,"")</f>
        <v>0</v>
      </c>
      <c r="N371" s="1730"/>
      <c r="O371" s="1730"/>
      <c r="P371" s="1730"/>
      <c r="Q371" s="1730"/>
      <c r="R371" s="1730"/>
      <c r="S371" s="1730"/>
      <c r="T371" s="1730"/>
      <c r="U371" s="1730"/>
      <c r="V371" s="1730"/>
      <c r="W371" s="1730"/>
      <c r="X371" s="1903">
        <f t="shared" ref="X371:X395" si="83">IF(AND(H371&gt;0,F371&lt;&gt;"GfB"),(SUM(M371:P371,R371,V371,Q371)*12+(T371+U371))*(100+$P$17+$P$18)%+((S371+W371)*12),IF(AND(H371&gt;0,F371="GfB"),(SUM(M371:P371,R371,V371,Q371)*12+(T371+U371))*(100+$P$20+$P$18)%+((S371+W371)*12),0))</f>
        <v>0</v>
      </c>
      <c r="Y371" s="1733">
        <f>IF(ISERROR(X371/H371),0,(X371/H371))</f>
        <v>0</v>
      </c>
      <c r="Z371" s="528"/>
      <c r="AA371" s="1617"/>
      <c r="AB371" s="1618"/>
      <c r="AC371" s="1618"/>
      <c r="AD371" s="1618"/>
      <c r="AE371" s="1619"/>
      <c r="AF371" s="1615">
        <f>(IF(AND($H371&gt;0,$K371&gt;0),($M371+$N371),0))</f>
        <v>0</v>
      </c>
      <c r="AG371" s="1116">
        <f>(IF(AND($H371&gt;0,$K371&gt;0),$O371,0))</f>
        <v>0</v>
      </c>
      <c r="AH371" s="1116">
        <f>(IF(AND($H371&gt;0,$K371&gt;0),$P371,0))</f>
        <v>0</v>
      </c>
      <c r="AI371" s="1116">
        <f>(IF(AND($H371&gt;0,$K371&gt;0),$Q371,0))</f>
        <v>0</v>
      </c>
      <c r="AJ371" s="1606">
        <f>(IF(AND($H371&gt;0,$K371&gt;0),(($T371+$U371)/12),0))</f>
        <v>0</v>
      </c>
      <c r="AK371" s="1608"/>
      <c r="AL371" s="1594"/>
      <c r="AM371" s="1594"/>
      <c r="AN371" s="1594"/>
      <c r="AO371" s="1594"/>
      <c r="AP371" s="1609"/>
      <c r="AQ371" s="1614">
        <f>IF(AND($H371&gt;0,$K371&gt;0),$H371,0)</f>
        <v>0</v>
      </c>
      <c r="AR371" s="1671"/>
      <c r="AS371" s="1664"/>
      <c r="AT371" s="1648">
        <f t="shared" ref="AT371:AT395" si="84">IF(AND($H371&gt;0,$K371&gt;0),$X371,0)</f>
        <v>0</v>
      </c>
      <c r="AU371" s="1666"/>
      <c r="AV371" s="935"/>
      <c r="AW371" s="935"/>
      <c r="AX371" s="935"/>
      <c r="AY371" s="722"/>
      <c r="AZ371" s="722"/>
      <c r="BA371" s="722"/>
      <c r="BB371" s="722"/>
      <c r="BC371" s="722"/>
      <c r="BD371" s="722"/>
      <c r="BE371" s="706"/>
      <c r="BF371" s="706"/>
      <c r="BG371" s="694"/>
    </row>
    <row r="372" spans="1:59" ht="15.75" x14ac:dyDescent="0.25">
      <c r="A372" s="1883"/>
      <c r="B372" s="1748"/>
      <c r="C372" s="1884"/>
      <c r="D372" s="1884"/>
      <c r="E372" s="1726">
        <f t="shared" si="82"/>
        <v>0</v>
      </c>
      <c r="F372" s="1722"/>
      <c r="G372" s="1741"/>
      <c r="H372" s="1728"/>
      <c r="I372" s="1743"/>
      <c r="J372" s="1743"/>
      <c r="K372" s="1744"/>
      <c r="L372" s="1734">
        <f t="shared" ref="L372:L395" si="85">IFERROR(IF($K$24="VK",K372,K372/H372),0)</f>
        <v>0</v>
      </c>
      <c r="M372" s="1735">
        <f t="shared" ref="M372:M395" si="86">IFERROR(L372*H372,"")</f>
        <v>0</v>
      </c>
      <c r="N372" s="1730"/>
      <c r="O372" s="1730"/>
      <c r="P372" s="1730"/>
      <c r="Q372" s="1730"/>
      <c r="R372" s="1730"/>
      <c r="S372" s="1730"/>
      <c r="T372" s="1730"/>
      <c r="U372" s="1730"/>
      <c r="V372" s="1730"/>
      <c r="W372" s="1730"/>
      <c r="X372" s="1903">
        <f t="shared" si="83"/>
        <v>0</v>
      </c>
      <c r="Y372" s="1733">
        <f t="shared" ref="Y372:Y395" si="87">IF(ISERROR(X372/H372),0,(X372/H372))</f>
        <v>0</v>
      </c>
      <c r="Z372" s="528"/>
      <c r="AA372" s="1620"/>
      <c r="AB372" s="1616"/>
      <c r="AC372" s="1616"/>
      <c r="AD372" s="1616"/>
      <c r="AE372" s="1621"/>
      <c r="AF372" s="1615">
        <f t="shared" ref="AF372:AF395" si="88">(IF(AND($H372&gt;0,$K372&gt;0),($M372+$N372),0))</f>
        <v>0</v>
      </c>
      <c r="AG372" s="1116">
        <f t="shared" ref="AG372:AG395" si="89">(IF(AND($H372&gt;0,$K372&gt;0),$O372,0))</f>
        <v>0</v>
      </c>
      <c r="AH372" s="1116">
        <f t="shared" ref="AH372:AH395" si="90">(IF(AND($H372&gt;0,$K372&gt;0),$P372,0))</f>
        <v>0</v>
      </c>
      <c r="AI372" s="1116">
        <f t="shared" ref="AI372:AI395" si="91">(IF(AND($H372&gt;0,$K372&gt;0),$Q372,0))</f>
        <v>0</v>
      </c>
      <c r="AJ372" s="1606">
        <f t="shared" ref="AJ372:AJ395" si="92">(IF(AND($H372&gt;0,$K372&gt;0),(($T372+$U372)/12),0))</f>
        <v>0</v>
      </c>
      <c r="AK372" s="1610"/>
      <c r="AL372" s="1590"/>
      <c r="AM372" s="1590"/>
      <c r="AN372" s="1590"/>
      <c r="AO372" s="1590"/>
      <c r="AP372" s="1611"/>
      <c r="AQ372" s="1614">
        <f t="shared" ref="AQ372:AQ395" si="93">IF(AND($H372&gt;0,$K372&gt;0),$H372,0)</f>
        <v>0</v>
      </c>
      <c r="AR372" s="1701"/>
      <c r="AS372" s="1665"/>
      <c r="AT372" s="1648">
        <f t="shared" si="84"/>
        <v>0</v>
      </c>
      <c r="AU372" s="1667"/>
      <c r="AV372" s="935"/>
      <c r="AW372" s="935"/>
      <c r="AX372" s="935"/>
      <c r="AY372" s="722"/>
      <c r="AZ372" s="722"/>
      <c r="BA372" s="722"/>
      <c r="BB372" s="722"/>
      <c r="BC372" s="722"/>
      <c r="BD372" s="722"/>
      <c r="BE372" s="706"/>
      <c r="BF372" s="706"/>
      <c r="BG372" s="694"/>
    </row>
    <row r="373" spans="1:59" ht="15.75" x14ac:dyDescent="0.25">
      <c r="A373" s="1883"/>
      <c r="B373" s="1748"/>
      <c r="C373" s="1884"/>
      <c r="D373" s="1884"/>
      <c r="E373" s="1726">
        <f t="shared" si="82"/>
        <v>0</v>
      </c>
      <c r="F373" s="1722"/>
      <c r="G373" s="1741"/>
      <c r="H373" s="1728"/>
      <c r="I373" s="1743"/>
      <c r="J373" s="1743"/>
      <c r="K373" s="1744"/>
      <c r="L373" s="1734">
        <f t="shared" si="85"/>
        <v>0</v>
      </c>
      <c r="M373" s="1735">
        <f t="shared" si="86"/>
        <v>0</v>
      </c>
      <c r="N373" s="1730"/>
      <c r="O373" s="1730"/>
      <c r="P373" s="1730"/>
      <c r="Q373" s="1730"/>
      <c r="R373" s="1730"/>
      <c r="S373" s="1730"/>
      <c r="T373" s="1730"/>
      <c r="U373" s="1730"/>
      <c r="V373" s="1730"/>
      <c r="W373" s="1730"/>
      <c r="X373" s="1903">
        <f t="shared" si="83"/>
        <v>0</v>
      </c>
      <c r="Y373" s="1733">
        <f t="shared" si="87"/>
        <v>0</v>
      </c>
      <c r="Z373" s="528"/>
      <c r="AA373" s="1620"/>
      <c r="AB373" s="1616"/>
      <c r="AC373" s="1616"/>
      <c r="AD373" s="1616"/>
      <c r="AE373" s="1621"/>
      <c r="AF373" s="1615">
        <f t="shared" si="88"/>
        <v>0</v>
      </c>
      <c r="AG373" s="1116">
        <f t="shared" si="89"/>
        <v>0</v>
      </c>
      <c r="AH373" s="1116">
        <f t="shared" si="90"/>
        <v>0</v>
      </c>
      <c r="AI373" s="1116">
        <f t="shared" si="91"/>
        <v>0</v>
      </c>
      <c r="AJ373" s="1606">
        <f t="shared" si="92"/>
        <v>0</v>
      </c>
      <c r="AK373" s="1610"/>
      <c r="AL373" s="1590"/>
      <c r="AM373" s="1590"/>
      <c r="AN373" s="1590"/>
      <c r="AO373" s="1590"/>
      <c r="AP373" s="1611"/>
      <c r="AQ373" s="1614">
        <f t="shared" si="93"/>
        <v>0</v>
      </c>
      <c r="AR373" s="1701"/>
      <c r="AS373" s="1665"/>
      <c r="AT373" s="1648">
        <f t="shared" si="84"/>
        <v>0</v>
      </c>
      <c r="AU373" s="1667"/>
      <c r="AV373" s="935"/>
      <c r="AW373" s="935"/>
      <c r="AX373" s="935"/>
      <c r="AY373" s="722"/>
      <c r="AZ373" s="722"/>
      <c r="BA373" s="722"/>
      <c r="BB373" s="722"/>
      <c r="BC373" s="722"/>
      <c r="BD373" s="722"/>
      <c r="BE373" s="706"/>
      <c r="BF373" s="706"/>
      <c r="BG373" s="694"/>
    </row>
    <row r="374" spans="1:59" ht="15.75" x14ac:dyDescent="0.25">
      <c r="A374" s="1883"/>
      <c r="B374" s="1748"/>
      <c r="C374" s="1884"/>
      <c r="D374" s="1884"/>
      <c r="E374" s="1726">
        <f t="shared" si="82"/>
        <v>0</v>
      </c>
      <c r="F374" s="1722"/>
      <c r="G374" s="1741"/>
      <c r="H374" s="1728"/>
      <c r="I374" s="1743"/>
      <c r="J374" s="1743"/>
      <c r="K374" s="1744"/>
      <c r="L374" s="1734">
        <f t="shared" si="85"/>
        <v>0</v>
      </c>
      <c r="M374" s="1735">
        <f t="shared" si="86"/>
        <v>0</v>
      </c>
      <c r="N374" s="1730"/>
      <c r="O374" s="1730"/>
      <c r="P374" s="1730"/>
      <c r="Q374" s="1730"/>
      <c r="R374" s="1730"/>
      <c r="S374" s="1730"/>
      <c r="T374" s="1730"/>
      <c r="U374" s="1730"/>
      <c r="V374" s="1730"/>
      <c r="W374" s="1730"/>
      <c r="X374" s="1903">
        <f t="shared" si="83"/>
        <v>0</v>
      </c>
      <c r="Y374" s="1733">
        <f t="shared" si="87"/>
        <v>0</v>
      </c>
      <c r="Z374" s="528"/>
      <c r="AA374" s="1620"/>
      <c r="AB374" s="1616"/>
      <c r="AC374" s="1616"/>
      <c r="AD374" s="1616"/>
      <c r="AE374" s="1621"/>
      <c r="AF374" s="1615">
        <f t="shared" si="88"/>
        <v>0</v>
      </c>
      <c r="AG374" s="1116">
        <f t="shared" si="89"/>
        <v>0</v>
      </c>
      <c r="AH374" s="1116">
        <f t="shared" si="90"/>
        <v>0</v>
      </c>
      <c r="AI374" s="1116">
        <f t="shared" si="91"/>
        <v>0</v>
      </c>
      <c r="AJ374" s="1606">
        <f t="shared" si="92"/>
        <v>0</v>
      </c>
      <c r="AK374" s="1610"/>
      <c r="AL374" s="1590"/>
      <c r="AM374" s="1590"/>
      <c r="AN374" s="1590"/>
      <c r="AO374" s="1590"/>
      <c r="AP374" s="1611"/>
      <c r="AQ374" s="1614">
        <f t="shared" si="93"/>
        <v>0</v>
      </c>
      <c r="AR374" s="1701"/>
      <c r="AS374" s="1665"/>
      <c r="AT374" s="1648">
        <f t="shared" si="84"/>
        <v>0</v>
      </c>
      <c r="AU374" s="1667"/>
      <c r="AV374" s="935"/>
      <c r="AW374" s="935"/>
      <c r="AX374" s="935"/>
      <c r="AY374" s="722"/>
      <c r="AZ374" s="722"/>
      <c r="BA374" s="722"/>
      <c r="BB374" s="722"/>
      <c r="BC374" s="722"/>
      <c r="BD374" s="722"/>
      <c r="BE374" s="706"/>
      <c r="BF374" s="706"/>
      <c r="BG374" s="694"/>
    </row>
    <row r="375" spans="1:59" ht="15.75" x14ac:dyDescent="0.25">
      <c r="A375" s="1883"/>
      <c r="B375" s="1748"/>
      <c r="C375" s="1884"/>
      <c r="D375" s="1884"/>
      <c r="E375" s="1726">
        <f t="shared" si="82"/>
        <v>0</v>
      </c>
      <c r="F375" s="1722"/>
      <c r="G375" s="1741"/>
      <c r="H375" s="1728"/>
      <c r="I375" s="1743"/>
      <c r="J375" s="1743"/>
      <c r="K375" s="1744"/>
      <c r="L375" s="1734">
        <f t="shared" si="85"/>
        <v>0</v>
      </c>
      <c r="M375" s="1735">
        <f t="shared" si="86"/>
        <v>0</v>
      </c>
      <c r="N375" s="1730"/>
      <c r="O375" s="1730"/>
      <c r="P375" s="1730"/>
      <c r="Q375" s="1730"/>
      <c r="R375" s="1730"/>
      <c r="S375" s="1730"/>
      <c r="T375" s="1730"/>
      <c r="U375" s="1730"/>
      <c r="V375" s="1730"/>
      <c r="W375" s="1730"/>
      <c r="X375" s="1903">
        <f t="shared" si="83"/>
        <v>0</v>
      </c>
      <c r="Y375" s="1733">
        <f t="shared" si="87"/>
        <v>0</v>
      </c>
      <c r="Z375" s="528"/>
      <c r="AA375" s="1620"/>
      <c r="AB375" s="1616"/>
      <c r="AC375" s="1616"/>
      <c r="AD375" s="1616"/>
      <c r="AE375" s="1621"/>
      <c r="AF375" s="1615">
        <f t="shared" si="88"/>
        <v>0</v>
      </c>
      <c r="AG375" s="1116">
        <f t="shared" si="89"/>
        <v>0</v>
      </c>
      <c r="AH375" s="1116">
        <f t="shared" si="90"/>
        <v>0</v>
      </c>
      <c r="AI375" s="1116">
        <f t="shared" si="91"/>
        <v>0</v>
      </c>
      <c r="AJ375" s="1606">
        <f t="shared" si="92"/>
        <v>0</v>
      </c>
      <c r="AK375" s="1610"/>
      <c r="AL375" s="1590"/>
      <c r="AM375" s="1590"/>
      <c r="AN375" s="1590"/>
      <c r="AO375" s="1590"/>
      <c r="AP375" s="1611"/>
      <c r="AQ375" s="1614">
        <f t="shared" si="93"/>
        <v>0</v>
      </c>
      <c r="AR375" s="1701"/>
      <c r="AS375" s="1665"/>
      <c r="AT375" s="1648">
        <f t="shared" si="84"/>
        <v>0</v>
      </c>
      <c r="AU375" s="1667"/>
      <c r="AV375" s="935"/>
      <c r="AW375" s="935"/>
      <c r="AX375" s="935"/>
      <c r="AY375" s="722"/>
      <c r="AZ375" s="722"/>
      <c r="BA375" s="722"/>
      <c r="BB375" s="722"/>
      <c r="BC375" s="722"/>
      <c r="BD375" s="722"/>
      <c r="BE375" s="706"/>
      <c r="BF375" s="706"/>
      <c r="BG375" s="694"/>
    </row>
    <row r="376" spans="1:59" ht="15.75" x14ac:dyDescent="0.25">
      <c r="A376" s="1883"/>
      <c r="B376" s="1748"/>
      <c r="C376" s="1884"/>
      <c r="D376" s="1884"/>
      <c r="E376" s="1726">
        <f t="shared" si="82"/>
        <v>0</v>
      </c>
      <c r="F376" s="1722"/>
      <c r="G376" s="1741"/>
      <c r="H376" s="1728"/>
      <c r="I376" s="1743"/>
      <c r="J376" s="1743"/>
      <c r="K376" s="1744"/>
      <c r="L376" s="1734">
        <f t="shared" si="85"/>
        <v>0</v>
      </c>
      <c r="M376" s="1735">
        <f t="shared" si="86"/>
        <v>0</v>
      </c>
      <c r="N376" s="1730"/>
      <c r="O376" s="1730"/>
      <c r="P376" s="1730"/>
      <c r="Q376" s="1730"/>
      <c r="R376" s="1730"/>
      <c r="S376" s="1730"/>
      <c r="T376" s="1730"/>
      <c r="U376" s="1730"/>
      <c r="V376" s="1730"/>
      <c r="W376" s="1730"/>
      <c r="X376" s="1903">
        <f t="shared" si="83"/>
        <v>0</v>
      </c>
      <c r="Y376" s="1733">
        <f t="shared" si="87"/>
        <v>0</v>
      </c>
      <c r="Z376" s="528"/>
      <c r="AA376" s="1620"/>
      <c r="AB376" s="1616"/>
      <c r="AC376" s="1616"/>
      <c r="AD376" s="1616"/>
      <c r="AE376" s="1621"/>
      <c r="AF376" s="1615">
        <f t="shared" si="88"/>
        <v>0</v>
      </c>
      <c r="AG376" s="1116">
        <f t="shared" si="89"/>
        <v>0</v>
      </c>
      <c r="AH376" s="1116">
        <f t="shared" si="90"/>
        <v>0</v>
      </c>
      <c r="AI376" s="1116">
        <f t="shared" si="91"/>
        <v>0</v>
      </c>
      <c r="AJ376" s="1606">
        <f t="shared" si="92"/>
        <v>0</v>
      </c>
      <c r="AK376" s="1610"/>
      <c r="AL376" s="1590"/>
      <c r="AM376" s="1590"/>
      <c r="AN376" s="1590"/>
      <c r="AO376" s="1590"/>
      <c r="AP376" s="1611"/>
      <c r="AQ376" s="1614">
        <f t="shared" si="93"/>
        <v>0</v>
      </c>
      <c r="AR376" s="1701"/>
      <c r="AS376" s="1665"/>
      <c r="AT376" s="1648">
        <f t="shared" si="84"/>
        <v>0</v>
      </c>
      <c r="AU376" s="1667"/>
      <c r="AV376" s="935"/>
      <c r="AW376" s="935"/>
      <c r="AX376" s="935"/>
      <c r="AY376" s="722"/>
      <c r="AZ376" s="722"/>
      <c r="BA376" s="722"/>
      <c r="BB376" s="722"/>
      <c r="BC376" s="722"/>
      <c r="BD376" s="722"/>
      <c r="BE376" s="706"/>
      <c r="BF376" s="706"/>
      <c r="BG376" s="694"/>
    </row>
    <row r="377" spans="1:59" ht="15.75" x14ac:dyDescent="0.25">
      <c r="A377" s="1883"/>
      <c r="B377" s="1748"/>
      <c r="C377" s="1884"/>
      <c r="D377" s="1884"/>
      <c r="E377" s="1726">
        <f t="shared" si="82"/>
        <v>0</v>
      </c>
      <c r="F377" s="1722"/>
      <c r="G377" s="1741"/>
      <c r="H377" s="1728"/>
      <c r="I377" s="1743"/>
      <c r="J377" s="1743"/>
      <c r="K377" s="1744"/>
      <c r="L377" s="1734">
        <f t="shared" si="85"/>
        <v>0</v>
      </c>
      <c r="M377" s="1735">
        <f t="shared" si="86"/>
        <v>0</v>
      </c>
      <c r="N377" s="1730"/>
      <c r="O377" s="1730"/>
      <c r="P377" s="1730"/>
      <c r="Q377" s="1730"/>
      <c r="R377" s="1730"/>
      <c r="S377" s="1730"/>
      <c r="T377" s="1730"/>
      <c r="U377" s="1730"/>
      <c r="V377" s="1730"/>
      <c r="W377" s="1730"/>
      <c r="X377" s="1903">
        <f t="shared" si="83"/>
        <v>0</v>
      </c>
      <c r="Y377" s="1733">
        <f t="shared" si="87"/>
        <v>0</v>
      </c>
      <c r="Z377" s="528"/>
      <c r="AA377" s="1620"/>
      <c r="AB377" s="1616"/>
      <c r="AC377" s="1616"/>
      <c r="AD377" s="1616"/>
      <c r="AE377" s="1621"/>
      <c r="AF377" s="1615">
        <f t="shared" si="88"/>
        <v>0</v>
      </c>
      <c r="AG377" s="1116">
        <f t="shared" si="89"/>
        <v>0</v>
      </c>
      <c r="AH377" s="1116">
        <f t="shared" si="90"/>
        <v>0</v>
      </c>
      <c r="AI377" s="1116">
        <f t="shared" si="91"/>
        <v>0</v>
      </c>
      <c r="AJ377" s="1606">
        <f t="shared" si="92"/>
        <v>0</v>
      </c>
      <c r="AK377" s="1610"/>
      <c r="AL377" s="1590"/>
      <c r="AM377" s="1590"/>
      <c r="AN377" s="1590"/>
      <c r="AO377" s="1590"/>
      <c r="AP377" s="1611"/>
      <c r="AQ377" s="1614">
        <f t="shared" si="93"/>
        <v>0</v>
      </c>
      <c r="AR377" s="1701"/>
      <c r="AS377" s="1665"/>
      <c r="AT377" s="1648">
        <f t="shared" si="84"/>
        <v>0</v>
      </c>
      <c r="AU377" s="1667"/>
      <c r="AV377" s="935"/>
      <c r="AW377" s="935"/>
      <c r="AX377" s="935"/>
      <c r="AY377" s="722"/>
      <c r="AZ377" s="722"/>
      <c r="BA377" s="722"/>
      <c r="BB377" s="722"/>
      <c r="BC377" s="722"/>
      <c r="BD377" s="722"/>
      <c r="BE377" s="706"/>
      <c r="BF377" s="706"/>
      <c r="BG377" s="694"/>
    </row>
    <row r="378" spans="1:59" ht="15.75" x14ac:dyDescent="0.25">
      <c r="A378" s="1883"/>
      <c r="B378" s="1748"/>
      <c r="C378" s="1884"/>
      <c r="D378" s="1884"/>
      <c r="E378" s="1726">
        <f t="shared" si="82"/>
        <v>0</v>
      </c>
      <c r="F378" s="1722"/>
      <c r="G378" s="1741"/>
      <c r="H378" s="1728"/>
      <c r="I378" s="1743"/>
      <c r="J378" s="1743"/>
      <c r="K378" s="1744"/>
      <c r="L378" s="1734">
        <f t="shared" si="85"/>
        <v>0</v>
      </c>
      <c r="M378" s="1735">
        <f t="shared" si="86"/>
        <v>0</v>
      </c>
      <c r="N378" s="1730"/>
      <c r="O378" s="1730"/>
      <c r="P378" s="1730"/>
      <c r="Q378" s="1730"/>
      <c r="R378" s="1730"/>
      <c r="S378" s="1730"/>
      <c r="T378" s="1730"/>
      <c r="U378" s="1730"/>
      <c r="V378" s="1730"/>
      <c r="W378" s="1730"/>
      <c r="X378" s="1903">
        <f t="shared" si="83"/>
        <v>0</v>
      </c>
      <c r="Y378" s="1733">
        <f t="shared" si="87"/>
        <v>0</v>
      </c>
      <c r="Z378" s="528"/>
      <c r="AA378" s="1620"/>
      <c r="AB378" s="1616"/>
      <c r="AC378" s="1616"/>
      <c r="AD378" s="1616"/>
      <c r="AE378" s="1621"/>
      <c r="AF378" s="1615">
        <f t="shared" si="88"/>
        <v>0</v>
      </c>
      <c r="AG378" s="1116">
        <f t="shared" si="89"/>
        <v>0</v>
      </c>
      <c r="AH378" s="1116">
        <f t="shared" si="90"/>
        <v>0</v>
      </c>
      <c r="AI378" s="1116">
        <f t="shared" si="91"/>
        <v>0</v>
      </c>
      <c r="AJ378" s="1606">
        <f t="shared" si="92"/>
        <v>0</v>
      </c>
      <c r="AK378" s="1610"/>
      <c r="AL378" s="1590"/>
      <c r="AM378" s="1590"/>
      <c r="AN378" s="1590"/>
      <c r="AO378" s="1590"/>
      <c r="AP378" s="1611"/>
      <c r="AQ378" s="1614">
        <f t="shared" si="93"/>
        <v>0</v>
      </c>
      <c r="AR378" s="1701"/>
      <c r="AS378" s="1665"/>
      <c r="AT378" s="1648">
        <f t="shared" si="84"/>
        <v>0</v>
      </c>
      <c r="AU378" s="1667"/>
      <c r="AV378" s="935"/>
      <c r="AW378" s="935"/>
      <c r="AX378" s="935"/>
      <c r="AY378" s="722"/>
      <c r="AZ378" s="722"/>
      <c r="BA378" s="722"/>
      <c r="BB378" s="722"/>
      <c r="BC378" s="722"/>
      <c r="BD378" s="722"/>
      <c r="BE378" s="706"/>
      <c r="BF378" s="706"/>
      <c r="BG378" s="694"/>
    </row>
    <row r="379" spans="1:59" ht="15.75" x14ac:dyDescent="0.25">
      <c r="A379" s="1883"/>
      <c r="B379" s="1748"/>
      <c r="C379" s="1884"/>
      <c r="D379" s="1884"/>
      <c r="E379" s="1726">
        <f t="shared" si="82"/>
        <v>0</v>
      </c>
      <c r="F379" s="1722"/>
      <c r="G379" s="1741"/>
      <c r="H379" s="1728"/>
      <c r="I379" s="1743"/>
      <c r="J379" s="1743"/>
      <c r="K379" s="1744"/>
      <c r="L379" s="1734">
        <f t="shared" si="85"/>
        <v>0</v>
      </c>
      <c r="M379" s="1735">
        <f t="shared" si="86"/>
        <v>0</v>
      </c>
      <c r="N379" s="1730"/>
      <c r="O379" s="1730"/>
      <c r="P379" s="1730"/>
      <c r="Q379" s="1730"/>
      <c r="R379" s="1730"/>
      <c r="S379" s="1730"/>
      <c r="T379" s="1730"/>
      <c r="U379" s="1730"/>
      <c r="V379" s="1730"/>
      <c r="W379" s="1730"/>
      <c r="X379" s="1903">
        <f t="shared" si="83"/>
        <v>0</v>
      </c>
      <c r="Y379" s="1733">
        <f t="shared" si="87"/>
        <v>0</v>
      </c>
      <c r="Z379" s="528"/>
      <c r="AA379" s="1620"/>
      <c r="AB379" s="1616"/>
      <c r="AC379" s="1616"/>
      <c r="AD379" s="1616"/>
      <c r="AE379" s="1621"/>
      <c r="AF379" s="1615">
        <f t="shared" si="88"/>
        <v>0</v>
      </c>
      <c r="AG379" s="1116">
        <f t="shared" si="89"/>
        <v>0</v>
      </c>
      <c r="AH379" s="1116">
        <f t="shared" si="90"/>
        <v>0</v>
      </c>
      <c r="AI379" s="1116">
        <f t="shared" si="91"/>
        <v>0</v>
      </c>
      <c r="AJ379" s="1606">
        <f t="shared" si="92"/>
        <v>0</v>
      </c>
      <c r="AK379" s="1610"/>
      <c r="AL379" s="1590"/>
      <c r="AM379" s="1590"/>
      <c r="AN379" s="1590"/>
      <c r="AO379" s="1590"/>
      <c r="AP379" s="1611"/>
      <c r="AQ379" s="1614">
        <f t="shared" si="93"/>
        <v>0</v>
      </c>
      <c r="AR379" s="1701"/>
      <c r="AS379" s="1665"/>
      <c r="AT379" s="1648">
        <f t="shared" si="84"/>
        <v>0</v>
      </c>
      <c r="AU379" s="1667"/>
      <c r="AV379" s="935"/>
      <c r="AW379" s="935"/>
      <c r="AX379" s="935"/>
      <c r="AY379" s="722"/>
      <c r="AZ379" s="722"/>
      <c r="BA379" s="722"/>
      <c r="BB379" s="722"/>
      <c r="BC379" s="722"/>
      <c r="BD379" s="722"/>
      <c r="BE379" s="706"/>
      <c r="BF379" s="706"/>
      <c r="BG379" s="694"/>
    </row>
    <row r="380" spans="1:59" ht="15.75" x14ac:dyDescent="0.25">
      <c r="A380" s="1883"/>
      <c r="B380" s="1748"/>
      <c r="C380" s="1884"/>
      <c r="D380" s="1884"/>
      <c r="E380" s="1726">
        <f t="shared" si="82"/>
        <v>0</v>
      </c>
      <c r="F380" s="1722"/>
      <c r="G380" s="1741"/>
      <c r="H380" s="1728"/>
      <c r="I380" s="1743"/>
      <c r="J380" s="1743"/>
      <c r="K380" s="1744"/>
      <c r="L380" s="1734">
        <f t="shared" si="85"/>
        <v>0</v>
      </c>
      <c r="M380" s="1735">
        <f t="shared" si="86"/>
        <v>0</v>
      </c>
      <c r="N380" s="1730"/>
      <c r="O380" s="1730"/>
      <c r="P380" s="1730"/>
      <c r="Q380" s="1730"/>
      <c r="R380" s="1730"/>
      <c r="S380" s="1730"/>
      <c r="T380" s="1730"/>
      <c r="U380" s="1730"/>
      <c r="V380" s="1730"/>
      <c r="W380" s="1730"/>
      <c r="X380" s="1903">
        <f t="shared" si="83"/>
        <v>0</v>
      </c>
      <c r="Y380" s="1733">
        <f t="shared" si="87"/>
        <v>0</v>
      </c>
      <c r="Z380" s="528"/>
      <c r="AA380" s="1620"/>
      <c r="AB380" s="1616"/>
      <c r="AC380" s="1616"/>
      <c r="AD380" s="1616"/>
      <c r="AE380" s="1621"/>
      <c r="AF380" s="1615">
        <f t="shared" si="88"/>
        <v>0</v>
      </c>
      <c r="AG380" s="1116">
        <f t="shared" si="89"/>
        <v>0</v>
      </c>
      <c r="AH380" s="1116">
        <f t="shared" si="90"/>
        <v>0</v>
      </c>
      <c r="AI380" s="1116">
        <f t="shared" si="91"/>
        <v>0</v>
      </c>
      <c r="AJ380" s="1606">
        <f t="shared" si="92"/>
        <v>0</v>
      </c>
      <c r="AK380" s="1610"/>
      <c r="AL380" s="1590"/>
      <c r="AM380" s="1590"/>
      <c r="AN380" s="1590"/>
      <c r="AO380" s="1590"/>
      <c r="AP380" s="1611"/>
      <c r="AQ380" s="1614">
        <f t="shared" si="93"/>
        <v>0</v>
      </c>
      <c r="AR380" s="1701"/>
      <c r="AS380" s="1665"/>
      <c r="AT380" s="1648">
        <f t="shared" si="84"/>
        <v>0</v>
      </c>
      <c r="AU380" s="1667"/>
      <c r="AV380" s="935"/>
      <c r="AW380" s="935"/>
      <c r="AX380" s="935"/>
      <c r="AY380" s="722"/>
      <c r="AZ380" s="722"/>
      <c r="BA380" s="722"/>
      <c r="BB380" s="722"/>
      <c r="BC380" s="722"/>
      <c r="BD380" s="722"/>
      <c r="BE380" s="706"/>
      <c r="BF380" s="706"/>
      <c r="BG380" s="694"/>
    </row>
    <row r="381" spans="1:59" ht="15.75" x14ac:dyDescent="0.25">
      <c r="A381" s="1883"/>
      <c r="B381" s="1748"/>
      <c r="C381" s="1884"/>
      <c r="D381" s="1884"/>
      <c r="E381" s="1726">
        <f t="shared" si="82"/>
        <v>0</v>
      </c>
      <c r="F381" s="1722"/>
      <c r="G381" s="1741"/>
      <c r="H381" s="1728"/>
      <c r="I381" s="1743"/>
      <c r="J381" s="1743"/>
      <c r="K381" s="1744"/>
      <c r="L381" s="1734">
        <f t="shared" si="85"/>
        <v>0</v>
      </c>
      <c r="M381" s="1735">
        <f t="shared" si="86"/>
        <v>0</v>
      </c>
      <c r="N381" s="1730"/>
      <c r="O381" s="1730"/>
      <c r="P381" s="1730"/>
      <c r="Q381" s="1730"/>
      <c r="R381" s="1730"/>
      <c r="S381" s="1730"/>
      <c r="T381" s="1730"/>
      <c r="U381" s="1730"/>
      <c r="V381" s="1730"/>
      <c r="W381" s="1730"/>
      <c r="X381" s="1903">
        <f t="shared" si="83"/>
        <v>0</v>
      </c>
      <c r="Y381" s="1733">
        <f t="shared" si="87"/>
        <v>0</v>
      </c>
      <c r="Z381" s="528"/>
      <c r="AA381" s="1620"/>
      <c r="AB381" s="1616"/>
      <c r="AC381" s="1616"/>
      <c r="AD381" s="1616"/>
      <c r="AE381" s="1621"/>
      <c r="AF381" s="1615">
        <f t="shared" si="88"/>
        <v>0</v>
      </c>
      <c r="AG381" s="1116">
        <f t="shared" si="89"/>
        <v>0</v>
      </c>
      <c r="AH381" s="1116">
        <f t="shared" si="90"/>
        <v>0</v>
      </c>
      <c r="AI381" s="1116">
        <f t="shared" si="91"/>
        <v>0</v>
      </c>
      <c r="AJ381" s="1606">
        <f t="shared" si="92"/>
        <v>0</v>
      </c>
      <c r="AK381" s="1610"/>
      <c r="AL381" s="1590"/>
      <c r="AM381" s="1590"/>
      <c r="AN381" s="1590"/>
      <c r="AO381" s="1590"/>
      <c r="AP381" s="1611"/>
      <c r="AQ381" s="1614">
        <f t="shared" si="93"/>
        <v>0</v>
      </c>
      <c r="AR381" s="1701"/>
      <c r="AS381" s="1665"/>
      <c r="AT381" s="1648">
        <f t="shared" si="84"/>
        <v>0</v>
      </c>
      <c r="AU381" s="1667"/>
      <c r="AV381" s="935"/>
      <c r="AW381" s="935"/>
      <c r="AX381" s="935"/>
      <c r="AY381" s="722"/>
      <c r="AZ381" s="722"/>
      <c r="BA381" s="722"/>
      <c r="BB381" s="722"/>
      <c r="BC381" s="722"/>
      <c r="BD381" s="722"/>
      <c r="BE381" s="706"/>
      <c r="BF381" s="706"/>
      <c r="BG381" s="694"/>
    </row>
    <row r="382" spans="1:59" ht="15.75" x14ac:dyDescent="0.25">
      <c r="A382" s="1883"/>
      <c r="B382" s="1748"/>
      <c r="C382" s="1884"/>
      <c r="D382" s="1884"/>
      <c r="E382" s="1726">
        <f t="shared" si="82"/>
        <v>0</v>
      </c>
      <c r="F382" s="1722"/>
      <c r="G382" s="1741"/>
      <c r="H382" s="1728"/>
      <c r="I382" s="1743"/>
      <c r="J382" s="1743"/>
      <c r="K382" s="1744"/>
      <c r="L382" s="1734">
        <f t="shared" si="85"/>
        <v>0</v>
      </c>
      <c r="M382" s="1735">
        <f t="shared" si="86"/>
        <v>0</v>
      </c>
      <c r="N382" s="1730"/>
      <c r="O382" s="1730"/>
      <c r="P382" s="1730"/>
      <c r="Q382" s="1730"/>
      <c r="R382" s="1730"/>
      <c r="S382" s="1730"/>
      <c r="T382" s="1730"/>
      <c r="U382" s="1730"/>
      <c r="V382" s="1730"/>
      <c r="W382" s="1730"/>
      <c r="X382" s="1903">
        <f t="shared" si="83"/>
        <v>0</v>
      </c>
      <c r="Y382" s="1733">
        <f t="shared" si="87"/>
        <v>0</v>
      </c>
      <c r="Z382" s="528"/>
      <c r="AA382" s="1620"/>
      <c r="AB382" s="1616"/>
      <c r="AC382" s="1616"/>
      <c r="AD382" s="1616"/>
      <c r="AE382" s="1621"/>
      <c r="AF382" s="1615">
        <f t="shared" si="88"/>
        <v>0</v>
      </c>
      <c r="AG382" s="1116">
        <f t="shared" si="89"/>
        <v>0</v>
      </c>
      <c r="AH382" s="1116">
        <f t="shared" si="90"/>
        <v>0</v>
      </c>
      <c r="AI382" s="1116">
        <f t="shared" si="91"/>
        <v>0</v>
      </c>
      <c r="AJ382" s="1606">
        <f t="shared" si="92"/>
        <v>0</v>
      </c>
      <c r="AK382" s="1610"/>
      <c r="AL382" s="1590"/>
      <c r="AM382" s="1590"/>
      <c r="AN382" s="1590"/>
      <c r="AO382" s="1590"/>
      <c r="AP382" s="1611"/>
      <c r="AQ382" s="1614">
        <f t="shared" si="93"/>
        <v>0</v>
      </c>
      <c r="AR382" s="1701"/>
      <c r="AS382" s="1665"/>
      <c r="AT382" s="1648">
        <f t="shared" si="84"/>
        <v>0</v>
      </c>
      <c r="AU382" s="1667"/>
      <c r="AV382" s="935"/>
      <c r="AW382" s="935"/>
      <c r="AX382" s="935"/>
      <c r="AY382" s="722"/>
      <c r="AZ382" s="722"/>
      <c r="BA382" s="722"/>
      <c r="BB382" s="722"/>
      <c r="BC382" s="722"/>
      <c r="BD382" s="722"/>
      <c r="BE382" s="706"/>
      <c r="BF382" s="706"/>
      <c r="BG382" s="694"/>
    </row>
    <row r="383" spans="1:59" ht="15.75" x14ac:dyDescent="0.25">
      <c r="A383" s="1883"/>
      <c r="B383" s="1748"/>
      <c r="C383" s="1884"/>
      <c r="D383" s="1884"/>
      <c r="E383" s="1726">
        <f t="shared" si="82"/>
        <v>0</v>
      </c>
      <c r="F383" s="1722"/>
      <c r="G383" s="1741"/>
      <c r="H383" s="1728"/>
      <c r="I383" s="1743"/>
      <c r="J383" s="1743"/>
      <c r="K383" s="1744"/>
      <c r="L383" s="1734">
        <f t="shared" si="85"/>
        <v>0</v>
      </c>
      <c r="M383" s="1735">
        <f t="shared" si="86"/>
        <v>0</v>
      </c>
      <c r="N383" s="1730"/>
      <c r="O383" s="1730"/>
      <c r="P383" s="1730"/>
      <c r="Q383" s="1730"/>
      <c r="R383" s="1730"/>
      <c r="S383" s="1730"/>
      <c r="T383" s="1730"/>
      <c r="U383" s="1730"/>
      <c r="V383" s="1730"/>
      <c r="W383" s="1730"/>
      <c r="X383" s="1903">
        <f t="shared" si="83"/>
        <v>0</v>
      </c>
      <c r="Y383" s="1733">
        <f t="shared" si="87"/>
        <v>0</v>
      </c>
      <c r="Z383" s="528"/>
      <c r="AA383" s="1620"/>
      <c r="AB383" s="1616"/>
      <c r="AC383" s="1616"/>
      <c r="AD383" s="1616"/>
      <c r="AE383" s="1621"/>
      <c r="AF383" s="1615">
        <f t="shared" si="88"/>
        <v>0</v>
      </c>
      <c r="AG383" s="1116">
        <f t="shared" si="89"/>
        <v>0</v>
      </c>
      <c r="AH383" s="1116">
        <f t="shared" si="90"/>
        <v>0</v>
      </c>
      <c r="AI383" s="1116">
        <f t="shared" si="91"/>
        <v>0</v>
      </c>
      <c r="AJ383" s="1606">
        <f t="shared" si="92"/>
        <v>0</v>
      </c>
      <c r="AK383" s="1610"/>
      <c r="AL383" s="1590"/>
      <c r="AM383" s="1590"/>
      <c r="AN383" s="1590"/>
      <c r="AO383" s="1590"/>
      <c r="AP383" s="1611"/>
      <c r="AQ383" s="1614">
        <f t="shared" si="93"/>
        <v>0</v>
      </c>
      <c r="AR383" s="1701"/>
      <c r="AS383" s="1665"/>
      <c r="AT383" s="1648">
        <f t="shared" si="84"/>
        <v>0</v>
      </c>
      <c r="AU383" s="1667"/>
      <c r="AV383" s="935"/>
      <c r="AW383" s="935"/>
      <c r="AX383" s="935"/>
      <c r="AY383" s="722"/>
      <c r="AZ383" s="722"/>
      <c r="BA383" s="722"/>
      <c r="BB383" s="722"/>
      <c r="BC383" s="722"/>
      <c r="BD383" s="722"/>
      <c r="BE383" s="706"/>
      <c r="BF383" s="706"/>
      <c r="BG383" s="694"/>
    </row>
    <row r="384" spans="1:59" ht="15.75" x14ac:dyDescent="0.25">
      <c r="A384" s="1883"/>
      <c r="B384" s="1748"/>
      <c r="C384" s="1884"/>
      <c r="D384" s="1884"/>
      <c r="E384" s="1726">
        <f t="shared" si="82"/>
        <v>0</v>
      </c>
      <c r="F384" s="1722"/>
      <c r="G384" s="1741"/>
      <c r="H384" s="1728"/>
      <c r="I384" s="1743"/>
      <c r="J384" s="1743"/>
      <c r="K384" s="1744"/>
      <c r="L384" s="1734">
        <f t="shared" si="85"/>
        <v>0</v>
      </c>
      <c r="M384" s="1735">
        <f t="shared" si="86"/>
        <v>0</v>
      </c>
      <c r="N384" s="1730"/>
      <c r="O384" s="1730"/>
      <c r="P384" s="1730"/>
      <c r="Q384" s="1730"/>
      <c r="R384" s="1730"/>
      <c r="S384" s="1730"/>
      <c r="T384" s="1730"/>
      <c r="U384" s="1730"/>
      <c r="V384" s="1730"/>
      <c r="W384" s="1730"/>
      <c r="X384" s="1903">
        <f t="shared" si="83"/>
        <v>0</v>
      </c>
      <c r="Y384" s="1733">
        <f t="shared" si="87"/>
        <v>0</v>
      </c>
      <c r="Z384" s="528"/>
      <c r="AA384" s="1620"/>
      <c r="AB384" s="1616"/>
      <c r="AC384" s="1616"/>
      <c r="AD384" s="1616"/>
      <c r="AE384" s="1621"/>
      <c r="AF384" s="1615">
        <f t="shared" si="88"/>
        <v>0</v>
      </c>
      <c r="AG384" s="1116">
        <f t="shared" si="89"/>
        <v>0</v>
      </c>
      <c r="AH384" s="1116">
        <f t="shared" si="90"/>
        <v>0</v>
      </c>
      <c r="AI384" s="1116">
        <f t="shared" si="91"/>
        <v>0</v>
      </c>
      <c r="AJ384" s="1606">
        <f t="shared" si="92"/>
        <v>0</v>
      </c>
      <c r="AK384" s="1610"/>
      <c r="AL384" s="1590"/>
      <c r="AM384" s="1590"/>
      <c r="AN384" s="1590"/>
      <c r="AO384" s="1590"/>
      <c r="AP384" s="1611"/>
      <c r="AQ384" s="1614">
        <f t="shared" si="93"/>
        <v>0</v>
      </c>
      <c r="AR384" s="1701"/>
      <c r="AS384" s="1665"/>
      <c r="AT384" s="1648">
        <f t="shared" si="84"/>
        <v>0</v>
      </c>
      <c r="AU384" s="1667"/>
      <c r="AV384" s="935"/>
      <c r="AW384" s="935"/>
      <c r="AX384" s="935"/>
      <c r="AY384" s="722"/>
      <c r="AZ384" s="722"/>
      <c r="BA384" s="722"/>
      <c r="BB384" s="722"/>
      <c r="BC384" s="722"/>
      <c r="BD384" s="722"/>
      <c r="BE384" s="706"/>
      <c r="BF384" s="706"/>
      <c r="BG384" s="694"/>
    </row>
    <row r="385" spans="1:65" ht="15.75" x14ac:dyDescent="0.25">
      <c r="A385" s="1883"/>
      <c r="B385" s="1748"/>
      <c r="C385" s="1884"/>
      <c r="D385" s="1884"/>
      <c r="E385" s="1726">
        <f t="shared" si="82"/>
        <v>0</v>
      </c>
      <c r="F385" s="1722"/>
      <c r="G385" s="1741"/>
      <c r="H385" s="1728"/>
      <c r="I385" s="1743"/>
      <c r="J385" s="1743"/>
      <c r="K385" s="1744"/>
      <c r="L385" s="1734">
        <f t="shared" si="85"/>
        <v>0</v>
      </c>
      <c r="M385" s="1735">
        <f t="shared" si="86"/>
        <v>0</v>
      </c>
      <c r="N385" s="1730"/>
      <c r="O385" s="1730"/>
      <c r="P385" s="1730"/>
      <c r="Q385" s="1730"/>
      <c r="R385" s="1730"/>
      <c r="S385" s="1730"/>
      <c r="T385" s="1730"/>
      <c r="U385" s="1730"/>
      <c r="V385" s="1730"/>
      <c r="W385" s="1730"/>
      <c r="X385" s="1903">
        <f t="shared" si="83"/>
        <v>0</v>
      </c>
      <c r="Y385" s="1733">
        <f t="shared" si="87"/>
        <v>0</v>
      </c>
      <c r="Z385" s="528"/>
      <c r="AA385" s="1620"/>
      <c r="AB385" s="1616"/>
      <c r="AC385" s="1616"/>
      <c r="AD385" s="1616"/>
      <c r="AE385" s="1621"/>
      <c r="AF385" s="1615">
        <f t="shared" si="88"/>
        <v>0</v>
      </c>
      <c r="AG385" s="1116">
        <f t="shared" si="89"/>
        <v>0</v>
      </c>
      <c r="AH385" s="1116">
        <f t="shared" si="90"/>
        <v>0</v>
      </c>
      <c r="AI385" s="1116">
        <f t="shared" si="91"/>
        <v>0</v>
      </c>
      <c r="AJ385" s="1606">
        <f t="shared" si="92"/>
        <v>0</v>
      </c>
      <c r="AK385" s="1610"/>
      <c r="AL385" s="1590"/>
      <c r="AM385" s="1590"/>
      <c r="AN385" s="1590"/>
      <c r="AO385" s="1590"/>
      <c r="AP385" s="1611"/>
      <c r="AQ385" s="1614">
        <f t="shared" si="93"/>
        <v>0</v>
      </c>
      <c r="AR385" s="1701"/>
      <c r="AS385" s="1665"/>
      <c r="AT385" s="1648">
        <f t="shared" si="84"/>
        <v>0</v>
      </c>
      <c r="AU385" s="1667"/>
      <c r="AV385" s="935"/>
      <c r="AW385" s="935"/>
      <c r="AX385" s="935"/>
      <c r="AY385" s="722"/>
      <c r="AZ385" s="722"/>
      <c r="BA385" s="722"/>
      <c r="BB385" s="722"/>
      <c r="BC385" s="722"/>
      <c r="BD385" s="722"/>
      <c r="BE385" s="706"/>
      <c r="BF385" s="706"/>
      <c r="BG385" s="694"/>
    </row>
    <row r="386" spans="1:65" ht="15.75" x14ac:dyDescent="0.25">
      <c r="A386" s="1883"/>
      <c r="B386" s="1748"/>
      <c r="C386" s="1884"/>
      <c r="D386" s="1884"/>
      <c r="E386" s="1726">
        <f t="shared" si="82"/>
        <v>0</v>
      </c>
      <c r="F386" s="1722"/>
      <c r="G386" s="1741"/>
      <c r="H386" s="1728"/>
      <c r="I386" s="1743"/>
      <c r="J386" s="1743"/>
      <c r="K386" s="1744"/>
      <c r="L386" s="1734">
        <f t="shared" si="85"/>
        <v>0</v>
      </c>
      <c r="M386" s="1735">
        <f t="shared" si="86"/>
        <v>0</v>
      </c>
      <c r="N386" s="1730"/>
      <c r="O386" s="1730"/>
      <c r="P386" s="1730"/>
      <c r="Q386" s="1730"/>
      <c r="R386" s="1730"/>
      <c r="S386" s="1730"/>
      <c r="T386" s="1730"/>
      <c r="U386" s="1730"/>
      <c r="V386" s="1730"/>
      <c r="W386" s="1730"/>
      <c r="X386" s="1903">
        <f t="shared" si="83"/>
        <v>0</v>
      </c>
      <c r="Y386" s="1733">
        <f t="shared" si="87"/>
        <v>0</v>
      </c>
      <c r="Z386" s="528"/>
      <c r="AA386" s="1620"/>
      <c r="AB386" s="1616"/>
      <c r="AC386" s="1616"/>
      <c r="AD386" s="1616"/>
      <c r="AE386" s="1621"/>
      <c r="AF386" s="1615">
        <f t="shared" si="88"/>
        <v>0</v>
      </c>
      <c r="AG386" s="1116">
        <f t="shared" si="89"/>
        <v>0</v>
      </c>
      <c r="AH386" s="1116">
        <f t="shared" si="90"/>
        <v>0</v>
      </c>
      <c r="AI386" s="1116">
        <f t="shared" si="91"/>
        <v>0</v>
      </c>
      <c r="AJ386" s="1606">
        <f t="shared" si="92"/>
        <v>0</v>
      </c>
      <c r="AK386" s="1610"/>
      <c r="AL386" s="1590"/>
      <c r="AM386" s="1590"/>
      <c r="AN386" s="1590"/>
      <c r="AO386" s="1590"/>
      <c r="AP386" s="1611"/>
      <c r="AQ386" s="1614">
        <f t="shared" si="93"/>
        <v>0</v>
      </c>
      <c r="AR386" s="1701"/>
      <c r="AS386" s="1665"/>
      <c r="AT386" s="1648">
        <f t="shared" si="84"/>
        <v>0</v>
      </c>
      <c r="AU386" s="1667"/>
      <c r="AV386" s="935"/>
      <c r="AW386" s="935"/>
      <c r="AX386" s="935"/>
      <c r="AY386" s="722"/>
      <c r="AZ386" s="722"/>
      <c r="BA386" s="722"/>
      <c r="BB386" s="722"/>
      <c r="BC386" s="722"/>
      <c r="BD386" s="722"/>
      <c r="BE386" s="706"/>
      <c r="BF386" s="706"/>
      <c r="BG386" s="694"/>
    </row>
    <row r="387" spans="1:65" ht="15.75" x14ac:dyDescent="0.25">
      <c r="A387" s="1883"/>
      <c r="B387" s="1748"/>
      <c r="C387" s="1884"/>
      <c r="D387" s="1884"/>
      <c r="E387" s="1726">
        <f t="shared" si="82"/>
        <v>0</v>
      </c>
      <c r="F387" s="1722"/>
      <c r="G387" s="1741"/>
      <c r="H387" s="1728"/>
      <c r="I387" s="1743"/>
      <c r="J387" s="1743"/>
      <c r="K387" s="1744"/>
      <c r="L387" s="1734">
        <f t="shared" si="85"/>
        <v>0</v>
      </c>
      <c r="M387" s="1735">
        <f t="shared" si="86"/>
        <v>0</v>
      </c>
      <c r="N387" s="1730"/>
      <c r="O387" s="1730"/>
      <c r="P387" s="1730"/>
      <c r="Q387" s="1730"/>
      <c r="R387" s="1730"/>
      <c r="S387" s="1730"/>
      <c r="T387" s="1730"/>
      <c r="U387" s="1730"/>
      <c r="V387" s="1730"/>
      <c r="W387" s="1730"/>
      <c r="X387" s="1903">
        <f t="shared" si="83"/>
        <v>0</v>
      </c>
      <c r="Y387" s="1733">
        <f t="shared" si="87"/>
        <v>0</v>
      </c>
      <c r="Z387" s="528"/>
      <c r="AA387" s="1620"/>
      <c r="AB387" s="1616"/>
      <c r="AC387" s="1616"/>
      <c r="AD387" s="1616"/>
      <c r="AE387" s="1621"/>
      <c r="AF387" s="1615">
        <f t="shared" si="88"/>
        <v>0</v>
      </c>
      <c r="AG387" s="1116">
        <f t="shared" si="89"/>
        <v>0</v>
      </c>
      <c r="AH387" s="1116">
        <f t="shared" si="90"/>
        <v>0</v>
      </c>
      <c r="AI387" s="1116">
        <f t="shared" si="91"/>
        <v>0</v>
      </c>
      <c r="AJ387" s="1606">
        <f t="shared" si="92"/>
        <v>0</v>
      </c>
      <c r="AK387" s="1610"/>
      <c r="AL387" s="1590"/>
      <c r="AM387" s="1590"/>
      <c r="AN387" s="1590"/>
      <c r="AO387" s="1590"/>
      <c r="AP387" s="1611"/>
      <c r="AQ387" s="1614">
        <f t="shared" si="93"/>
        <v>0</v>
      </c>
      <c r="AR387" s="1701"/>
      <c r="AS387" s="1665"/>
      <c r="AT387" s="1648">
        <f t="shared" si="84"/>
        <v>0</v>
      </c>
      <c r="AU387" s="1667"/>
      <c r="AV387" s="935"/>
      <c r="AW387" s="935"/>
      <c r="AX387" s="935"/>
      <c r="AY387" s="722"/>
      <c r="AZ387" s="722"/>
      <c r="BA387" s="722"/>
      <c r="BB387" s="722"/>
      <c r="BC387" s="722"/>
      <c r="BD387" s="722"/>
      <c r="BE387" s="706"/>
      <c r="BF387" s="706"/>
      <c r="BG387" s="694"/>
    </row>
    <row r="388" spans="1:65" ht="15.75" x14ac:dyDescent="0.25">
      <c r="A388" s="1883"/>
      <c r="B388" s="1748"/>
      <c r="C388" s="1884"/>
      <c r="D388" s="1884"/>
      <c r="E388" s="1726">
        <f t="shared" si="82"/>
        <v>0</v>
      </c>
      <c r="F388" s="1722"/>
      <c r="G388" s="1741"/>
      <c r="H388" s="1728"/>
      <c r="I388" s="1743"/>
      <c r="J388" s="1743"/>
      <c r="K388" s="1744"/>
      <c r="L388" s="1734">
        <f t="shared" si="85"/>
        <v>0</v>
      </c>
      <c r="M388" s="1735">
        <f t="shared" si="86"/>
        <v>0</v>
      </c>
      <c r="N388" s="1730"/>
      <c r="O388" s="1730"/>
      <c r="P388" s="1730"/>
      <c r="Q388" s="1730"/>
      <c r="R388" s="1730"/>
      <c r="S388" s="1730"/>
      <c r="T388" s="1730"/>
      <c r="U388" s="1730"/>
      <c r="V388" s="1730"/>
      <c r="W388" s="1730"/>
      <c r="X388" s="1903">
        <f t="shared" si="83"/>
        <v>0</v>
      </c>
      <c r="Y388" s="1733">
        <f t="shared" si="87"/>
        <v>0</v>
      </c>
      <c r="Z388" s="528"/>
      <c r="AA388" s="1620"/>
      <c r="AB388" s="1616"/>
      <c r="AC388" s="1616"/>
      <c r="AD388" s="1616"/>
      <c r="AE388" s="1621"/>
      <c r="AF388" s="1615">
        <f t="shared" si="88"/>
        <v>0</v>
      </c>
      <c r="AG388" s="1116">
        <f t="shared" si="89"/>
        <v>0</v>
      </c>
      <c r="AH388" s="1116">
        <f t="shared" si="90"/>
        <v>0</v>
      </c>
      <c r="AI388" s="1116">
        <f t="shared" si="91"/>
        <v>0</v>
      </c>
      <c r="AJ388" s="1606">
        <f t="shared" si="92"/>
        <v>0</v>
      </c>
      <c r="AK388" s="1610"/>
      <c r="AL388" s="1590"/>
      <c r="AM388" s="1590"/>
      <c r="AN388" s="1590"/>
      <c r="AO388" s="1590"/>
      <c r="AP388" s="1611"/>
      <c r="AQ388" s="1614">
        <f t="shared" si="93"/>
        <v>0</v>
      </c>
      <c r="AR388" s="1701"/>
      <c r="AS388" s="1665"/>
      <c r="AT388" s="1648">
        <f t="shared" si="84"/>
        <v>0</v>
      </c>
      <c r="AU388" s="1667"/>
      <c r="AV388" s="935"/>
      <c r="AW388" s="935"/>
      <c r="AX388" s="935"/>
      <c r="AY388" s="722"/>
      <c r="AZ388" s="722"/>
      <c r="BA388" s="722"/>
      <c r="BB388" s="722"/>
      <c r="BC388" s="722"/>
      <c r="BD388" s="722"/>
      <c r="BE388" s="706"/>
      <c r="BF388" s="706"/>
      <c r="BG388" s="694"/>
    </row>
    <row r="389" spans="1:65" ht="15.75" x14ac:dyDescent="0.25">
      <c r="A389" s="1883"/>
      <c r="B389" s="1748"/>
      <c r="C389" s="1884"/>
      <c r="D389" s="1884"/>
      <c r="E389" s="1726">
        <f t="shared" si="82"/>
        <v>0</v>
      </c>
      <c r="F389" s="1722"/>
      <c r="G389" s="1741"/>
      <c r="H389" s="1728"/>
      <c r="I389" s="1743"/>
      <c r="J389" s="1743"/>
      <c r="K389" s="1744"/>
      <c r="L389" s="1734">
        <f t="shared" si="85"/>
        <v>0</v>
      </c>
      <c r="M389" s="1735">
        <f t="shared" si="86"/>
        <v>0</v>
      </c>
      <c r="N389" s="1730"/>
      <c r="O389" s="1730"/>
      <c r="P389" s="1730"/>
      <c r="Q389" s="1730"/>
      <c r="R389" s="1730"/>
      <c r="S389" s="1730"/>
      <c r="T389" s="1730"/>
      <c r="U389" s="1730"/>
      <c r="V389" s="1730"/>
      <c r="W389" s="1730"/>
      <c r="X389" s="1903">
        <f t="shared" si="83"/>
        <v>0</v>
      </c>
      <c r="Y389" s="1733">
        <f t="shared" si="87"/>
        <v>0</v>
      </c>
      <c r="Z389" s="528"/>
      <c r="AA389" s="1620"/>
      <c r="AB389" s="1616"/>
      <c r="AC389" s="1616"/>
      <c r="AD389" s="1616"/>
      <c r="AE389" s="1621"/>
      <c r="AF389" s="1615">
        <f t="shared" si="88"/>
        <v>0</v>
      </c>
      <c r="AG389" s="1116">
        <f t="shared" si="89"/>
        <v>0</v>
      </c>
      <c r="AH389" s="1116">
        <f t="shared" si="90"/>
        <v>0</v>
      </c>
      <c r="AI389" s="1116">
        <f t="shared" si="91"/>
        <v>0</v>
      </c>
      <c r="AJ389" s="1606">
        <f t="shared" si="92"/>
        <v>0</v>
      </c>
      <c r="AK389" s="1610"/>
      <c r="AL389" s="1590"/>
      <c r="AM389" s="1590"/>
      <c r="AN389" s="1590"/>
      <c r="AO389" s="1590"/>
      <c r="AP389" s="1611"/>
      <c r="AQ389" s="1614">
        <f t="shared" si="93"/>
        <v>0</v>
      </c>
      <c r="AR389" s="1701"/>
      <c r="AS389" s="1665"/>
      <c r="AT389" s="1648">
        <f t="shared" si="84"/>
        <v>0</v>
      </c>
      <c r="AU389" s="1667"/>
      <c r="AV389" s="935"/>
      <c r="AW389" s="935"/>
      <c r="AX389" s="935"/>
      <c r="AY389" s="722"/>
      <c r="AZ389" s="722"/>
      <c r="BA389" s="722"/>
      <c r="BB389" s="722"/>
      <c r="BC389" s="722"/>
      <c r="BD389" s="722"/>
      <c r="BE389" s="706"/>
      <c r="BF389" s="706"/>
      <c r="BG389" s="694"/>
    </row>
    <row r="390" spans="1:65" ht="15.75" x14ac:dyDescent="0.25">
      <c r="A390" s="1883"/>
      <c r="B390" s="1748"/>
      <c r="C390" s="1884"/>
      <c r="D390" s="1884"/>
      <c r="E390" s="1726">
        <f t="shared" si="82"/>
        <v>0</v>
      </c>
      <c r="F390" s="1722"/>
      <c r="G390" s="1741"/>
      <c r="H390" s="1728"/>
      <c r="I390" s="1743"/>
      <c r="J390" s="1743"/>
      <c r="K390" s="1744"/>
      <c r="L390" s="1734">
        <f t="shared" si="85"/>
        <v>0</v>
      </c>
      <c r="M390" s="1735">
        <f t="shared" si="86"/>
        <v>0</v>
      </c>
      <c r="N390" s="1730"/>
      <c r="O390" s="1730"/>
      <c r="P390" s="1730"/>
      <c r="Q390" s="1730"/>
      <c r="R390" s="1730"/>
      <c r="S390" s="1730"/>
      <c r="T390" s="1730"/>
      <c r="U390" s="1730"/>
      <c r="V390" s="1730"/>
      <c r="W390" s="1730"/>
      <c r="X390" s="1903">
        <f t="shared" si="83"/>
        <v>0</v>
      </c>
      <c r="Y390" s="1733">
        <f t="shared" si="87"/>
        <v>0</v>
      </c>
      <c r="Z390" s="528"/>
      <c r="AA390" s="1620"/>
      <c r="AB390" s="1616"/>
      <c r="AC390" s="1616"/>
      <c r="AD390" s="1616"/>
      <c r="AE390" s="1621"/>
      <c r="AF390" s="1615">
        <f t="shared" si="88"/>
        <v>0</v>
      </c>
      <c r="AG390" s="1116">
        <f t="shared" si="89"/>
        <v>0</v>
      </c>
      <c r="AH390" s="1116">
        <f t="shared" si="90"/>
        <v>0</v>
      </c>
      <c r="AI390" s="1116">
        <f t="shared" si="91"/>
        <v>0</v>
      </c>
      <c r="AJ390" s="1606">
        <f t="shared" si="92"/>
        <v>0</v>
      </c>
      <c r="AK390" s="1610"/>
      <c r="AL390" s="1590"/>
      <c r="AM390" s="1590"/>
      <c r="AN390" s="1590"/>
      <c r="AO390" s="1590"/>
      <c r="AP390" s="1611"/>
      <c r="AQ390" s="1614">
        <f t="shared" si="93"/>
        <v>0</v>
      </c>
      <c r="AR390" s="1701"/>
      <c r="AS390" s="1665"/>
      <c r="AT390" s="1648">
        <f t="shared" si="84"/>
        <v>0</v>
      </c>
      <c r="AU390" s="1667"/>
      <c r="AV390" s="935"/>
      <c r="AW390" s="935"/>
      <c r="AX390" s="935"/>
      <c r="AY390" s="722"/>
      <c r="AZ390" s="722"/>
      <c r="BA390" s="722"/>
      <c r="BB390" s="722"/>
      <c r="BC390" s="722"/>
      <c r="BD390" s="722"/>
      <c r="BE390" s="706"/>
      <c r="BF390" s="706"/>
      <c r="BG390" s="694"/>
    </row>
    <row r="391" spans="1:65" ht="15.75" x14ac:dyDescent="0.25">
      <c r="A391" s="1883"/>
      <c r="B391" s="1748"/>
      <c r="C391" s="1884"/>
      <c r="D391" s="1884"/>
      <c r="E391" s="1726">
        <f t="shared" si="82"/>
        <v>0</v>
      </c>
      <c r="F391" s="1722"/>
      <c r="G391" s="1741"/>
      <c r="H391" s="1728"/>
      <c r="I391" s="1743"/>
      <c r="J391" s="1743"/>
      <c r="K391" s="1744"/>
      <c r="L391" s="1734">
        <f t="shared" si="85"/>
        <v>0</v>
      </c>
      <c r="M391" s="1735">
        <f t="shared" si="86"/>
        <v>0</v>
      </c>
      <c r="N391" s="1730"/>
      <c r="O391" s="1730"/>
      <c r="P391" s="1730"/>
      <c r="Q391" s="1730"/>
      <c r="R391" s="1730"/>
      <c r="S391" s="1730"/>
      <c r="T391" s="1730"/>
      <c r="U391" s="1730"/>
      <c r="V391" s="1730"/>
      <c r="W391" s="1730"/>
      <c r="X391" s="1903">
        <f t="shared" si="83"/>
        <v>0</v>
      </c>
      <c r="Y391" s="1733">
        <f t="shared" si="87"/>
        <v>0</v>
      </c>
      <c r="Z391" s="528"/>
      <c r="AA391" s="1620"/>
      <c r="AB391" s="1616"/>
      <c r="AC391" s="1616"/>
      <c r="AD391" s="1616"/>
      <c r="AE391" s="1621"/>
      <c r="AF391" s="1615">
        <f t="shared" si="88"/>
        <v>0</v>
      </c>
      <c r="AG391" s="1116">
        <f t="shared" si="89"/>
        <v>0</v>
      </c>
      <c r="AH391" s="1116">
        <f t="shared" si="90"/>
        <v>0</v>
      </c>
      <c r="AI391" s="1116">
        <f t="shared" si="91"/>
        <v>0</v>
      </c>
      <c r="AJ391" s="1606">
        <f t="shared" si="92"/>
        <v>0</v>
      </c>
      <c r="AK391" s="1610"/>
      <c r="AL391" s="1590"/>
      <c r="AM391" s="1590"/>
      <c r="AN391" s="1590"/>
      <c r="AO391" s="1590"/>
      <c r="AP391" s="1611"/>
      <c r="AQ391" s="1614">
        <f t="shared" si="93"/>
        <v>0</v>
      </c>
      <c r="AR391" s="1701"/>
      <c r="AS391" s="1665"/>
      <c r="AT391" s="1648">
        <f t="shared" si="84"/>
        <v>0</v>
      </c>
      <c r="AU391" s="1667"/>
      <c r="AV391" s="935"/>
      <c r="AW391" s="935"/>
      <c r="AX391" s="935"/>
      <c r="AY391" s="722"/>
      <c r="AZ391" s="722"/>
      <c r="BA391" s="722"/>
      <c r="BB391" s="722"/>
      <c r="BC391" s="722"/>
      <c r="BD391" s="722"/>
      <c r="BE391" s="706"/>
      <c r="BF391" s="706"/>
      <c r="BG391" s="694"/>
    </row>
    <row r="392" spans="1:65" ht="15.75" x14ac:dyDescent="0.25">
      <c r="A392" s="1883"/>
      <c r="B392" s="1748"/>
      <c r="C392" s="1884"/>
      <c r="D392" s="1884"/>
      <c r="E392" s="1726">
        <f t="shared" si="82"/>
        <v>0</v>
      </c>
      <c r="F392" s="1722"/>
      <c r="G392" s="1741"/>
      <c r="H392" s="1728"/>
      <c r="I392" s="1743"/>
      <c r="J392" s="1743"/>
      <c r="K392" s="1744"/>
      <c r="L392" s="1734">
        <f t="shared" si="85"/>
        <v>0</v>
      </c>
      <c r="M392" s="1735">
        <f t="shared" si="86"/>
        <v>0</v>
      </c>
      <c r="N392" s="1730"/>
      <c r="O392" s="1730"/>
      <c r="P392" s="1730"/>
      <c r="Q392" s="1730"/>
      <c r="R392" s="1730"/>
      <c r="S392" s="1730"/>
      <c r="T392" s="1730"/>
      <c r="U392" s="1730"/>
      <c r="V392" s="1730"/>
      <c r="W392" s="1730"/>
      <c r="X392" s="1903">
        <f t="shared" si="83"/>
        <v>0</v>
      </c>
      <c r="Y392" s="1733">
        <f t="shared" si="87"/>
        <v>0</v>
      </c>
      <c r="Z392" s="528"/>
      <c r="AA392" s="1620"/>
      <c r="AB392" s="1616"/>
      <c r="AC392" s="1616"/>
      <c r="AD392" s="1616"/>
      <c r="AE392" s="1621"/>
      <c r="AF392" s="1615">
        <f t="shared" si="88"/>
        <v>0</v>
      </c>
      <c r="AG392" s="1116">
        <f t="shared" si="89"/>
        <v>0</v>
      </c>
      <c r="AH392" s="1116">
        <f t="shared" si="90"/>
        <v>0</v>
      </c>
      <c r="AI392" s="1116">
        <f t="shared" si="91"/>
        <v>0</v>
      </c>
      <c r="AJ392" s="1606">
        <f t="shared" si="92"/>
        <v>0</v>
      </c>
      <c r="AK392" s="1610"/>
      <c r="AL392" s="1590"/>
      <c r="AM392" s="1590"/>
      <c r="AN392" s="1590"/>
      <c r="AO392" s="1590"/>
      <c r="AP392" s="1611"/>
      <c r="AQ392" s="1614">
        <f t="shared" si="93"/>
        <v>0</v>
      </c>
      <c r="AR392" s="1701"/>
      <c r="AS392" s="1665"/>
      <c r="AT392" s="1648">
        <f t="shared" si="84"/>
        <v>0</v>
      </c>
      <c r="AU392" s="1667"/>
      <c r="AV392" s="935"/>
      <c r="AW392" s="935"/>
      <c r="AX392" s="935"/>
      <c r="AY392" s="722"/>
      <c r="AZ392" s="722"/>
      <c r="BA392" s="722"/>
      <c r="BB392" s="722"/>
      <c r="BC392" s="722"/>
      <c r="BD392" s="722"/>
      <c r="BE392" s="706"/>
      <c r="BF392" s="706"/>
      <c r="BG392" s="694"/>
    </row>
    <row r="393" spans="1:65" ht="15.75" x14ac:dyDescent="0.25">
      <c r="A393" s="1883"/>
      <c r="B393" s="1748"/>
      <c r="C393" s="1884"/>
      <c r="D393" s="1884"/>
      <c r="E393" s="1726">
        <f t="shared" si="82"/>
        <v>0</v>
      </c>
      <c r="F393" s="1722"/>
      <c r="G393" s="1741"/>
      <c r="H393" s="1728"/>
      <c r="I393" s="1743"/>
      <c r="J393" s="1743"/>
      <c r="K393" s="1744"/>
      <c r="L393" s="1734">
        <f t="shared" si="85"/>
        <v>0</v>
      </c>
      <c r="M393" s="1735">
        <f t="shared" si="86"/>
        <v>0</v>
      </c>
      <c r="N393" s="1730"/>
      <c r="O393" s="1730"/>
      <c r="P393" s="1730"/>
      <c r="Q393" s="1730"/>
      <c r="R393" s="1730"/>
      <c r="S393" s="1730"/>
      <c r="T393" s="1730"/>
      <c r="U393" s="1730"/>
      <c r="V393" s="1730"/>
      <c r="W393" s="1730"/>
      <c r="X393" s="1903">
        <f t="shared" si="83"/>
        <v>0</v>
      </c>
      <c r="Y393" s="1733">
        <f t="shared" si="87"/>
        <v>0</v>
      </c>
      <c r="Z393" s="528"/>
      <c r="AA393" s="1620"/>
      <c r="AB393" s="1616"/>
      <c r="AC393" s="1616"/>
      <c r="AD393" s="1616"/>
      <c r="AE393" s="1621"/>
      <c r="AF393" s="1615">
        <f t="shared" si="88"/>
        <v>0</v>
      </c>
      <c r="AG393" s="1116">
        <f t="shared" si="89"/>
        <v>0</v>
      </c>
      <c r="AH393" s="1116">
        <f t="shared" si="90"/>
        <v>0</v>
      </c>
      <c r="AI393" s="1116">
        <f t="shared" si="91"/>
        <v>0</v>
      </c>
      <c r="AJ393" s="1606">
        <f t="shared" si="92"/>
        <v>0</v>
      </c>
      <c r="AK393" s="1610"/>
      <c r="AL393" s="1590"/>
      <c r="AM393" s="1590"/>
      <c r="AN393" s="1590"/>
      <c r="AO393" s="1590"/>
      <c r="AP393" s="1611"/>
      <c r="AQ393" s="1614">
        <f t="shared" si="93"/>
        <v>0</v>
      </c>
      <c r="AR393" s="1701"/>
      <c r="AS393" s="1665"/>
      <c r="AT393" s="1648">
        <f t="shared" si="84"/>
        <v>0</v>
      </c>
      <c r="AU393" s="1667"/>
      <c r="AV393" s="935"/>
      <c r="AW393" s="935"/>
      <c r="AX393" s="935"/>
      <c r="AY393" s="722"/>
      <c r="AZ393" s="722"/>
      <c r="BA393" s="722"/>
      <c r="BB393" s="722"/>
      <c r="BC393" s="722"/>
      <c r="BD393" s="722"/>
      <c r="BE393" s="706"/>
      <c r="BF393" s="706"/>
      <c r="BG393" s="694"/>
    </row>
    <row r="394" spans="1:65" ht="15.75" x14ac:dyDescent="0.25">
      <c r="A394" s="1883"/>
      <c r="B394" s="1748"/>
      <c r="C394" s="1884"/>
      <c r="D394" s="1884"/>
      <c r="E394" s="1726">
        <f t="shared" si="82"/>
        <v>0</v>
      </c>
      <c r="F394" s="1722"/>
      <c r="G394" s="1741"/>
      <c r="H394" s="1728"/>
      <c r="I394" s="1743"/>
      <c r="J394" s="1743"/>
      <c r="K394" s="1744"/>
      <c r="L394" s="1734">
        <f t="shared" si="85"/>
        <v>0</v>
      </c>
      <c r="M394" s="1735">
        <f t="shared" si="86"/>
        <v>0</v>
      </c>
      <c r="N394" s="1730"/>
      <c r="O394" s="1730"/>
      <c r="P394" s="1730"/>
      <c r="Q394" s="1730"/>
      <c r="R394" s="1730"/>
      <c r="S394" s="1730"/>
      <c r="T394" s="1730"/>
      <c r="U394" s="1730"/>
      <c r="V394" s="1730"/>
      <c r="W394" s="1730"/>
      <c r="X394" s="1903">
        <f t="shared" si="83"/>
        <v>0</v>
      </c>
      <c r="Y394" s="1733">
        <f t="shared" si="87"/>
        <v>0</v>
      </c>
      <c r="Z394" s="528"/>
      <c r="AA394" s="1620"/>
      <c r="AB394" s="1616"/>
      <c r="AC394" s="1616"/>
      <c r="AD394" s="1616"/>
      <c r="AE394" s="1621"/>
      <c r="AF394" s="1615">
        <f t="shared" si="88"/>
        <v>0</v>
      </c>
      <c r="AG394" s="1116">
        <f t="shared" si="89"/>
        <v>0</v>
      </c>
      <c r="AH394" s="1116">
        <f t="shared" si="90"/>
        <v>0</v>
      </c>
      <c r="AI394" s="1116">
        <f t="shared" si="91"/>
        <v>0</v>
      </c>
      <c r="AJ394" s="1606">
        <f t="shared" si="92"/>
        <v>0</v>
      </c>
      <c r="AK394" s="1610"/>
      <c r="AL394" s="1590"/>
      <c r="AM394" s="1590"/>
      <c r="AN394" s="1590"/>
      <c r="AO394" s="1590"/>
      <c r="AP394" s="1611"/>
      <c r="AQ394" s="1614">
        <f t="shared" si="93"/>
        <v>0</v>
      </c>
      <c r="AR394" s="1701"/>
      <c r="AS394" s="1665"/>
      <c r="AT394" s="1648">
        <f t="shared" si="84"/>
        <v>0</v>
      </c>
      <c r="AU394" s="1667"/>
      <c r="AV394" s="935"/>
      <c r="AW394" s="935"/>
      <c r="AX394" s="935"/>
      <c r="AY394" s="722"/>
      <c r="AZ394" s="722"/>
      <c r="BA394" s="722"/>
      <c r="BB394" s="722"/>
      <c r="BC394" s="722"/>
      <c r="BD394" s="722"/>
      <c r="BE394" s="706"/>
      <c r="BF394" s="706"/>
      <c r="BG394" s="694"/>
    </row>
    <row r="395" spans="1:65" ht="16.5" thickBot="1" x14ac:dyDescent="0.3">
      <c r="A395" s="1883"/>
      <c r="B395" s="1748"/>
      <c r="C395" s="1884"/>
      <c r="D395" s="1884"/>
      <c r="E395" s="1726">
        <f t="shared" si="82"/>
        <v>0</v>
      </c>
      <c r="F395" s="1722"/>
      <c r="G395" s="1741"/>
      <c r="H395" s="1728"/>
      <c r="I395" s="1743"/>
      <c r="J395" s="1743"/>
      <c r="K395" s="1744"/>
      <c r="L395" s="1734">
        <f t="shared" si="85"/>
        <v>0</v>
      </c>
      <c r="M395" s="1735">
        <f t="shared" si="86"/>
        <v>0</v>
      </c>
      <c r="N395" s="1745"/>
      <c r="O395" s="1745"/>
      <c r="P395" s="1745"/>
      <c r="Q395" s="1745"/>
      <c r="R395" s="1745"/>
      <c r="S395" s="1745"/>
      <c r="T395" s="1745"/>
      <c r="U395" s="1745"/>
      <c r="V395" s="1745"/>
      <c r="W395" s="1745"/>
      <c r="X395" s="1903">
        <f t="shared" si="83"/>
        <v>0</v>
      </c>
      <c r="Y395" s="1733">
        <f t="shared" si="87"/>
        <v>0</v>
      </c>
      <c r="Z395" s="528"/>
      <c r="AA395" s="1622"/>
      <c r="AB395" s="1623"/>
      <c r="AC395" s="1623"/>
      <c r="AD395" s="1623"/>
      <c r="AE395" s="1624"/>
      <c r="AF395" s="1615">
        <f t="shared" si="88"/>
        <v>0</v>
      </c>
      <c r="AG395" s="1116">
        <f t="shared" si="89"/>
        <v>0</v>
      </c>
      <c r="AH395" s="1116">
        <f t="shared" si="90"/>
        <v>0</v>
      </c>
      <c r="AI395" s="1116">
        <f t="shared" si="91"/>
        <v>0</v>
      </c>
      <c r="AJ395" s="1606">
        <f t="shared" si="92"/>
        <v>0</v>
      </c>
      <c r="AK395" s="1612"/>
      <c r="AL395" s="1601"/>
      <c r="AM395" s="1601"/>
      <c r="AN395" s="1601"/>
      <c r="AO395" s="1601"/>
      <c r="AP395" s="1613"/>
      <c r="AQ395" s="1614">
        <f t="shared" si="93"/>
        <v>0</v>
      </c>
      <c r="AR395" s="1645"/>
      <c r="AS395" s="1647"/>
      <c r="AT395" s="1648">
        <f t="shared" si="84"/>
        <v>0</v>
      </c>
      <c r="AU395" s="1668"/>
      <c r="AV395" s="935"/>
      <c r="AW395" s="935"/>
      <c r="AX395" s="935"/>
      <c r="AY395" s="722"/>
      <c r="AZ395" s="722"/>
      <c r="BA395" s="722"/>
      <c r="BB395" s="722"/>
      <c r="BC395" s="722"/>
      <c r="BD395" s="722"/>
      <c r="BE395" s="706"/>
      <c r="BF395" s="706"/>
      <c r="BG395" s="694"/>
    </row>
    <row r="396" spans="1:65" ht="42" customHeight="1" thickBot="1" x14ac:dyDescent="0.3">
      <c r="A396" s="801" t="s">
        <v>472</v>
      </c>
      <c r="B396" s="1398">
        <f>SUM(B371:B395)</f>
        <v>0</v>
      </c>
      <c r="C396" s="672">
        <f>IF(ISERROR(SUM(C371:C395)/B396),0,(SUM(C371:C395)/B396))</f>
        <v>0</v>
      </c>
      <c r="D396" s="676">
        <f>SUM(D371:D395)</f>
        <v>0</v>
      </c>
      <c r="E396" s="675">
        <f>IFERROR(D396/B396,0)</f>
        <v>0</v>
      </c>
      <c r="F396" s="2470" t="s">
        <v>471</v>
      </c>
      <c r="G396" s="2471"/>
      <c r="H396" s="1399">
        <f>SUM(H371:H395)</f>
        <v>0</v>
      </c>
      <c r="I396" s="371"/>
      <c r="J396" s="371"/>
      <c r="K396" s="371"/>
      <c r="L396" s="371"/>
      <c r="M396" s="426">
        <f>IF(ISERROR(SUM(M371:M395)/H396),0,(SUM(M371:M395)/H396))</f>
        <v>0</v>
      </c>
      <c r="N396" s="426">
        <f>IFERROR((SUM(N371:N395)/H396),0)</f>
        <v>0</v>
      </c>
      <c r="O396" s="426">
        <f>IFERROR((SUM(O371:O395)/H396),0)</f>
        <v>0</v>
      </c>
      <c r="P396" s="426">
        <f>IFERROR((SUM(P371:P395)/H396),0)</f>
        <v>0</v>
      </c>
      <c r="Q396" s="426">
        <f>IFERROR((SUM(Q371:Q395)/H396),0)</f>
        <v>0</v>
      </c>
      <c r="R396" s="426">
        <f>IFERROR((SUM(R371:R395)/H396),0)</f>
        <v>0</v>
      </c>
      <c r="S396" s="426">
        <f>IFERROR((SUM(S371:S395)/H396),0)</f>
        <v>0</v>
      </c>
      <c r="T396" s="426">
        <f>IFERROR((SUM(T371:T395)/H396),0)</f>
        <v>0</v>
      </c>
      <c r="U396" s="426">
        <f>IFERROR((SUM(U371:U395)/H396),0)</f>
        <v>0</v>
      </c>
      <c r="V396" s="426">
        <f>IFERROR((SUM(V371:V395)/H396),0)</f>
        <v>0</v>
      </c>
      <c r="W396" s="426">
        <f>IFERROR((SUM(W371:W395)/H396),0)</f>
        <v>0</v>
      </c>
      <c r="X396" s="427">
        <f>SUM(X371:X395)</f>
        <v>0</v>
      </c>
      <c r="Y396" s="429">
        <f>IFERROR(SUM(X396/H396),0)</f>
        <v>0</v>
      </c>
      <c r="Z396" s="510"/>
      <c r="AA396" s="708"/>
      <c r="AB396" s="708"/>
      <c r="AC396" s="708"/>
      <c r="AD396" s="708"/>
      <c r="AE396" s="708"/>
      <c r="AF396" s="708"/>
      <c r="AG396" s="708"/>
      <c r="AH396" s="708"/>
      <c r="AI396" s="708"/>
      <c r="AJ396" s="708"/>
      <c r="AK396" s="708"/>
      <c r="AL396" s="708"/>
      <c r="AM396" s="708"/>
      <c r="AN396" s="708"/>
      <c r="AO396" s="708"/>
      <c r="AP396" s="1426"/>
      <c r="AQ396" s="1426"/>
      <c r="AR396" s="1426"/>
      <c r="AS396" s="988"/>
      <c r="AT396" s="1007"/>
      <c r="AU396" s="971"/>
      <c r="AV396" s="935"/>
      <c r="AW396" s="935"/>
      <c r="AX396" s="935"/>
      <c r="AY396" s="724"/>
      <c r="AZ396" s="724"/>
      <c r="BA396" s="724"/>
      <c r="BB396" s="724"/>
      <c r="BC396" s="724"/>
      <c r="BD396" s="724"/>
      <c r="BE396" s="708"/>
      <c r="BF396" s="708"/>
      <c r="BG396" s="696"/>
      <c r="BM396" s="602"/>
    </row>
    <row r="397" spans="1:65" ht="15.75" x14ac:dyDescent="0.25">
      <c r="F397" s="475"/>
      <c r="G397" s="372"/>
      <c r="X397" s="465"/>
      <c r="Y397" s="477"/>
      <c r="Z397" s="540"/>
      <c r="AA397" s="713"/>
      <c r="AB397" s="713"/>
      <c r="AC397" s="713"/>
      <c r="AD397" s="713"/>
      <c r="AE397" s="713"/>
      <c r="AF397" s="713"/>
      <c r="AG397" s="713"/>
      <c r="AH397" s="713"/>
      <c r="AI397" s="713"/>
      <c r="AJ397" s="713"/>
      <c r="AK397" s="713"/>
      <c r="AL397" s="713"/>
      <c r="AM397" s="713"/>
      <c r="AN397" s="713"/>
      <c r="AO397" s="713"/>
      <c r="AP397" s="1430"/>
      <c r="AQ397" s="1430"/>
      <c r="AR397" s="1430"/>
      <c r="AS397" s="991"/>
      <c r="AT397" s="1011"/>
      <c r="AU397" s="976"/>
      <c r="AV397" s="935"/>
      <c r="AW397" s="935"/>
      <c r="AX397" s="935"/>
      <c r="AY397" s="728"/>
      <c r="AZ397" s="728"/>
      <c r="BA397" s="728"/>
      <c r="BB397" s="728"/>
      <c r="BC397" s="728"/>
      <c r="BD397" s="728"/>
      <c r="BE397" s="713"/>
      <c r="BF397" s="713"/>
      <c r="BG397" s="700"/>
    </row>
    <row r="398" spans="1:65" ht="15.75" x14ac:dyDescent="0.25">
      <c r="A398" s="478" t="s">
        <v>473</v>
      </c>
      <c r="F398" s="478" t="s">
        <v>473</v>
      </c>
      <c r="G398" s="239"/>
      <c r="M398" s="373"/>
      <c r="N398" s="373"/>
      <c r="P398" s="766"/>
      <c r="Q398" s="766"/>
      <c r="R398" s="766"/>
      <c r="S398" s="766"/>
      <c r="T398" s="766"/>
      <c r="U398" s="766"/>
      <c r="V398" s="766"/>
      <c r="W398" s="766"/>
      <c r="X398" s="766"/>
      <c r="Y398" s="767"/>
      <c r="Z398" s="539"/>
      <c r="AA398" s="712"/>
      <c r="AB398" s="712"/>
      <c r="AC398" s="712"/>
      <c r="AD398" s="712"/>
      <c r="AE398" s="712"/>
      <c r="AF398" s="712"/>
      <c r="AG398" s="712"/>
      <c r="AH398" s="712"/>
      <c r="AI398" s="712"/>
      <c r="AJ398" s="712"/>
      <c r="AK398" s="712"/>
      <c r="AL398" s="712"/>
      <c r="AM398" s="712"/>
      <c r="AN398" s="712"/>
      <c r="AO398" s="712"/>
      <c r="AP398" s="1424"/>
      <c r="AQ398" s="1424"/>
      <c r="AR398" s="1424"/>
      <c r="AS398" s="712"/>
      <c r="AT398" s="936"/>
      <c r="AU398" s="969"/>
      <c r="AV398" s="935"/>
      <c r="AW398" s="935"/>
      <c r="AX398" s="935"/>
      <c r="AY398" s="509"/>
      <c r="AZ398" s="509"/>
      <c r="BA398" s="509"/>
      <c r="BB398" s="509"/>
      <c r="BC398" s="509"/>
      <c r="BD398" s="509"/>
      <c r="BE398" s="712"/>
      <c r="BF398" s="712"/>
      <c r="BG398" s="693"/>
    </row>
    <row r="399" spans="1:65" ht="15.75" x14ac:dyDescent="0.25">
      <c r="A399" s="1883"/>
      <c r="B399" s="1748"/>
      <c r="C399" s="1884"/>
      <c r="D399" s="1884"/>
      <c r="E399" s="1726">
        <f t="shared" ref="E399:E423" si="94">IFERROR(D399/B399,0)</f>
        <v>0</v>
      </c>
      <c r="F399" s="1722"/>
      <c r="G399" s="1741"/>
      <c r="H399" s="1728"/>
      <c r="I399" s="1743"/>
      <c r="J399" s="1743"/>
      <c r="K399" s="1744"/>
      <c r="L399" s="1731">
        <f>IFERROR(IF($K$24="VK",K399,K399/H399),0)</f>
        <v>0</v>
      </c>
      <c r="M399" s="1732">
        <f>IFERROR(L399*H399,"")</f>
        <v>0</v>
      </c>
      <c r="N399" s="1730"/>
      <c r="O399" s="1730"/>
      <c r="P399" s="1730"/>
      <c r="Q399" s="1730"/>
      <c r="R399" s="1730"/>
      <c r="S399" s="1730"/>
      <c r="T399" s="1730"/>
      <c r="U399" s="1730"/>
      <c r="V399" s="1730"/>
      <c r="W399" s="1730"/>
      <c r="X399" s="1903">
        <f t="shared" ref="X399:X423" si="95">IF(AND(H399&gt;0,F399&lt;&gt;"GfB"),(SUM(M399:P399,R399,V399,Q399)*12+(T399+U399))*(100+$P$17+$P$18)%+((S399+W399)*12),IF(AND(H399&gt;0,F399="GfB"),(SUM(M399:P399,R399,V399,Q399)*12+(T399+U399))*(100+$P$20+$P$18)%+((S399+W399)*12),0))</f>
        <v>0</v>
      </c>
      <c r="Y399" s="1733">
        <f>IF(ISERROR(X399/H399),0,(X399/H399))</f>
        <v>0</v>
      </c>
      <c r="Z399" s="528"/>
      <c r="AA399" s="1617"/>
      <c r="AB399" s="1618"/>
      <c r="AC399" s="1618"/>
      <c r="AD399" s="1618"/>
      <c r="AE399" s="1618"/>
      <c r="AF399" s="1626"/>
      <c r="AG399" s="1592"/>
      <c r="AH399" s="1592"/>
      <c r="AI399" s="1592"/>
      <c r="AJ399" s="1627"/>
      <c r="AK399" s="1625">
        <f>(IF(AND($H399&gt;0,$K399&gt;0),($M399+$N399),0))</f>
        <v>0</v>
      </c>
      <c r="AL399" s="1565">
        <f>(IF(AND($H399&gt;0,$K399&gt;0),$O399,0))</f>
        <v>0</v>
      </c>
      <c r="AM399" s="1565">
        <f>(IF(AND($H399&gt;0,$K399&gt;0),$P399,0))</f>
        <v>0</v>
      </c>
      <c r="AN399" s="1565">
        <f>(IF(AND($H399&gt;0,$K399&gt;0),$Q399,0))</f>
        <v>0</v>
      </c>
      <c r="AO399" s="1631">
        <f>(IF(AND($H399&gt;0,$K399&gt;0),(($T399+$U399)/12),0))</f>
        <v>0</v>
      </c>
      <c r="AP399" s="1632"/>
      <c r="AQ399" s="1633"/>
      <c r="AR399" s="1662">
        <f>IF(AND($H399&gt;0,$K399&gt;0),$H399,0)</f>
        <v>0</v>
      </c>
      <c r="AS399" s="1673"/>
      <c r="AT399" s="1674"/>
      <c r="AU399" s="1679">
        <f>IF(AND($H399&gt;0,$K399&gt;0),$X399,0)</f>
        <v>0</v>
      </c>
      <c r="AV399" s="935"/>
      <c r="AW399" s="935"/>
      <c r="AX399" s="935"/>
      <c r="AY399" s="722"/>
      <c r="AZ399" s="722"/>
      <c r="BA399" s="722"/>
      <c r="BB399" s="722"/>
      <c r="BC399" s="722"/>
      <c r="BD399" s="722"/>
      <c r="BE399" s="706"/>
      <c r="BF399" s="706"/>
      <c r="BG399" s="694"/>
    </row>
    <row r="400" spans="1:65" ht="15.75" x14ac:dyDescent="0.25">
      <c r="A400" s="1883"/>
      <c r="B400" s="1748"/>
      <c r="C400" s="1884"/>
      <c r="D400" s="1884"/>
      <c r="E400" s="1726">
        <f t="shared" si="94"/>
        <v>0</v>
      </c>
      <c r="F400" s="1722"/>
      <c r="G400" s="1741"/>
      <c r="H400" s="1728"/>
      <c r="I400" s="1743"/>
      <c r="J400" s="1743"/>
      <c r="K400" s="1744"/>
      <c r="L400" s="1734">
        <f t="shared" ref="L400:L423" si="96">IFERROR(IF($K$24="VK",K400,K400/H400),0)</f>
        <v>0</v>
      </c>
      <c r="M400" s="1735">
        <f t="shared" ref="M400:M423" si="97">IFERROR(L400*H400,"")</f>
        <v>0</v>
      </c>
      <c r="N400" s="1730"/>
      <c r="O400" s="1730"/>
      <c r="P400" s="1730"/>
      <c r="Q400" s="1730"/>
      <c r="R400" s="1730"/>
      <c r="S400" s="1730"/>
      <c r="T400" s="1730"/>
      <c r="U400" s="1730"/>
      <c r="V400" s="1730"/>
      <c r="W400" s="1730"/>
      <c r="X400" s="1903">
        <f t="shared" si="95"/>
        <v>0</v>
      </c>
      <c r="Y400" s="1733">
        <f t="shared" ref="Y400:Y423" si="98">IF(ISERROR(X400/H400),0,(X400/H400))</f>
        <v>0</v>
      </c>
      <c r="Z400" s="528"/>
      <c r="AA400" s="1620"/>
      <c r="AB400" s="1616"/>
      <c r="AC400" s="1616"/>
      <c r="AD400" s="1616"/>
      <c r="AE400" s="1616"/>
      <c r="AF400" s="1587"/>
      <c r="AG400" s="1588"/>
      <c r="AH400" s="1588"/>
      <c r="AI400" s="1588"/>
      <c r="AJ400" s="1628"/>
      <c r="AK400" s="1625">
        <f t="shared" ref="AK400:AK423" si="99">(IF(AND($H400&gt;0,$K400&gt;0),($M400+$N400),0))</f>
        <v>0</v>
      </c>
      <c r="AL400" s="1565">
        <f t="shared" ref="AL400:AL423" si="100">(IF(AND($H400&gt;0,$K400&gt;0),$O400,0))</f>
        <v>0</v>
      </c>
      <c r="AM400" s="1565">
        <f t="shared" ref="AM400:AM423" si="101">(IF(AND($H400&gt;0,$K400&gt;0),$P400,0))</f>
        <v>0</v>
      </c>
      <c r="AN400" s="1565">
        <f t="shared" ref="AN400:AN423" si="102">(IF(AND($H400&gt;0,$K400&gt;0),$Q400,0))</f>
        <v>0</v>
      </c>
      <c r="AO400" s="1631">
        <f t="shared" ref="AO400:AO423" si="103">(IF(AND($H400&gt;0,$K400&gt;0),(($T400+$U400)/12),0))</f>
        <v>0</v>
      </c>
      <c r="AP400" s="1634"/>
      <c r="AQ400" s="1635"/>
      <c r="AR400" s="1662">
        <f t="shared" ref="AR400:AR423" si="104">IF(AND($H400&gt;0,$K400&gt;0),$H400,0)</f>
        <v>0</v>
      </c>
      <c r="AS400" s="1675"/>
      <c r="AT400" s="1676"/>
      <c r="AU400" s="1679">
        <f t="shared" ref="AU400:AU423" si="105">IF(AND($H400&gt;0,$K400&gt;0),$X400,0)</f>
        <v>0</v>
      </c>
      <c r="AV400" s="935"/>
      <c r="AW400" s="935"/>
      <c r="AX400" s="935"/>
      <c r="AY400" s="722"/>
      <c r="AZ400" s="722"/>
      <c r="BA400" s="722"/>
      <c r="BB400" s="722"/>
      <c r="BC400" s="722"/>
      <c r="BD400" s="722"/>
      <c r="BE400" s="706"/>
      <c r="BF400" s="706"/>
      <c r="BG400" s="694"/>
    </row>
    <row r="401" spans="1:59" ht="15.75" x14ac:dyDescent="0.25">
      <c r="A401" s="1883"/>
      <c r="B401" s="1748"/>
      <c r="C401" s="1884"/>
      <c r="D401" s="1884"/>
      <c r="E401" s="1726">
        <f t="shared" si="94"/>
        <v>0</v>
      </c>
      <c r="F401" s="1722"/>
      <c r="G401" s="1741"/>
      <c r="H401" s="1728"/>
      <c r="I401" s="1743"/>
      <c r="J401" s="1743"/>
      <c r="K401" s="1744"/>
      <c r="L401" s="1734">
        <f t="shared" si="96"/>
        <v>0</v>
      </c>
      <c r="M401" s="1735">
        <f t="shared" si="97"/>
        <v>0</v>
      </c>
      <c r="N401" s="1730"/>
      <c r="O401" s="1730"/>
      <c r="P401" s="1730"/>
      <c r="Q401" s="1730"/>
      <c r="R401" s="1730"/>
      <c r="S401" s="1730"/>
      <c r="T401" s="1730"/>
      <c r="U401" s="1730"/>
      <c r="V401" s="1730"/>
      <c r="W401" s="1730"/>
      <c r="X401" s="1903">
        <f t="shared" si="95"/>
        <v>0</v>
      </c>
      <c r="Y401" s="1733">
        <f t="shared" si="98"/>
        <v>0</v>
      </c>
      <c r="Z401" s="528"/>
      <c r="AA401" s="1620"/>
      <c r="AB401" s="1616"/>
      <c r="AC401" s="1616"/>
      <c r="AD401" s="1616"/>
      <c r="AE401" s="1616"/>
      <c r="AF401" s="1587"/>
      <c r="AG401" s="1588"/>
      <c r="AH401" s="1588"/>
      <c r="AI401" s="1588"/>
      <c r="AJ401" s="1628"/>
      <c r="AK401" s="1625">
        <f t="shared" si="99"/>
        <v>0</v>
      </c>
      <c r="AL401" s="1565">
        <f t="shared" si="100"/>
        <v>0</v>
      </c>
      <c r="AM401" s="1565">
        <f t="shared" si="101"/>
        <v>0</v>
      </c>
      <c r="AN401" s="1565">
        <f t="shared" si="102"/>
        <v>0</v>
      </c>
      <c r="AO401" s="1631">
        <f t="shared" si="103"/>
        <v>0</v>
      </c>
      <c r="AP401" s="1634"/>
      <c r="AQ401" s="1635"/>
      <c r="AR401" s="1662">
        <f t="shared" si="104"/>
        <v>0</v>
      </c>
      <c r="AS401" s="1675"/>
      <c r="AT401" s="1676"/>
      <c r="AU401" s="1679">
        <f t="shared" si="105"/>
        <v>0</v>
      </c>
      <c r="AV401" s="935"/>
      <c r="AW401" s="935"/>
      <c r="AX401" s="935"/>
      <c r="AY401" s="722"/>
      <c r="AZ401" s="722"/>
      <c r="BA401" s="722"/>
      <c r="BB401" s="722"/>
      <c r="BC401" s="722"/>
      <c r="BD401" s="722"/>
      <c r="BE401" s="706"/>
      <c r="BF401" s="706"/>
      <c r="BG401" s="694"/>
    </row>
    <row r="402" spans="1:59" ht="15.75" x14ac:dyDescent="0.25">
      <c r="A402" s="1883"/>
      <c r="B402" s="1748"/>
      <c r="C402" s="1884"/>
      <c r="D402" s="1884"/>
      <c r="E402" s="1726">
        <f t="shared" si="94"/>
        <v>0</v>
      </c>
      <c r="F402" s="1722"/>
      <c r="G402" s="1741"/>
      <c r="H402" s="1728"/>
      <c r="I402" s="1743"/>
      <c r="J402" s="1743"/>
      <c r="K402" s="1744"/>
      <c r="L402" s="1734">
        <f t="shared" si="96"/>
        <v>0</v>
      </c>
      <c r="M402" s="1735">
        <f t="shared" si="97"/>
        <v>0</v>
      </c>
      <c r="N402" s="1730"/>
      <c r="O402" s="1730"/>
      <c r="P402" s="1730"/>
      <c r="Q402" s="1730"/>
      <c r="R402" s="1730"/>
      <c r="S402" s="1730"/>
      <c r="T402" s="1730"/>
      <c r="U402" s="1730"/>
      <c r="V402" s="1730"/>
      <c r="W402" s="1730"/>
      <c r="X402" s="1903">
        <f t="shared" si="95"/>
        <v>0</v>
      </c>
      <c r="Y402" s="1733">
        <f t="shared" si="98"/>
        <v>0</v>
      </c>
      <c r="Z402" s="528"/>
      <c r="AA402" s="1620"/>
      <c r="AB402" s="1616"/>
      <c r="AC402" s="1616"/>
      <c r="AD402" s="1616"/>
      <c r="AE402" s="1616"/>
      <c r="AF402" s="1587"/>
      <c r="AG402" s="1588"/>
      <c r="AH402" s="1588"/>
      <c r="AI402" s="1588"/>
      <c r="AJ402" s="1628"/>
      <c r="AK402" s="1625">
        <f t="shared" si="99"/>
        <v>0</v>
      </c>
      <c r="AL402" s="1565">
        <f t="shared" si="100"/>
        <v>0</v>
      </c>
      <c r="AM402" s="1565">
        <f t="shared" si="101"/>
        <v>0</v>
      </c>
      <c r="AN402" s="1565">
        <f t="shared" si="102"/>
        <v>0</v>
      </c>
      <c r="AO402" s="1631">
        <f t="shared" si="103"/>
        <v>0</v>
      </c>
      <c r="AP402" s="1634"/>
      <c r="AQ402" s="1635"/>
      <c r="AR402" s="1662">
        <f t="shared" si="104"/>
        <v>0</v>
      </c>
      <c r="AS402" s="1675"/>
      <c r="AT402" s="1676"/>
      <c r="AU402" s="1679">
        <f t="shared" si="105"/>
        <v>0</v>
      </c>
      <c r="AV402" s="935"/>
      <c r="AW402" s="935"/>
      <c r="AX402" s="935"/>
      <c r="AY402" s="722"/>
      <c r="AZ402" s="722"/>
      <c r="BA402" s="722"/>
      <c r="BB402" s="722"/>
      <c r="BC402" s="722"/>
      <c r="BD402" s="722"/>
      <c r="BE402" s="706"/>
      <c r="BF402" s="706"/>
      <c r="BG402" s="694"/>
    </row>
    <row r="403" spans="1:59" ht="15.75" x14ac:dyDescent="0.25">
      <c r="A403" s="1883"/>
      <c r="B403" s="1748"/>
      <c r="C403" s="1884"/>
      <c r="D403" s="1884"/>
      <c r="E403" s="1726">
        <f t="shared" si="94"/>
        <v>0</v>
      </c>
      <c r="F403" s="1722"/>
      <c r="G403" s="1741"/>
      <c r="H403" s="1728"/>
      <c r="I403" s="1743"/>
      <c r="J403" s="1743"/>
      <c r="K403" s="1744"/>
      <c r="L403" s="1734">
        <f t="shared" si="96"/>
        <v>0</v>
      </c>
      <c r="M403" s="1735">
        <f t="shared" si="97"/>
        <v>0</v>
      </c>
      <c r="N403" s="1730"/>
      <c r="O403" s="1730"/>
      <c r="P403" s="1730"/>
      <c r="Q403" s="1730"/>
      <c r="R403" s="1730"/>
      <c r="S403" s="1730"/>
      <c r="T403" s="1730"/>
      <c r="U403" s="1730"/>
      <c r="V403" s="1730"/>
      <c r="W403" s="1730"/>
      <c r="X403" s="1903">
        <f t="shared" si="95"/>
        <v>0</v>
      </c>
      <c r="Y403" s="1733">
        <f t="shared" si="98"/>
        <v>0</v>
      </c>
      <c r="Z403" s="528"/>
      <c r="AA403" s="1620"/>
      <c r="AB403" s="1616"/>
      <c r="AC403" s="1616"/>
      <c r="AD403" s="1616"/>
      <c r="AE403" s="1616"/>
      <c r="AF403" s="1587"/>
      <c r="AG403" s="1588"/>
      <c r="AH403" s="1588"/>
      <c r="AI403" s="1588"/>
      <c r="AJ403" s="1628"/>
      <c r="AK403" s="1625">
        <f t="shared" si="99"/>
        <v>0</v>
      </c>
      <c r="AL403" s="1565">
        <f t="shared" si="100"/>
        <v>0</v>
      </c>
      <c r="AM403" s="1565">
        <f t="shared" si="101"/>
        <v>0</v>
      </c>
      <c r="AN403" s="1565">
        <f t="shared" si="102"/>
        <v>0</v>
      </c>
      <c r="AO403" s="1631">
        <f t="shared" si="103"/>
        <v>0</v>
      </c>
      <c r="AP403" s="1634"/>
      <c r="AQ403" s="1635"/>
      <c r="AR403" s="1662">
        <f t="shared" si="104"/>
        <v>0</v>
      </c>
      <c r="AS403" s="1675"/>
      <c r="AT403" s="1676"/>
      <c r="AU403" s="1679">
        <f t="shared" si="105"/>
        <v>0</v>
      </c>
      <c r="AV403" s="935"/>
      <c r="AW403" s="935"/>
      <c r="AX403" s="935"/>
      <c r="AY403" s="722"/>
      <c r="AZ403" s="722"/>
      <c r="BA403" s="722"/>
      <c r="BB403" s="722"/>
      <c r="BC403" s="722"/>
      <c r="BD403" s="722"/>
      <c r="BE403" s="706"/>
      <c r="BF403" s="706"/>
      <c r="BG403" s="694"/>
    </row>
    <row r="404" spans="1:59" ht="15.75" x14ac:dyDescent="0.25">
      <c r="A404" s="1883"/>
      <c r="B404" s="1748"/>
      <c r="C404" s="1884"/>
      <c r="D404" s="1884"/>
      <c r="E404" s="1726">
        <f t="shared" si="94"/>
        <v>0</v>
      </c>
      <c r="F404" s="1722"/>
      <c r="G404" s="1741"/>
      <c r="H404" s="1728"/>
      <c r="I404" s="1743"/>
      <c r="J404" s="1743"/>
      <c r="K404" s="1744"/>
      <c r="L404" s="1734">
        <f t="shared" si="96"/>
        <v>0</v>
      </c>
      <c r="M404" s="1735">
        <f t="shared" si="97"/>
        <v>0</v>
      </c>
      <c r="N404" s="1730"/>
      <c r="O404" s="1730"/>
      <c r="P404" s="1730"/>
      <c r="Q404" s="1730"/>
      <c r="R404" s="1730"/>
      <c r="S404" s="1730"/>
      <c r="T404" s="1730"/>
      <c r="U404" s="1730"/>
      <c r="V404" s="1730"/>
      <c r="W404" s="1730"/>
      <c r="X404" s="1903">
        <f t="shared" si="95"/>
        <v>0</v>
      </c>
      <c r="Y404" s="1733">
        <f t="shared" si="98"/>
        <v>0</v>
      </c>
      <c r="Z404" s="528"/>
      <c r="AA404" s="1620"/>
      <c r="AB404" s="1616"/>
      <c r="AC404" s="1616"/>
      <c r="AD404" s="1616"/>
      <c r="AE404" s="1616"/>
      <c r="AF404" s="1587"/>
      <c r="AG404" s="1588"/>
      <c r="AH404" s="1588"/>
      <c r="AI404" s="1588"/>
      <c r="AJ404" s="1628"/>
      <c r="AK404" s="1625">
        <f t="shared" si="99"/>
        <v>0</v>
      </c>
      <c r="AL404" s="1565">
        <f t="shared" si="100"/>
        <v>0</v>
      </c>
      <c r="AM404" s="1565">
        <f t="shared" si="101"/>
        <v>0</v>
      </c>
      <c r="AN404" s="1565">
        <f t="shared" si="102"/>
        <v>0</v>
      </c>
      <c r="AO404" s="1631">
        <f t="shared" si="103"/>
        <v>0</v>
      </c>
      <c r="AP404" s="1634"/>
      <c r="AQ404" s="1635"/>
      <c r="AR404" s="1662">
        <f t="shared" si="104"/>
        <v>0</v>
      </c>
      <c r="AS404" s="1675"/>
      <c r="AT404" s="1676"/>
      <c r="AU404" s="1679">
        <f t="shared" si="105"/>
        <v>0</v>
      </c>
      <c r="AV404" s="935"/>
      <c r="AW404" s="935"/>
      <c r="AX404" s="935"/>
      <c r="AY404" s="722"/>
      <c r="AZ404" s="722"/>
      <c r="BA404" s="722"/>
      <c r="BB404" s="722"/>
      <c r="BC404" s="722"/>
      <c r="BD404" s="722"/>
      <c r="BE404" s="706"/>
      <c r="BF404" s="706"/>
      <c r="BG404" s="694"/>
    </row>
    <row r="405" spans="1:59" ht="15.75" x14ac:dyDescent="0.25">
      <c r="A405" s="1883"/>
      <c r="B405" s="1748"/>
      <c r="C405" s="1884"/>
      <c r="D405" s="1884"/>
      <c r="E405" s="1726">
        <f t="shared" si="94"/>
        <v>0</v>
      </c>
      <c r="F405" s="1722"/>
      <c r="G405" s="1741"/>
      <c r="H405" s="1728"/>
      <c r="I405" s="1743"/>
      <c r="J405" s="1743"/>
      <c r="K405" s="1744"/>
      <c r="L405" s="1734">
        <f t="shared" si="96"/>
        <v>0</v>
      </c>
      <c r="M405" s="1735">
        <f t="shared" si="97"/>
        <v>0</v>
      </c>
      <c r="N405" s="1730"/>
      <c r="O405" s="1730"/>
      <c r="P405" s="1730"/>
      <c r="Q405" s="1730"/>
      <c r="R405" s="1730"/>
      <c r="S405" s="1730"/>
      <c r="T405" s="1730"/>
      <c r="U405" s="1730"/>
      <c r="V405" s="1730"/>
      <c r="W405" s="1730"/>
      <c r="X405" s="1903">
        <f t="shared" si="95"/>
        <v>0</v>
      </c>
      <c r="Y405" s="1733">
        <f t="shared" si="98"/>
        <v>0</v>
      </c>
      <c r="Z405" s="528"/>
      <c r="AA405" s="1620"/>
      <c r="AB405" s="1616"/>
      <c r="AC405" s="1616"/>
      <c r="AD405" s="1616"/>
      <c r="AE405" s="1616"/>
      <c r="AF405" s="1587"/>
      <c r="AG405" s="1588"/>
      <c r="AH405" s="1588"/>
      <c r="AI405" s="1588"/>
      <c r="AJ405" s="1628"/>
      <c r="AK405" s="1625">
        <f t="shared" si="99"/>
        <v>0</v>
      </c>
      <c r="AL405" s="1565">
        <f t="shared" si="100"/>
        <v>0</v>
      </c>
      <c r="AM405" s="1565">
        <f t="shared" si="101"/>
        <v>0</v>
      </c>
      <c r="AN405" s="1565">
        <f t="shared" si="102"/>
        <v>0</v>
      </c>
      <c r="AO405" s="1631">
        <f t="shared" si="103"/>
        <v>0</v>
      </c>
      <c r="AP405" s="1634"/>
      <c r="AQ405" s="1635"/>
      <c r="AR405" s="1662">
        <f t="shared" si="104"/>
        <v>0</v>
      </c>
      <c r="AS405" s="1675"/>
      <c r="AT405" s="1676"/>
      <c r="AU405" s="1679">
        <f t="shared" si="105"/>
        <v>0</v>
      </c>
      <c r="AV405" s="935"/>
      <c r="AW405" s="935"/>
      <c r="AX405" s="935"/>
      <c r="AY405" s="722"/>
      <c r="AZ405" s="722"/>
      <c r="BA405" s="722"/>
      <c r="BB405" s="722"/>
      <c r="BC405" s="722"/>
      <c r="BD405" s="722"/>
      <c r="BE405" s="706"/>
      <c r="BF405" s="706"/>
      <c r="BG405" s="694"/>
    </row>
    <row r="406" spans="1:59" ht="15.75" x14ac:dyDescent="0.25">
      <c r="A406" s="1883"/>
      <c r="B406" s="1748"/>
      <c r="C406" s="1884"/>
      <c r="D406" s="1884"/>
      <c r="E406" s="1726">
        <f t="shared" si="94"/>
        <v>0</v>
      </c>
      <c r="F406" s="1722"/>
      <c r="G406" s="1741"/>
      <c r="H406" s="1728"/>
      <c r="I406" s="1743"/>
      <c r="J406" s="1743"/>
      <c r="K406" s="1744"/>
      <c r="L406" s="1734">
        <f t="shared" si="96"/>
        <v>0</v>
      </c>
      <c r="M406" s="1735">
        <f t="shared" si="97"/>
        <v>0</v>
      </c>
      <c r="N406" s="1730"/>
      <c r="O406" s="1730"/>
      <c r="P406" s="1730"/>
      <c r="Q406" s="1730"/>
      <c r="R406" s="1730"/>
      <c r="S406" s="1730"/>
      <c r="T406" s="1730"/>
      <c r="U406" s="1730"/>
      <c r="V406" s="1730"/>
      <c r="W406" s="1730"/>
      <c r="X406" s="1903">
        <f t="shared" si="95"/>
        <v>0</v>
      </c>
      <c r="Y406" s="1733">
        <f t="shared" si="98"/>
        <v>0</v>
      </c>
      <c r="Z406" s="528"/>
      <c r="AA406" s="1620"/>
      <c r="AB406" s="1616"/>
      <c r="AC406" s="1616"/>
      <c r="AD406" s="1616"/>
      <c r="AE406" s="1616"/>
      <c r="AF406" s="1587"/>
      <c r="AG406" s="1588"/>
      <c r="AH406" s="1588"/>
      <c r="AI406" s="1588"/>
      <c r="AJ406" s="1628"/>
      <c r="AK406" s="1625">
        <f t="shared" si="99"/>
        <v>0</v>
      </c>
      <c r="AL406" s="1565">
        <f t="shared" si="100"/>
        <v>0</v>
      </c>
      <c r="AM406" s="1565">
        <f t="shared" si="101"/>
        <v>0</v>
      </c>
      <c r="AN406" s="1565">
        <f t="shared" si="102"/>
        <v>0</v>
      </c>
      <c r="AO406" s="1631">
        <f t="shared" si="103"/>
        <v>0</v>
      </c>
      <c r="AP406" s="1634"/>
      <c r="AQ406" s="1635"/>
      <c r="AR406" s="1662">
        <f t="shared" si="104"/>
        <v>0</v>
      </c>
      <c r="AS406" s="1675"/>
      <c r="AT406" s="1676"/>
      <c r="AU406" s="1679">
        <f t="shared" si="105"/>
        <v>0</v>
      </c>
      <c r="AV406" s="935"/>
      <c r="AW406" s="935"/>
      <c r="AX406" s="935"/>
      <c r="AY406" s="722"/>
      <c r="AZ406" s="722"/>
      <c r="BA406" s="722"/>
      <c r="BB406" s="722"/>
      <c r="BC406" s="722"/>
      <c r="BD406" s="722"/>
      <c r="BE406" s="706"/>
      <c r="BF406" s="706"/>
      <c r="BG406" s="694"/>
    </row>
    <row r="407" spans="1:59" ht="15.75" x14ac:dyDescent="0.25">
      <c r="A407" s="1883"/>
      <c r="B407" s="1748"/>
      <c r="C407" s="1884"/>
      <c r="D407" s="1884"/>
      <c r="E407" s="1726">
        <f t="shared" si="94"/>
        <v>0</v>
      </c>
      <c r="F407" s="1722"/>
      <c r="G407" s="1741"/>
      <c r="H407" s="1728"/>
      <c r="I407" s="1743"/>
      <c r="J407" s="1743"/>
      <c r="K407" s="1744"/>
      <c r="L407" s="1734">
        <f t="shared" si="96"/>
        <v>0</v>
      </c>
      <c r="M407" s="1735">
        <f t="shared" si="97"/>
        <v>0</v>
      </c>
      <c r="N407" s="1730"/>
      <c r="O407" s="1730"/>
      <c r="P407" s="1730"/>
      <c r="Q407" s="1730"/>
      <c r="R407" s="1730"/>
      <c r="S407" s="1730"/>
      <c r="T407" s="1730"/>
      <c r="U407" s="1730"/>
      <c r="V407" s="1730"/>
      <c r="W407" s="1730"/>
      <c r="X407" s="1903">
        <f t="shared" si="95"/>
        <v>0</v>
      </c>
      <c r="Y407" s="1733">
        <f t="shared" si="98"/>
        <v>0</v>
      </c>
      <c r="Z407" s="528"/>
      <c r="AA407" s="1620"/>
      <c r="AB407" s="1616"/>
      <c r="AC407" s="1616"/>
      <c r="AD407" s="1616"/>
      <c r="AE407" s="1616"/>
      <c r="AF407" s="1587"/>
      <c r="AG407" s="1588"/>
      <c r="AH407" s="1588"/>
      <c r="AI407" s="1588"/>
      <c r="AJ407" s="1628"/>
      <c r="AK407" s="1625">
        <f t="shared" si="99"/>
        <v>0</v>
      </c>
      <c r="AL407" s="1565">
        <f t="shared" si="100"/>
        <v>0</v>
      </c>
      <c r="AM407" s="1565">
        <f t="shared" si="101"/>
        <v>0</v>
      </c>
      <c r="AN407" s="1565">
        <f t="shared" si="102"/>
        <v>0</v>
      </c>
      <c r="AO407" s="1631">
        <f t="shared" si="103"/>
        <v>0</v>
      </c>
      <c r="AP407" s="1634"/>
      <c r="AQ407" s="1635"/>
      <c r="AR407" s="1662">
        <f t="shared" si="104"/>
        <v>0</v>
      </c>
      <c r="AS407" s="1675"/>
      <c r="AT407" s="1676"/>
      <c r="AU407" s="1679">
        <f t="shared" si="105"/>
        <v>0</v>
      </c>
      <c r="AV407" s="935"/>
      <c r="AW407" s="935"/>
      <c r="AX407" s="935"/>
      <c r="AY407" s="722"/>
      <c r="AZ407" s="722"/>
      <c r="BA407" s="722"/>
      <c r="BB407" s="722"/>
      <c r="BC407" s="722"/>
      <c r="BD407" s="722"/>
      <c r="BE407" s="706"/>
      <c r="BF407" s="706"/>
      <c r="BG407" s="694"/>
    </row>
    <row r="408" spans="1:59" ht="15.75" x14ac:dyDescent="0.25">
      <c r="A408" s="1883"/>
      <c r="B408" s="1748"/>
      <c r="C408" s="1884"/>
      <c r="D408" s="1884"/>
      <c r="E408" s="1726">
        <f t="shared" si="94"/>
        <v>0</v>
      </c>
      <c r="F408" s="1722"/>
      <c r="G408" s="1741"/>
      <c r="H408" s="1728"/>
      <c r="I408" s="1743"/>
      <c r="J408" s="1743"/>
      <c r="K408" s="1744"/>
      <c r="L408" s="1734">
        <f t="shared" si="96"/>
        <v>0</v>
      </c>
      <c r="M408" s="1735">
        <f t="shared" si="97"/>
        <v>0</v>
      </c>
      <c r="N408" s="1730"/>
      <c r="O408" s="1730"/>
      <c r="P408" s="1730"/>
      <c r="Q408" s="1730"/>
      <c r="R408" s="1730"/>
      <c r="S408" s="1730"/>
      <c r="T408" s="1730"/>
      <c r="U408" s="1730"/>
      <c r="V408" s="1730"/>
      <c r="W408" s="1730"/>
      <c r="X408" s="1903">
        <f t="shared" si="95"/>
        <v>0</v>
      </c>
      <c r="Y408" s="1733">
        <f t="shared" si="98"/>
        <v>0</v>
      </c>
      <c r="Z408" s="528"/>
      <c r="AA408" s="1620"/>
      <c r="AB408" s="1616"/>
      <c r="AC408" s="1616"/>
      <c r="AD408" s="1616"/>
      <c r="AE408" s="1616"/>
      <c r="AF408" s="1587"/>
      <c r="AG408" s="1588"/>
      <c r="AH408" s="1588"/>
      <c r="AI408" s="1588"/>
      <c r="AJ408" s="1628"/>
      <c r="AK408" s="1625">
        <f t="shared" si="99"/>
        <v>0</v>
      </c>
      <c r="AL408" s="1565">
        <f t="shared" si="100"/>
        <v>0</v>
      </c>
      <c r="AM408" s="1565">
        <f t="shared" si="101"/>
        <v>0</v>
      </c>
      <c r="AN408" s="1565">
        <f t="shared" si="102"/>
        <v>0</v>
      </c>
      <c r="AO408" s="1631">
        <f t="shared" si="103"/>
        <v>0</v>
      </c>
      <c r="AP408" s="1634"/>
      <c r="AQ408" s="1635"/>
      <c r="AR408" s="1662">
        <f t="shared" si="104"/>
        <v>0</v>
      </c>
      <c r="AS408" s="1675"/>
      <c r="AT408" s="1676"/>
      <c r="AU408" s="1679">
        <f t="shared" si="105"/>
        <v>0</v>
      </c>
      <c r="AV408" s="935"/>
      <c r="AW408" s="935"/>
      <c r="AX408" s="935"/>
      <c r="AY408" s="722"/>
      <c r="AZ408" s="722"/>
      <c r="BA408" s="722"/>
      <c r="BB408" s="722"/>
      <c r="BC408" s="722"/>
      <c r="BD408" s="722"/>
      <c r="BE408" s="706"/>
      <c r="BF408" s="706"/>
      <c r="BG408" s="694"/>
    </row>
    <row r="409" spans="1:59" ht="15.75" x14ac:dyDescent="0.25">
      <c r="A409" s="1883"/>
      <c r="B409" s="1748"/>
      <c r="C409" s="1884"/>
      <c r="D409" s="1884"/>
      <c r="E409" s="1726">
        <f t="shared" si="94"/>
        <v>0</v>
      </c>
      <c r="F409" s="1722"/>
      <c r="G409" s="1741"/>
      <c r="H409" s="1728"/>
      <c r="I409" s="1743"/>
      <c r="J409" s="1743"/>
      <c r="K409" s="1744"/>
      <c r="L409" s="1734">
        <f t="shared" si="96"/>
        <v>0</v>
      </c>
      <c r="M409" s="1735">
        <f t="shared" si="97"/>
        <v>0</v>
      </c>
      <c r="N409" s="1730"/>
      <c r="O409" s="1730"/>
      <c r="P409" s="1730"/>
      <c r="Q409" s="1730"/>
      <c r="R409" s="1730"/>
      <c r="S409" s="1730"/>
      <c r="T409" s="1730"/>
      <c r="U409" s="1730"/>
      <c r="V409" s="1730"/>
      <c r="W409" s="1730"/>
      <c r="X409" s="1903">
        <f t="shared" si="95"/>
        <v>0</v>
      </c>
      <c r="Y409" s="1733">
        <f t="shared" si="98"/>
        <v>0</v>
      </c>
      <c r="Z409" s="528"/>
      <c r="AA409" s="1620"/>
      <c r="AB409" s="1616"/>
      <c r="AC409" s="1616"/>
      <c r="AD409" s="1616"/>
      <c r="AE409" s="1616"/>
      <c r="AF409" s="1587"/>
      <c r="AG409" s="1588"/>
      <c r="AH409" s="1588"/>
      <c r="AI409" s="1588"/>
      <c r="AJ409" s="1628"/>
      <c r="AK409" s="1625">
        <f t="shared" si="99"/>
        <v>0</v>
      </c>
      <c r="AL409" s="1565">
        <f t="shared" si="100"/>
        <v>0</v>
      </c>
      <c r="AM409" s="1565">
        <f t="shared" si="101"/>
        <v>0</v>
      </c>
      <c r="AN409" s="1565">
        <f t="shared" si="102"/>
        <v>0</v>
      </c>
      <c r="AO409" s="1631">
        <f t="shared" si="103"/>
        <v>0</v>
      </c>
      <c r="AP409" s="1634"/>
      <c r="AQ409" s="1635"/>
      <c r="AR409" s="1662">
        <f t="shared" si="104"/>
        <v>0</v>
      </c>
      <c r="AS409" s="1675"/>
      <c r="AT409" s="1676"/>
      <c r="AU409" s="1679">
        <f t="shared" si="105"/>
        <v>0</v>
      </c>
      <c r="AV409" s="935"/>
      <c r="AW409" s="935"/>
      <c r="AX409" s="935"/>
      <c r="AY409" s="722"/>
      <c r="AZ409" s="722"/>
      <c r="BA409" s="722"/>
      <c r="BB409" s="722"/>
      <c r="BC409" s="722"/>
      <c r="BD409" s="722"/>
      <c r="BE409" s="706"/>
      <c r="BF409" s="706"/>
      <c r="BG409" s="694"/>
    </row>
    <row r="410" spans="1:59" ht="15.75" x14ac:dyDescent="0.25">
      <c r="A410" s="1883"/>
      <c r="B410" s="1748"/>
      <c r="C410" s="1884"/>
      <c r="D410" s="1884"/>
      <c r="E410" s="1726">
        <f t="shared" si="94"/>
        <v>0</v>
      </c>
      <c r="F410" s="1722"/>
      <c r="G410" s="1741"/>
      <c r="H410" s="1728"/>
      <c r="I410" s="1743"/>
      <c r="J410" s="1743"/>
      <c r="K410" s="1744"/>
      <c r="L410" s="1734">
        <f t="shared" si="96"/>
        <v>0</v>
      </c>
      <c r="M410" s="1735">
        <f t="shared" si="97"/>
        <v>0</v>
      </c>
      <c r="N410" s="1730"/>
      <c r="O410" s="1730"/>
      <c r="P410" s="1730"/>
      <c r="Q410" s="1730"/>
      <c r="R410" s="1730"/>
      <c r="S410" s="1730"/>
      <c r="T410" s="1730"/>
      <c r="U410" s="1730"/>
      <c r="V410" s="1730"/>
      <c r="W410" s="1730"/>
      <c r="X410" s="1903">
        <f t="shared" si="95"/>
        <v>0</v>
      </c>
      <c r="Y410" s="1733">
        <f t="shared" si="98"/>
        <v>0</v>
      </c>
      <c r="Z410" s="528"/>
      <c r="AA410" s="1620"/>
      <c r="AB410" s="1616"/>
      <c r="AC410" s="1616"/>
      <c r="AD410" s="1616"/>
      <c r="AE410" s="1616"/>
      <c r="AF410" s="1587"/>
      <c r="AG410" s="1588"/>
      <c r="AH410" s="1588"/>
      <c r="AI410" s="1588"/>
      <c r="AJ410" s="1628"/>
      <c r="AK410" s="1625">
        <f t="shared" si="99"/>
        <v>0</v>
      </c>
      <c r="AL410" s="1565">
        <f t="shared" si="100"/>
        <v>0</v>
      </c>
      <c r="AM410" s="1565">
        <f t="shared" si="101"/>
        <v>0</v>
      </c>
      <c r="AN410" s="1565">
        <f t="shared" si="102"/>
        <v>0</v>
      </c>
      <c r="AO410" s="1631">
        <f t="shared" si="103"/>
        <v>0</v>
      </c>
      <c r="AP410" s="1634"/>
      <c r="AQ410" s="1635"/>
      <c r="AR410" s="1662">
        <f t="shared" si="104"/>
        <v>0</v>
      </c>
      <c r="AS410" s="1675"/>
      <c r="AT410" s="1676"/>
      <c r="AU410" s="1679">
        <f t="shared" si="105"/>
        <v>0</v>
      </c>
      <c r="AV410" s="935"/>
      <c r="AW410" s="935"/>
      <c r="AX410" s="935"/>
      <c r="AY410" s="722"/>
      <c r="AZ410" s="722"/>
      <c r="BA410" s="722"/>
      <c r="BB410" s="722"/>
      <c r="BC410" s="722"/>
      <c r="BD410" s="722"/>
      <c r="BE410" s="706"/>
      <c r="BF410" s="706"/>
      <c r="BG410" s="694"/>
    </row>
    <row r="411" spans="1:59" ht="15.75" x14ac:dyDescent="0.25">
      <c r="A411" s="1883"/>
      <c r="B411" s="1748"/>
      <c r="C411" s="1884"/>
      <c r="D411" s="1884"/>
      <c r="E411" s="1726">
        <f t="shared" si="94"/>
        <v>0</v>
      </c>
      <c r="F411" s="1722"/>
      <c r="G411" s="1741"/>
      <c r="H411" s="1728"/>
      <c r="I411" s="1743"/>
      <c r="J411" s="1743"/>
      <c r="K411" s="1744"/>
      <c r="L411" s="1734">
        <f t="shared" si="96"/>
        <v>0</v>
      </c>
      <c r="M411" s="1735">
        <f t="shared" si="97"/>
        <v>0</v>
      </c>
      <c r="N411" s="1730"/>
      <c r="O411" s="1730"/>
      <c r="P411" s="1730"/>
      <c r="Q411" s="1730"/>
      <c r="R411" s="1730"/>
      <c r="S411" s="1730"/>
      <c r="T411" s="1730"/>
      <c r="U411" s="1730"/>
      <c r="V411" s="1730"/>
      <c r="W411" s="1730"/>
      <c r="X411" s="1903">
        <f t="shared" si="95"/>
        <v>0</v>
      </c>
      <c r="Y411" s="1733">
        <f t="shared" si="98"/>
        <v>0</v>
      </c>
      <c r="Z411" s="528"/>
      <c r="AA411" s="1620"/>
      <c r="AB411" s="1616"/>
      <c r="AC411" s="1616"/>
      <c r="AD411" s="1616"/>
      <c r="AE411" s="1616"/>
      <c r="AF411" s="1587"/>
      <c r="AG411" s="1588"/>
      <c r="AH411" s="1588"/>
      <c r="AI411" s="1588"/>
      <c r="AJ411" s="1628"/>
      <c r="AK411" s="1625">
        <f t="shared" si="99"/>
        <v>0</v>
      </c>
      <c r="AL411" s="1565">
        <f t="shared" si="100"/>
        <v>0</v>
      </c>
      <c r="AM411" s="1565">
        <f t="shared" si="101"/>
        <v>0</v>
      </c>
      <c r="AN411" s="1565">
        <f t="shared" si="102"/>
        <v>0</v>
      </c>
      <c r="AO411" s="1631">
        <f t="shared" si="103"/>
        <v>0</v>
      </c>
      <c r="AP411" s="1634"/>
      <c r="AQ411" s="1635"/>
      <c r="AR411" s="1662">
        <f t="shared" si="104"/>
        <v>0</v>
      </c>
      <c r="AS411" s="1675"/>
      <c r="AT411" s="1676"/>
      <c r="AU411" s="1679">
        <f t="shared" si="105"/>
        <v>0</v>
      </c>
      <c r="AV411" s="935"/>
      <c r="AW411" s="935"/>
      <c r="AX411" s="935"/>
      <c r="AY411" s="722"/>
      <c r="AZ411" s="722"/>
      <c r="BA411" s="722"/>
      <c r="BB411" s="722"/>
      <c r="BC411" s="722"/>
      <c r="BD411" s="722"/>
      <c r="BE411" s="706"/>
      <c r="BF411" s="706"/>
      <c r="BG411" s="694"/>
    </row>
    <row r="412" spans="1:59" ht="15.75" x14ac:dyDescent="0.25">
      <c r="A412" s="1883"/>
      <c r="B412" s="1748"/>
      <c r="C412" s="1884"/>
      <c r="D412" s="1884"/>
      <c r="E412" s="1726">
        <f t="shared" si="94"/>
        <v>0</v>
      </c>
      <c r="F412" s="1722"/>
      <c r="G412" s="1741"/>
      <c r="H412" s="1728"/>
      <c r="I412" s="1743"/>
      <c r="J412" s="1743"/>
      <c r="K412" s="1744"/>
      <c r="L412" s="1734">
        <f t="shared" si="96"/>
        <v>0</v>
      </c>
      <c r="M412" s="1735">
        <f t="shared" si="97"/>
        <v>0</v>
      </c>
      <c r="N412" s="1730"/>
      <c r="O412" s="1730"/>
      <c r="P412" s="1730"/>
      <c r="Q412" s="1730"/>
      <c r="R412" s="1730"/>
      <c r="S412" s="1730"/>
      <c r="T412" s="1730"/>
      <c r="U412" s="1730"/>
      <c r="V412" s="1730"/>
      <c r="W412" s="1730"/>
      <c r="X412" s="1903">
        <f t="shared" si="95"/>
        <v>0</v>
      </c>
      <c r="Y412" s="1733">
        <f t="shared" si="98"/>
        <v>0</v>
      </c>
      <c r="Z412" s="528"/>
      <c r="AA412" s="1620"/>
      <c r="AB412" s="1616"/>
      <c r="AC412" s="1616"/>
      <c r="AD412" s="1616"/>
      <c r="AE412" s="1616"/>
      <c r="AF412" s="1587"/>
      <c r="AG412" s="1588"/>
      <c r="AH412" s="1588"/>
      <c r="AI412" s="1588"/>
      <c r="AJ412" s="1628"/>
      <c r="AK412" s="1625">
        <f t="shared" si="99"/>
        <v>0</v>
      </c>
      <c r="AL412" s="1565">
        <f t="shared" si="100"/>
        <v>0</v>
      </c>
      <c r="AM412" s="1565">
        <f t="shared" si="101"/>
        <v>0</v>
      </c>
      <c r="AN412" s="1565">
        <f t="shared" si="102"/>
        <v>0</v>
      </c>
      <c r="AO412" s="1631">
        <f t="shared" si="103"/>
        <v>0</v>
      </c>
      <c r="AP412" s="1634"/>
      <c r="AQ412" s="1635"/>
      <c r="AR412" s="1662">
        <f t="shared" si="104"/>
        <v>0</v>
      </c>
      <c r="AS412" s="1675"/>
      <c r="AT412" s="1676"/>
      <c r="AU412" s="1679">
        <f t="shared" si="105"/>
        <v>0</v>
      </c>
      <c r="AV412" s="935"/>
      <c r="AW412" s="935"/>
      <c r="AX412" s="935"/>
      <c r="AY412" s="722"/>
      <c r="AZ412" s="722"/>
      <c r="BA412" s="722"/>
      <c r="BB412" s="722"/>
      <c r="BC412" s="722"/>
      <c r="BD412" s="722"/>
      <c r="BE412" s="706"/>
      <c r="BF412" s="706"/>
      <c r="BG412" s="694"/>
    </row>
    <row r="413" spans="1:59" ht="15.75" x14ac:dyDescent="0.25">
      <c r="A413" s="1883"/>
      <c r="B413" s="1748"/>
      <c r="C413" s="1884"/>
      <c r="D413" s="1884"/>
      <c r="E413" s="1726">
        <f t="shared" si="94"/>
        <v>0</v>
      </c>
      <c r="F413" s="1722"/>
      <c r="G413" s="1741"/>
      <c r="H413" s="1728"/>
      <c r="I413" s="1743"/>
      <c r="J413" s="1743"/>
      <c r="K413" s="1744"/>
      <c r="L413" s="1734">
        <f t="shared" si="96"/>
        <v>0</v>
      </c>
      <c r="M413" s="1735">
        <f t="shared" si="97"/>
        <v>0</v>
      </c>
      <c r="N413" s="1730"/>
      <c r="O413" s="1730"/>
      <c r="P413" s="1730"/>
      <c r="Q413" s="1730"/>
      <c r="R413" s="1730"/>
      <c r="S413" s="1730"/>
      <c r="T413" s="1730"/>
      <c r="U413" s="1730"/>
      <c r="V413" s="1730"/>
      <c r="W413" s="1730"/>
      <c r="X413" s="1903">
        <f t="shared" si="95"/>
        <v>0</v>
      </c>
      <c r="Y413" s="1733">
        <f t="shared" si="98"/>
        <v>0</v>
      </c>
      <c r="Z413" s="528"/>
      <c r="AA413" s="1620"/>
      <c r="AB413" s="1616"/>
      <c r="AC413" s="1616"/>
      <c r="AD413" s="1616"/>
      <c r="AE413" s="1616"/>
      <c r="AF413" s="1587"/>
      <c r="AG413" s="1588"/>
      <c r="AH413" s="1588"/>
      <c r="AI413" s="1588"/>
      <c r="AJ413" s="1628"/>
      <c r="AK413" s="1625">
        <f t="shared" si="99"/>
        <v>0</v>
      </c>
      <c r="AL413" s="1565">
        <f t="shared" si="100"/>
        <v>0</v>
      </c>
      <c r="AM413" s="1565">
        <f t="shared" si="101"/>
        <v>0</v>
      </c>
      <c r="AN413" s="1565">
        <f t="shared" si="102"/>
        <v>0</v>
      </c>
      <c r="AO413" s="1631">
        <f t="shared" si="103"/>
        <v>0</v>
      </c>
      <c r="AP413" s="1634"/>
      <c r="AQ413" s="1635"/>
      <c r="AR413" s="1662">
        <f t="shared" si="104"/>
        <v>0</v>
      </c>
      <c r="AS413" s="1675"/>
      <c r="AT413" s="1676"/>
      <c r="AU413" s="1679">
        <f t="shared" si="105"/>
        <v>0</v>
      </c>
      <c r="AV413" s="935"/>
      <c r="AW413" s="935"/>
      <c r="AX413" s="935"/>
      <c r="AY413" s="722"/>
      <c r="AZ413" s="722"/>
      <c r="BA413" s="722"/>
      <c r="BB413" s="722"/>
      <c r="BC413" s="722"/>
      <c r="BD413" s="722"/>
      <c r="BE413" s="706"/>
      <c r="BF413" s="706"/>
      <c r="BG413" s="694"/>
    </row>
    <row r="414" spans="1:59" ht="15.75" x14ac:dyDescent="0.25">
      <c r="A414" s="1883"/>
      <c r="B414" s="1748"/>
      <c r="C414" s="1884"/>
      <c r="D414" s="1884"/>
      <c r="E414" s="1726">
        <f t="shared" si="94"/>
        <v>0</v>
      </c>
      <c r="F414" s="1722"/>
      <c r="G414" s="1741"/>
      <c r="H414" s="1728"/>
      <c r="I414" s="1743"/>
      <c r="J414" s="1743"/>
      <c r="K414" s="1744"/>
      <c r="L414" s="1734">
        <f t="shared" si="96"/>
        <v>0</v>
      </c>
      <c r="M414" s="1735">
        <f t="shared" si="97"/>
        <v>0</v>
      </c>
      <c r="N414" s="1730"/>
      <c r="O414" s="1730"/>
      <c r="P414" s="1730"/>
      <c r="Q414" s="1730"/>
      <c r="R414" s="1730"/>
      <c r="S414" s="1730"/>
      <c r="T414" s="1730"/>
      <c r="U414" s="1730"/>
      <c r="V414" s="1730"/>
      <c r="W414" s="1730"/>
      <c r="X414" s="1903">
        <f t="shared" si="95"/>
        <v>0</v>
      </c>
      <c r="Y414" s="1733">
        <f t="shared" si="98"/>
        <v>0</v>
      </c>
      <c r="Z414" s="528"/>
      <c r="AA414" s="1620"/>
      <c r="AB414" s="1616"/>
      <c r="AC414" s="1616"/>
      <c r="AD414" s="1616"/>
      <c r="AE414" s="1616"/>
      <c r="AF414" s="1587"/>
      <c r="AG414" s="1588"/>
      <c r="AH414" s="1588"/>
      <c r="AI414" s="1588"/>
      <c r="AJ414" s="1628"/>
      <c r="AK414" s="1625">
        <f t="shared" si="99"/>
        <v>0</v>
      </c>
      <c r="AL414" s="1565">
        <f t="shared" si="100"/>
        <v>0</v>
      </c>
      <c r="AM414" s="1565">
        <f t="shared" si="101"/>
        <v>0</v>
      </c>
      <c r="AN414" s="1565">
        <f t="shared" si="102"/>
        <v>0</v>
      </c>
      <c r="AO414" s="1631">
        <f t="shared" si="103"/>
        <v>0</v>
      </c>
      <c r="AP414" s="1634"/>
      <c r="AQ414" s="1635"/>
      <c r="AR414" s="1662">
        <f t="shared" si="104"/>
        <v>0</v>
      </c>
      <c r="AS414" s="1675"/>
      <c r="AT414" s="1676"/>
      <c r="AU414" s="1679">
        <f t="shared" si="105"/>
        <v>0</v>
      </c>
      <c r="AV414" s="935"/>
      <c r="AW414" s="935"/>
      <c r="AX414" s="935"/>
      <c r="AY414" s="722"/>
      <c r="AZ414" s="722"/>
      <c r="BA414" s="722"/>
      <c r="BB414" s="722"/>
      <c r="BC414" s="722"/>
      <c r="BD414" s="722"/>
      <c r="BE414" s="706"/>
      <c r="BF414" s="706"/>
      <c r="BG414" s="694"/>
    </row>
    <row r="415" spans="1:59" ht="15.75" x14ac:dyDescent="0.25">
      <c r="A415" s="1883"/>
      <c r="B415" s="1748"/>
      <c r="C415" s="1884"/>
      <c r="D415" s="1884"/>
      <c r="E415" s="1726">
        <f t="shared" si="94"/>
        <v>0</v>
      </c>
      <c r="F415" s="1722"/>
      <c r="G415" s="1741"/>
      <c r="H415" s="1728"/>
      <c r="I415" s="1743"/>
      <c r="J415" s="1743"/>
      <c r="K415" s="1744"/>
      <c r="L415" s="1734">
        <f t="shared" si="96"/>
        <v>0</v>
      </c>
      <c r="M415" s="1735">
        <f t="shared" si="97"/>
        <v>0</v>
      </c>
      <c r="N415" s="1730"/>
      <c r="O415" s="1730"/>
      <c r="P415" s="1730"/>
      <c r="Q415" s="1730"/>
      <c r="R415" s="1730"/>
      <c r="S415" s="1730"/>
      <c r="T415" s="1730"/>
      <c r="U415" s="1730"/>
      <c r="V415" s="1730"/>
      <c r="W415" s="1730"/>
      <c r="X415" s="1903">
        <f t="shared" si="95"/>
        <v>0</v>
      </c>
      <c r="Y415" s="1733">
        <f t="shared" si="98"/>
        <v>0</v>
      </c>
      <c r="Z415" s="528"/>
      <c r="AA415" s="1620"/>
      <c r="AB415" s="1616"/>
      <c r="AC415" s="1616"/>
      <c r="AD415" s="1616"/>
      <c r="AE415" s="1616"/>
      <c r="AF415" s="1587"/>
      <c r="AG415" s="1588"/>
      <c r="AH415" s="1588"/>
      <c r="AI415" s="1588"/>
      <c r="AJ415" s="1628"/>
      <c r="AK415" s="1625">
        <f t="shared" si="99"/>
        <v>0</v>
      </c>
      <c r="AL415" s="1565">
        <f t="shared" si="100"/>
        <v>0</v>
      </c>
      <c r="AM415" s="1565">
        <f t="shared" si="101"/>
        <v>0</v>
      </c>
      <c r="AN415" s="1565">
        <f t="shared" si="102"/>
        <v>0</v>
      </c>
      <c r="AO415" s="1631">
        <f t="shared" si="103"/>
        <v>0</v>
      </c>
      <c r="AP415" s="1634"/>
      <c r="AQ415" s="1635"/>
      <c r="AR415" s="1662">
        <f t="shared" si="104"/>
        <v>0</v>
      </c>
      <c r="AS415" s="1675"/>
      <c r="AT415" s="1676"/>
      <c r="AU415" s="1679">
        <f t="shared" si="105"/>
        <v>0</v>
      </c>
      <c r="AV415" s="935"/>
      <c r="AW415" s="935"/>
      <c r="AX415" s="935"/>
      <c r="AY415" s="722"/>
      <c r="AZ415" s="722"/>
      <c r="BA415" s="722"/>
      <c r="BB415" s="722"/>
      <c r="BC415" s="722"/>
      <c r="BD415" s="722"/>
      <c r="BE415" s="706"/>
      <c r="BF415" s="706"/>
      <c r="BG415" s="694"/>
    </row>
    <row r="416" spans="1:59" ht="15.75" x14ac:dyDescent="0.25">
      <c r="A416" s="1883"/>
      <c r="B416" s="1748"/>
      <c r="C416" s="1884"/>
      <c r="D416" s="1884"/>
      <c r="E416" s="1726">
        <f t="shared" si="94"/>
        <v>0</v>
      </c>
      <c r="F416" s="1722"/>
      <c r="G416" s="1741"/>
      <c r="H416" s="1728"/>
      <c r="I416" s="1743"/>
      <c r="J416" s="1743"/>
      <c r="K416" s="1744"/>
      <c r="L416" s="1734">
        <f t="shared" si="96"/>
        <v>0</v>
      </c>
      <c r="M416" s="1735">
        <f t="shared" si="97"/>
        <v>0</v>
      </c>
      <c r="N416" s="1730"/>
      <c r="O416" s="1730"/>
      <c r="P416" s="1730"/>
      <c r="Q416" s="1730"/>
      <c r="R416" s="1730"/>
      <c r="S416" s="1730"/>
      <c r="T416" s="1730"/>
      <c r="U416" s="1730"/>
      <c r="V416" s="1730"/>
      <c r="W416" s="1730"/>
      <c r="X416" s="1903">
        <f t="shared" si="95"/>
        <v>0</v>
      </c>
      <c r="Y416" s="1733">
        <f t="shared" si="98"/>
        <v>0</v>
      </c>
      <c r="Z416" s="528"/>
      <c r="AA416" s="1620"/>
      <c r="AB416" s="1616"/>
      <c r="AC416" s="1616"/>
      <c r="AD416" s="1616"/>
      <c r="AE416" s="1616"/>
      <c r="AF416" s="1587"/>
      <c r="AG416" s="1588"/>
      <c r="AH416" s="1588"/>
      <c r="AI416" s="1588"/>
      <c r="AJ416" s="1628"/>
      <c r="AK416" s="1625">
        <f t="shared" si="99"/>
        <v>0</v>
      </c>
      <c r="AL416" s="1565">
        <f t="shared" si="100"/>
        <v>0</v>
      </c>
      <c r="AM416" s="1565">
        <f t="shared" si="101"/>
        <v>0</v>
      </c>
      <c r="AN416" s="1565">
        <f t="shared" si="102"/>
        <v>0</v>
      </c>
      <c r="AO416" s="1631">
        <f t="shared" si="103"/>
        <v>0</v>
      </c>
      <c r="AP416" s="1634"/>
      <c r="AQ416" s="1635"/>
      <c r="AR416" s="1662">
        <f t="shared" si="104"/>
        <v>0</v>
      </c>
      <c r="AS416" s="1675"/>
      <c r="AT416" s="1676"/>
      <c r="AU416" s="1679">
        <f t="shared" si="105"/>
        <v>0</v>
      </c>
      <c r="AV416" s="935"/>
      <c r="AW416" s="935"/>
      <c r="AX416" s="935"/>
      <c r="AY416" s="722"/>
      <c r="AZ416" s="722"/>
      <c r="BA416" s="722"/>
      <c r="BB416" s="722"/>
      <c r="BC416" s="722"/>
      <c r="BD416" s="722"/>
      <c r="BE416" s="706"/>
      <c r="BF416" s="706"/>
      <c r="BG416" s="694"/>
    </row>
    <row r="417" spans="1:65" ht="15.75" x14ac:dyDescent="0.25">
      <c r="A417" s="1883"/>
      <c r="B417" s="1748"/>
      <c r="C417" s="1884"/>
      <c r="D417" s="1884"/>
      <c r="E417" s="1726">
        <f t="shared" si="94"/>
        <v>0</v>
      </c>
      <c r="F417" s="1722"/>
      <c r="G417" s="1741"/>
      <c r="H417" s="1728"/>
      <c r="I417" s="1743"/>
      <c r="J417" s="1743"/>
      <c r="K417" s="1744"/>
      <c r="L417" s="1734">
        <f t="shared" si="96"/>
        <v>0</v>
      </c>
      <c r="M417" s="1735">
        <f t="shared" si="97"/>
        <v>0</v>
      </c>
      <c r="N417" s="1730"/>
      <c r="O417" s="1730"/>
      <c r="P417" s="1730"/>
      <c r="Q417" s="1730"/>
      <c r="R417" s="1730"/>
      <c r="S417" s="1730"/>
      <c r="T417" s="1730"/>
      <c r="U417" s="1730"/>
      <c r="V417" s="1730"/>
      <c r="W417" s="1730"/>
      <c r="X417" s="1903">
        <f t="shared" si="95"/>
        <v>0</v>
      </c>
      <c r="Y417" s="1733">
        <f t="shared" si="98"/>
        <v>0</v>
      </c>
      <c r="Z417" s="528"/>
      <c r="AA417" s="1620"/>
      <c r="AB417" s="1616"/>
      <c r="AC417" s="1616"/>
      <c r="AD417" s="1616"/>
      <c r="AE417" s="1616"/>
      <c r="AF417" s="1587"/>
      <c r="AG417" s="1588"/>
      <c r="AH417" s="1588"/>
      <c r="AI417" s="1588"/>
      <c r="AJ417" s="1628"/>
      <c r="AK417" s="1625">
        <f t="shared" si="99"/>
        <v>0</v>
      </c>
      <c r="AL417" s="1565">
        <f t="shared" si="100"/>
        <v>0</v>
      </c>
      <c r="AM417" s="1565">
        <f t="shared" si="101"/>
        <v>0</v>
      </c>
      <c r="AN417" s="1565">
        <f t="shared" si="102"/>
        <v>0</v>
      </c>
      <c r="AO417" s="1631">
        <f t="shared" si="103"/>
        <v>0</v>
      </c>
      <c r="AP417" s="1634"/>
      <c r="AQ417" s="1635"/>
      <c r="AR417" s="1662">
        <f t="shared" si="104"/>
        <v>0</v>
      </c>
      <c r="AS417" s="1675"/>
      <c r="AT417" s="1676"/>
      <c r="AU417" s="1679">
        <f t="shared" si="105"/>
        <v>0</v>
      </c>
      <c r="AV417" s="935"/>
      <c r="AW417" s="935"/>
      <c r="AX417" s="935"/>
      <c r="AY417" s="722"/>
      <c r="AZ417" s="722"/>
      <c r="BA417" s="722"/>
      <c r="BB417" s="722"/>
      <c r="BC417" s="722"/>
      <c r="BD417" s="722"/>
      <c r="BE417" s="706"/>
      <c r="BF417" s="706"/>
      <c r="BG417" s="694"/>
    </row>
    <row r="418" spans="1:65" ht="15.75" x14ac:dyDescent="0.25">
      <c r="A418" s="1883"/>
      <c r="B418" s="1748"/>
      <c r="C418" s="1884"/>
      <c r="D418" s="1884"/>
      <c r="E418" s="1726">
        <f t="shared" si="94"/>
        <v>0</v>
      </c>
      <c r="F418" s="1722"/>
      <c r="G418" s="1741"/>
      <c r="H418" s="1728"/>
      <c r="I418" s="1743"/>
      <c r="J418" s="1743"/>
      <c r="K418" s="1744"/>
      <c r="L418" s="1734">
        <f t="shared" si="96"/>
        <v>0</v>
      </c>
      <c r="M418" s="1735">
        <f t="shared" si="97"/>
        <v>0</v>
      </c>
      <c r="N418" s="1730"/>
      <c r="O418" s="1730"/>
      <c r="P418" s="1730"/>
      <c r="Q418" s="1730"/>
      <c r="R418" s="1730"/>
      <c r="S418" s="1730"/>
      <c r="T418" s="1730"/>
      <c r="U418" s="1730"/>
      <c r="V418" s="1730"/>
      <c r="W418" s="1730"/>
      <c r="X418" s="1903">
        <f t="shared" si="95"/>
        <v>0</v>
      </c>
      <c r="Y418" s="1733">
        <f t="shared" si="98"/>
        <v>0</v>
      </c>
      <c r="Z418" s="528"/>
      <c r="AA418" s="1620"/>
      <c r="AB418" s="1616"/>
      <c r="AC418" s="1616"/>
      <c r="AD418" s="1616"/>
      <c r="AE418" s="1616"/>
      <c r="AF418" s="1587"/>
      <c r="AG418" s="1588"/>
      <c r="AH418" s="1588"/>
      <c r="AI418" s="1588"/>
      <c r="AJ418" s="1628"/>
      <c r="AK418" s="1625">
        <f t="shared" si="99"/>
        <v>0</v>
      </c>
      <c r="AL418" s="1565">
        <f t="shared" si="100"/>
        <v>0</v>
      </c>
      <c r="AM418" s="1565">
        <f t="shared" si="101"/>
        <v>0</v>
      </c>
      <c r="AN418" s="1565">
        <f t="shared" si="102"/>
        <v>0</v>
      </c>
      <c r="AO418" s="1631">
        <f t="shared" si="103"/>
        <v>0</v>
      </c>
      <c r="AP418" s="1634"/>
      <c r="AQ418" s="1635"/>
      <c r="AR418" s="1662">
        <f t="shared" si="104"/>
        <v>0</v>
      </c>
      <c r="AS418" s="1675"/>
      <c r="AT418" s="1676"/>
      <c r="AU418" s="1679">
        <f t="shared" si="105"/>
        <v>0</v>
      </c>
      <c r="AV418" s="935"/>
      <c r="AW418" s="935"/>
      <c r="AX418" s="935"/>
      <c r="AY418" s="722"/>
      <c r="AZ418" s="722"/>
      <c r="BA418" s="722"/>
      <c r="BB418" s="722"/>
      <c r="BC418" s="722"/>
      <c r="BD418" s="722"/>
      <c r="BE418" s="706"/>
      <c r="BF418" s="706"/>
      <c r="BG418" s="694"/>
    </row>
    <row r="419" spans="1:65" ht="15.75" x14ac:dyDescent="0.25">
      <c r="A419" s="1883"/>
      <c r="B419" s="1748"/>
      <c r="C419" s="1884"/>
      <c r="D419" s="1884"/>
      <c r="E419" s="1726">
        <f t="shared" si="94"/>
        <v>0</v>
      </c>
      <c r="F419" s="1722"/>
      <c r="G419" s="1741"/>
      <c r="H419" s="1728"/>
      <c r="I419" s="1743"/>
      <c r="J419" s="1743"/>
      <c r="K419" s="1744"/>
      <c r="L419" s="1734">
        <f t="shared" si="96"/>
        <v>0</v>
      </c>
      <c r="M419" s="1735">
        <f t="shared" si="97"/>
        <v>0</v>
      </c>
      <c r="N419" s="1730"/>
      <c r="O419" s="1730"/>
      <c r="P419" s="1730"/>
      <c r="Q419" s="1730"/>
      <c r="R419" s="1730"/>
      <c r="S419" s="1730"/>
      <c r="T419" s="1730"/>
      <c r="U419" s="1730"/>
      <c r="V419" s="1730"/>
      <c r="W419" s="1730"/>
      <c r="X419" s="1903">
        <f t="shared" si="95"/>
        <v>0</v>
      </c>
      <c r="Y419" s="1733">
        <f t="shared" si="98"/>
        <v>0</v>
      </c>
      <c r="Z419" s="528"/>
      <c r="AA419" s="1620"/>
      <c r="AB419" s="1616"/>
      <c r="AC419" s="1616"/>
      <c r="AD419" s="1616"/>
      <c r="AE419" s="1616"/>
      <c r="AF419" s="1587"/>
      <c r="AG419" s="1588"/>
      <c r="AH419" s="1588"/>
      <c r="AI419" s="1588"/>
      <c r="AJ419" s="1628"/>
      <c r="AK419" s="1625">
        <f t="shared" si="99"/>
        <v>0</v>
      </c>
      <c r="AL419" s="1565">
        <f t="shared" si="100"/>
        <v>0</v>
      </c>
      <c r="AM419" s="1565">
        <f t="shared" si="101"/>
        <v>0</v>
      </c>
      <c r="AN419" s="1565">
        <f t="shared" si="102"/>
        <v>0</v>
      </c>
      <c r="AO419" s="1631">
        <f t="shared" si="103"/>
        <v>0</v>
      </c>
      <c r="AP419" s="1634"/>
      <c r="AQ419" s="1635"/>
      <c r="AR419" s="1662">
        <f t="shared" si="104"/>
        <v>0</v>
      </c>
      <c r="AS419" s="1675"/>
      <c r="AT419" s="1676"/>
      <c r="AU419" s="1679">
        <f t="shared" si="105"/>
        <v>0</v>
      </c>
      <c r="AV419" s="935"/>
      <c r="AW419" s="935"/>
      <c r="AX419" s="935"/>
      <c r="AY419" s="722"/>
      <c r="AZ419" s="722"/>
      <c r="BA419" s="722"/>
      <c r="BB419" s="722"/>
      <c r="BC419" s="722"/>
      <c r="BD419" s="722"/>
      <c r="BE419" s="706"/>
      <c r="BF419" s="706"/>
      <c r="BG419" s="694"/>
    </row>
    <row r="420" spans="1:65" ht="15.75" x14ac:dyDescent="0.25">
      <c r="A420" s="1883"/>
      <c r="B420" s="1748"/>
      <c r="C420" s="1884"/>
      <c r="D420" s="1884"/>
      <c r="E420" s="1726">
        <f t="shared" si="94"/>
        <v>0</v>
      </c>
      <c r="F420" s="1722"/>
      <c r="G420" s="1741"/>
      <c r="H420" s="1728"/>
      <c r="I420" s="1743"/>
      <c r="J420" s="1743"/>
      <c r="K420" s="1744"/>
      <c r="L420" s="1734">
        <f t="shared" si="96"/>
        <v>0</v>
      </c>
      <c r="M420" s="1735">
        <f t="shared" si="97"/>
        <v>0</v>
      </c>
      <c r="N420" s="1730"/>
      <c r="O420" s="1730"/>
      <c r="P420" s="1730"/>
      <c r="Q420" s="1730"/>
      <c r="R420" s="1730"/>
      <c r="S420" s="1730"/>
      <c r="T420" s="1730"/>
      <c r="U420" s="1730"/>
      <c r="V420" s="1730"/>
      <c r="W420" s="1730"/>
      <c r="X420" s="1903">
        <f t="shared" si="95"/>
        <v>0</v>
      </c>
      <c r="Y420" s="1733">
        <f t="shared" si="98"/>
        <v>0</v>
      </c>
      <c r="Z420" s="528"/>
      <c r="AA420" s="1620"/>
      <c r="AB420" s="1616"/>
      <c r="AC420" s="1616"/>
      <c r="AD420" s="1616"/>
      <c r="AE420" s="1616"/>
      <c r="AF420" s="1587"/>
      <c r="AG420" s="1588"/>
      <c r="AH420" s="1588"/>
      <c r="AI420" s="1588"/>
      <c r="AJ420" s="1628"/>
      <c r="AK420" s="1625">
        <f t="shared" si="99"/>
        <v>0</v>
      </c>
      <c r="AL420" s="1565">
        <f t="shared" si="100"/>
        <v>0</v>
      </c>
      <c r="AM420" s="1565">
        <f t="shared" si="101"/>
        <v>0</v>
      </c>
      <c r="AN420" s="1565">
        <f t="shared" si="102"/>
        <v>0</v>
      </c>
      <c r="AO420" s="1631">
        <f t="shared" si="103"/>
        <v>0</v>
      </c>
      <c r="AP420" s="1634"/>
      <c r="AQ420" s="1635"/>
      <c r="AR420" s="1662">
        <f t="shared" si="104"/>
        <v>0</v>
      </c>
      <c r="AS420" s="1675"/>
      <c r="AT420" s="1676"/>
      <c r="AU420" s="1679">
        <f t="shared" si="105"/>
        <v>0</v>
      </c>
      <c r="AV420" s="935"/>
      <c r="AW420" s="935"/>
      <c r="AX420" s="935"/>
      <c r="AY420" s="722"/>
      <c r="AZ420" s="722"/>
      <c r="BA420" s="722"/>
      <c r="BB420" s="722"/>
      <c r="BC420" s="722"/>
      <c r="BD420" s="722"/>
      <c r="BE420" s="706"/>
      <c r="BF420" s="706"/>
      <c r="BG420" s="694"/>
    </row>
    <row r="421" spans="1:65" ht="15.75" x14ac:dyDescent="0.25">
      <c r="A421" s="1883"/>
      <c r="B421" s="1748"/>
      <c r="C421" s="1884"/>
      <c r="D421" s="1884"/>
      <c r="E421" s="1726">
        <f t="shared" si="94"/>
        <v>0</v>
      </c>
      <c r="F421" s="1722"/>
      <c r="G421" s="1741"/>
      <c r="H421" s="1728"/>
      <c r="I421" s="1743"/>
      <c r="J421" s="1743"/>
      <c r="K421" s="1744"/>
      <c r="L421" s="1734">
        <f t="shared" si="96"/>
        <v>0</v>
      </c>
      <c r="M421" s="1735">
        <f t="shared" si="97"/>
        <v>0</v>
      </c>
      <c r="N421" s="1730"/>
      <c r="O421" s="1730"/>
      <c r="P421" s="1730"/>
      <c r="Q421" s="1730"/>
      <c r="R421" s="1730"/>
      <c r="S421" s="1730"/>
      <c r="T421" s="1730"/>
      <c r="U421" s="1730"/>
      <c r="V421" s="1730"/>
      <c r="W421" s="1730"/>
      <c r="X421" s="1903">
        <f t="shared" si="95"/>
        <v>0</v>
      </c>
      <c r="Y421" s="1733">
        <f t="shared" si="98"/>
        <v>0</v>
      </c>
      <c r="Z421" s="528"/>
      <c r="AA421" s="1620"/>
      <c r="AB421" s="1616"/>
      <c r="AC421" s="1616"/>
      <c r="AD421" s="1616"/>
      <c r="AE421" s="1616"/>
      <c r="AF421" s="1587"/>
      <c r="AG421" s="1588"/>
      <c r="AH421" s="1588"/>
      <c r="AI421" s="1588"/>
      <c r="AJ421" s="1628"/>
      <c r="AK421" s="1625">
        <f t="shared" si="99"/>
        <v>0</v>
      </c>
      <c r="AL421" s="1565">
        <f t="shared" si="100"/>
        <v>0</v>
      </c>
      <c r="AM421" s="1565">
        <f t="shared" si="101"/>
        <v>0</v>
      </c>
      <c r="AN421" s="1565">
        <f t="shared" si="102"/>
        <v>0</v>
      </c>
      <c r="AO421" s="1631">
        <f t="shared" si="103"/>
        <v>0</v>
      </c>
      <c r="AP421" s="1634"/>
      <c r="AQ421" s="1635"/>
      <c r="AR421" s="1662">
        <f t="shared" si="104"/>
        <v>0</v>
      </c>
      <c r="AS421" s="1675"/>
      <c r="AT421" s="1676"/>
      <c r="AU421" s="1679">
        <f t="shared" si="105"/>
        <v>0</v>
      </c>
      <c r="AV421" s="935"/>
      <c r="AW421" s="935"/>
      <c r="AX421" s="935"/>
      <c r="AY421" s="722"/>
      <c r="AZ421" s="722"/>
      <c r="BA421" s="722"/>
      <c r="BB421" s="722"/>
      <c r="BC421" s="722"/>
      <c r="BD421" s="722"/>
      <c r="BE421" s="706"/>
      <c r="BF421" s="706"/>
      <c r="BG421" s="694"/>
    </row>
    <row r="422" spans="1:65" ht="15.75" x14ac:dyDescent="0.25">
      <c r="A422" s="1883"/>
      <c r="B422" s="1748"/>
      <c r="C422" s="1884"/>
      <c r="D422" s="1884"/>
      <c r="E422" s="1726">
        <f t="shared" si="94"/>
        <v>0</v>
      </c>
      <c r="F422" s="1722"/>
      <c r="G422" s="1741"/>
      <c r="H422" s="1728"/>
      <c r="I422" s="1743"/>
      <c r="J422" s="1743"/>
      <c r="K422" s="1744"/>
      <c r="L422" s="1734">
        <f t="shared" si="96"/>
        <v>0</v>
      </c>
      <c r="M422" s="1735">
        <f t="shared" si="97"/>
        <v>0</v>
      </c>
      <c r="N422" s="1730"/>
      <c r="O422" s="1730"/>
      <c r="P422" s="1730"/>
      <c r="Q422" s="1730"/>
      <c r="R422" s="1730"/>
      <c r="S422" s="1730"/>
      <c r="T422" s="1730"/>
      <c r="U422" s="1730"/>
      <c r="V422" s="1730"/>
      <c r="W422" s="1730"/>
      <c r="X422" s="1903">
        <f t="shared" si="95"/>
        <v>0</v>
      </c>
      <c r="Y422" s="1733">
        <f t="shared" si="98"/>
        <v>0</v>
      </c>
      <c r="Z422" s="528"/>
      <c r="AA422" s="1620"/>
      <c r="AB422" s="1616"/>
      <c r="AC422" s="1616"/>
      <c r="AD422" s="1616"/>
      <c r="AE422" s="1616"/>
      <c r="AF422" s="1587"/>
      <c r="AG422" s="1588"/>
      <c r="AH422" s="1588"/>
      <c r="AI422" s="1588"/>
      <c r="AJ422" s="1628"/>
      <c r="AK422" s="1625">
        <f t="shared" si="99"/>
        <v>0</v>
      </c>
      <c r="AL422" s="1565">
        <f t="shared" si="100"/>
        <v>0</v>
      </c>
      <c r="AM422" s="1565">
        <f t="shared" si="101"/>
        <v>0</v>
      </c>
      <c r="AN422" s="1565">
        <f t="shared" si="102"/>
        <v>0</v>
      </c>
      <c r="AO422" s="1631">
        <f t="shared" si="103"/>
        <v>0</v>
      </c>
      <c r="AP422" s="1634"/>
      <c r="AQ422" s="1635"/>
      <c r="AR422" s="1662">
        <f t="shared" si="104"/>
        <v>0</v>
      </c>
      <c r="AS422" s="1675"/>
      <c r="AT422" s="1676"/>
      <c r="AU422" s="1679">
        <f t="shared" si="105"/>
        <v>0</v>
      </c>
      <c r="AV422" s="935"/>
      <c r="AW422" s="935"/>
      <c r="AX422" s="935"/>
      <c r="AY422" s="722"/>
      <c r="AZ422" s="722"/>
      <c r="BA422" s="722"/>
      <c r="BB422" s="722"/>
      <c r="BC422" s="722"/>
      <c r="BD422" s="722"/>
      <c r="BE422" s="706"/>
      <c r="BF422" s="706"/>
      <c r="BG422" s="694"/>
    </row>
    <row r="423" spans="1:65" ht="16.5" thickBot="1" x14ac:dyDescent="0.3">
      <c r="A423" s="1883"/>
      <c r="B423" s="1748"/>
      <c r="C423" s="1884"/>
      <c r="D423" s="1884"/>
      <c r="E423" s="1726">
        <f t="shared" si="94"/>
        <v>0</v>
      </c>
      <c r="F423" s="1722"/>
      <c r="G423" s="1741"/>
      <c r="H423" s="1728"/>
      <c r="I423" s="1743"/>
      <c r="J423" s="1743"/>
      <c r="K423" s="1744"/>
      <c r="L423" s="1734">
        <f t="shared" si="96"/>
        <v>0</v>
      </c>
      <c r="M423" s="1735">
        <f t="shared" si="97"/>
        <v>0</v>
      </c>
      <c r="N423" s="1745"/>
      <c r="O423" s="1745"/>
      <c r="P423" s="1745"/>
      <c r="Q423" s="1745"/>
      <c r="R423" s="1745"/>
      <c r="S423" s="1745"/>
      <c r="T423" s="1745"/>
      <c r="U423" s="1745"/>
      <c r="V423" s="1745"/>
      <c r="W423" s="1745"/>
      <c r="X423" s="1903">
        <f t="shared" si="95"/>
        <v>0</v>
      </c>
      <c r="Y423" s="1733">
        <f t="shared" si="98"/>
        <v>0</v>
      </c>
      <c r="Z423" s="528"/>
      <c r="AA423" s="1622"/>
      <c r="AB423" s="1623"/>
      <c r="AC423" s="1623"/>
      <c r="AD423" s="1623"/>
      <c r="AE423" s="1623"/>
      <c r="AF423" s="1629"/>
      <c r="AG423" s="1599"/>
      <c r="AH423" s="1599"/>
      <c r="AI423" s="1599"/>
      <c r="AJ423" s="1630"/>
      <c r="AK423" s="1625">
        <f t="shared" si="99"/>
        <v>0</v>
      </c>
      <c r="AL423" s="1565">
        <f t="shared" si="100"/>
        <v>0</v>
      </c>
      <c r="AM423" s="1565">
        <f t="shared" si="101"/>
        <v>0</v>
      </c>
      <c r="AN423" s="1565">
        <f t="shared" si="102"/>
        <v>0</v>
      </c>
      <c r="AO423" s="1631">
        <f t="shared" si="103"/>
        <v>0</v>
      </c>
      <c r="AP423" s="1636"/>
      <c r="AQ423" s="1637"/>
      <c r="AR423" s="1662">
        <f t="shared" si="104"/>
        <v>0</v>
      </c>
      <c r="AS423" s="1677"/>
      <c r="AT423" s="1678"/>
      <c r="AU423" s="1679">
        <f t="shared" si="105"/>
        <v>0</v>
      </c>
      <c r="AV423" s="935"/>
      <c r="AW423" s="935"/>
      <c r="AX423" s="935"/>
      <c r="AY423" s="722"/>
      <c r="AZ423" s="722"/>
      <c r="BA423" s="722"/>
      <c r="BB423" s="722"/>
      <c r="BC423" s="722"/>
      <c r="BD423" s="722"/>
      <c r="BE423" s="706"/>
      <c r="BF423" s="706"/>
      <c r="BG423" s="694"/>
    </row>
    <row r="424" spans="1:65" ht="42" customHeight="1" thickBot="1" x14ac:dyDescent="0.3">
      <c r="A424" s="801" t="s">
        <v>649</v>
      </c>
      <c r="B424" s="1398">
        <f>SUM(B399:B423)</f>
        <v>0</v>
      </c>
      <c r="C424" s="672">
        <f>IF(ISERROR(SUM(C399:C423)/B424),0,(SUM(C399:C423)/B424))</f>
        <v>0</v>
      </c>
      <c r="D424" s="676">
        <f>SUM(D399:D423)</f>
        <v>0</v>
      </c>
      <c r="E424" s="675">
        <f>IFERROR(D424/B424,0)</f>
        <v>0</v>
      </c>
      <c r="F424" s="2470" t="s">
        <v>474</v>
      </c>
      <c r="G424" s="2471"/>
      <c r="H424" s="1399">
        <f>SUM(H399:H423)</f>
        <v>0</v>
      </c>
      <c r="I424" s="371"/>
      <c r="J424" s="371"/>
      <c r="K424" s="371"/>
      <c r="L424" s="371"/>
      <c r="M424" s="426">
        <f>IF(ISERROR(SUM(M399:M423)/H424),0,(SUM(M399:M423)/H424))</f>
        <v>0</v>
      </c>
      <c r="N424" s="426">
        <f>IFERROR((SUM(N399:N423)/H424),0)</f>
        <v>0</v>
      </c>
      <c r="O424" s="426">
        <f>IFERROR((SUM(O399:O423)/H424),0)</f>
        <v>0</v>
      </c>
      <c r="P424" s="426">
        <f>IFERROR((SUM(P399:P423)/H424),0)</f>
        <v>0</v>
      </c>
      <c r="Q424" s="426">
        <f>IFERROR((SUM(Q399:Q423)/H424),0)</f>
        <v>0</v>
      </c>
      <c r="R424" s="426">
        <f>IFERROR((SUM(R399:R423)/H424),0)</f>
        <v>0</v>
      </c>
      <c r="S424" s="426">
        <f>IFERROR((SUM(S399:S423)/H424),0)</f>
        <v>0</v>
      </c>
      <c r="T424" s="426">
        <f>IFERROR((SUM(T399:T423)/H424),0)</f>
        <v>0</v>
      </c>
      <c r="U424" s="426">
        <f>IFERROR((SUM(U399:U423)/H424),0)</f>
        <v>0</v>
      </c>
      <c r="V424" s="426">
        <f>IFERROR((SUM(V399:V423)/H424),0)</f>
        <v>0</v>
      </c>
      <c r="W424" s="426">
        <f>IFERROR((SUM(W399:W423)/H424),0)</f>
        <v>0</v>
      </c>
      <c r="X424" s="427">
        <f>SUM(X399:X423)</f>
        <v>0</v>
      </c>
      <c r="Y424" s="429">
        <f>IFERROR(SUM(X424/H424),0)</f>
        <v>0</v>
      </c>
      <c r="Z424" s="510"/>
      <c r="AA424" s="708"/>
      <c r="AB424" s="708"/>
      <c r="AC424" s="708"/>
      <c r="AD424" s="708"/>
      <c r="AE424" s="708"/>
      <c r="AF424" s="708"/>
      <c r="AG424" s="708"/>
      <c r="AH424" s="708"/>
      <c r="AI424" s="708"/>
      <c r="AJ424" s="708"/>
      <c r="AK424" s="708"/>
      <c r="AL424" s="708"/>
      <c r="AM424" s="708"/>
      <c r="AN424" s="708"/>
      <c r="AO424" s="708"/>
      <c r="AP424" s="1426"/>
      <c r="AQ424" s="1426"/>
      <c r="AR424" s="1426"/>
      <c r="AS424" s="988"/>
      <c r="AT424" s="1007"/>
      <c r="AU424" s="971"/>
      <c r="AV424" s="935"/>
      <c r="AW424" s="935"/>
      <c r="AX424" s="935"/>
      <c r="AY424" s="724"/>
      <c r="AZ424" s="724"/>
      <c r="BA424" s="724"/>
      <c r="BB424" s="724"/>
      <c r="BC424" s="724"/>
      <c r="BD424" s="724"/>
      <c r="BE424" s="708"/>
      <c r="BF424" s="708"/>
      <c r="BG424" s="696"/>
      <c r="BM424" s="602"/>
    </row>
    <row r="425" spans="1:65" ht="16.5" thickBot="1" x14ac:dyDescent="0.3">
      <c r="F425" s="475"/>
      <c r="G425" s="372"/>
      <c r="X425" s="465"/>
      <c r="Y425" s="477"/>
      <c r="Z425" s="540"/>
      <c r="AA425" s="713"/>
      <c r="AB425" s="713"/>
      <c r="AC425" s="713"/>
      <c r="AD425" s="713"/>
      <c r="AE425" s="713"/>
      <c r="AF425" s="713"/>
      <c r="AG425" s="713"/>
      <c r="AH425" s="713"/>
      <c r="AI425" s="713"/>
      <c r="AJ425" s="713"/>
      <c r="AK425" s="713"/>
      <c r="AL425" s="713"/>
      <c r="AM425" s="713"/>
      <c r="AN425" s="713"/>
      <c r="AO425" s="713"/>
      <c r="AP425" s="1430"/>
      <c r="AQ425" s="1430"/>
      <c r="AR425" s="1430"/>
      <c r="AS425" s="991"/>
      <c r="AT425" s="1011"/>
      <c r="AU425" s="976"/>
      <c r="AV425" s="935"/>
      <c r="AW425" s="935"/>
      <c r="AX425" s="935"/>
      <c r="AY425" s="728"/>
      <c r="AZ425" s="728"/>
      <c r="BA425" s="728"/>
      <c r="BB425" s="728"/>
      <c r="BC425" s="728"/>
      <c r="BD425" s="728"/>
      <c r="BE425" s="713"/>
      <c r="BF425" s="713"/>
      <c r="BG425" s="700"/>
    </row>
    <row r="426" spans="1:65" ht="39.75" thickBot="1" x14ac:dyDescent="0.3">
      <c r="A426" s="814" t="s">
        <v>475</v>
      </c>
      <c r="B426" s="1400">
        <f>B424+B396</f>
        <v>0</v>
      </c>
      <c r="C426" s="672">
        <f>IFERROR(SUM(C399:C423,C371:C395)/B426,0)</f>
        <v>0</v>
      </c>
      <c r="D426" s="813">
        <f>D424+D396</f>
        <v>0</v>
      </c>
      <c r="E426" s="429">
        <f>IFERROR(D426/B426,0)</f>
        <v>0</v>
      </c>
      <c r="F426" s="2308" t="s">
        <v>475</v>
      </c>
      <c r="G426" s="2309"/>
      <c r="H426" s="1400">
        <f>H424+H396</f>
        <v>0</v>
      </c>
      <c r="I426" s="677"/>
      <c r="J426" s="677"/>
      <c r="K426" s="677"/>
      <c r="L426" s="677"/>
      <c r="M426" s="815">
        <f t="shared" ref="M426:W426" si="106">IFERROR(SUM(M399:M423,M371:M395)/$H$426,0)</f>
        <v>0</v>
      </c>
      <c r="N426" s="426">
        <f t="shared" si="106"/>
        <v>0</v>
      </c>
      <c r="O426" s="426">
        <f t="shared" si="106"/>
        <v>0</v>
      </c>
      <c r="P426" s="426">
        <f t="shared" si="106"/>
        <v>0</v>
      </c>
      <c r="Q426" s="426">
        <f t="shared" si="106"/>
        <v>0</v>
      </c>
      <c r="R426" s="426">
        <f t="shared" si="106"/>
        <v>0</v>
      </c>
      <c r="S426" s="426">
        <f t="shared" si="106"/>
        <v>0</v>
      </c>
      <c r="T426" s="426">
        <f t="shared" si="106"/>
        <v>0</v>
      </c>
      <c r="U426" s="426">
        <f t="shared" si="106"/>
        <v>0</v>
      </c>
      <c r="V426" s="426">
        <f t="shared" si="106"/>
        <v>0</v>
      </c>
      <c r="W426" s="426">
        <f t="shared" si="106"/>
        <v>0</v>
      </c>
      <c r="X426" s="427">
        <f>X424+X396</f>
        <v>0</v>
      </c>
      <c r="Y426" s="429">
        <f>IFERROR(SUM(X426/H426),0)</f>
        <v>0</v>
      </c>
      <c r="Z426" s="540"/>
      <c r="AA426" s="713"/>
      <c r="AB426" s="713"/>
      <c r="AC426" s="713"/>
      <c r="AD426" s="713"/>
      <c r="AE426" s="713"/>
      <c r="AF426" s="713"/>
      <c r="AG426" s="713"/>
      <c r="AH426" s="713"/>
      <c r="AI426" s="713"/>
      <c r="AJ426" s="713"/>
      <c r="AK426" s="713"/>
      <c r="AL426" s="713"/>
      <c r="AM426" s="713"/>
      <c r="AN426" s="713"/>
      <c r="AO426" s="713"/>
      <c r="AP426" s="1430"/>
      <c r="AQ426" s="1430"/>
      <c r="AR426" s="1430"/>
      <c r="AS426" s="991"/>
      <c r="AT426" s="1011"/>
      <c r="AU426" s="976"/>
      <c r="AV426" s="935"/>
      <c r="AW426" s="935"/>
      <c r="AX426" s="935"/>
      <c r="AY426" s="728"/>
      <c r="AZ426" s="728"/>
      <c r="BA426" s="728"/>
      <c r="BB426" s="728"/>
      <c r="BC426" s="728"/>
      <c r="BD426" s="728"/>
      <c r="BE426" s="713"/>
      <c r="BF426" s="713"/>
      <c r="BG426" s="700"/>
    </row>
    <row r="427" spans="1:65" ht="15.75" x14ac:dyDescent="0.25">
      <c r="F427" s="475"/>
      <c r="G427" s="372"/>
      <c r="H427" s="1769" t="str">
        <f>IF('Allgemeine Angaben'!L47/20&lt;&gt;Personalkostenaufstellung!H426,"Stellenumfang entspr. der gesetzlichen Vorgaben ("&amp;TEXT(AQ1,"0,0000")&amp;" VK) angeben.","")</f>
        <v/>
      </c>
      <c r="I427" s="1505"/>
      <c r="O427" s="1133"/>
      <c r="X427" s="678"/>
      <c r="Y427" s="691"/>
      <c r="Z427" s="540"/>
      <c r="AA427" s="712"/>
      <c r="AB427" s="712"/>
      <c r="AC427" s="712"/>
      <c r="AD427" s="712"/>
      <c r="AE427" s="713"/>
      <c r="AF427" s="713"/>
      <c r="AG427" s="713"/>
      <c r="AH427" s="713"/>
      <c r="AI427" s="713"/>
      <c r="AJ427" s="713"/>
      <c r="AK427" s="713"/>
      <c r="AL427" s="713"/>
      <c r="AM427" s="713"/>
      <c r="AN427" s="713"/>
      <c r="AO427" s="713"/>
      <c r="AP427" s="1430"/>
      <c r="AQ427" s="1430"/>
      <c r="AR427" s="1430"/>
      <c r="AS427" s="991"/>
      <c r="AT427" s="1011"/>
      <c r="AU427" s="976"/>
      <c r="AV427" s="935"/>
      <c r="AW427" s="935"/>
      <c r="AX427" s="935"/>
      <c r="AY427" s="728"/>
      <c r="AZ427" s="728"/>
      <c r="BA427" s="728"/>
      <c r="BB427" s="728"/>
      <c r="BC427" s="728"/>
      <c r="BD427" s="728"/>
      <c r="BE427" s="713"/>
      <c r="BF427" s="713"/>
      <c r="BG427" s="700"/>
    </row>
    <row r="428" spans="1:65" ht="15.75" x14ac:dyDescent="0.25">
      <c r="A428" s="478" t="s">
        <v>1097</v>
      </c>
      <c r="F428" s="478" t="s">
        <v>1097</v>
      </c>
      <c r="G428" s="2183"/>
      <c r="P428" s="2414"/>
      <c r="Q428" s="2414"/>
      <c r="R428" s="2414"/>
      <c r="S428" s="2414"/>
      <c r="T428" s="2414"/>
      <c r="U428" s="2414"/>
      <c r="V428" s="2414"/>
      <c r="W428" s="2414"/>
      <c r="X428" s="2414"/>
      <c r="Y428" s="2415"/>
      <c r="Z428" s="539"/>
      <c r="AA428" s="713"/>
      <c r="AB428" s="713"/>
      <c r="AC428" s="713"/>
      <c r="AD428" s="713"/>
      <c r="AE428" s="712"/>
      <c r="AF428" s="712"/>
      <c r="AG428" s="712"/>
      <c r="AH428" s="712"/>
      <c r="AI428" s="712"/>
      <c r="AJ428" s="712"/>
      <c r="AK428" s="712"/>
      <c r="AL428" s="712"/>
      <c r="AM428" s="712"/>
      <c r="AN428" s="712"/>
      <c r="AO428" s="712"/>
      <c r="AP428" s="1424"/>
      <c r="AQ428" s="1424"/>
      <c r="AR428" s="1424"/>
      <c r="AS428" s="712"/>
      <c r="AT428" s="936"/>
      <c r="AU428" s="969"/>
      <c r="AV428" s="935"/>
      <c r="AW428" s="935"/>
      <c r="AX428" s="935"/>
      <c r="AY428" s="509"/>
      <c r="AZ428" s="509"/>
      <c r="BA428" s="509"/>
      <c r="BB428" s="509"/>
      <c r="BC428" s="509"/>
      <c r="BD428" s="509"/>
      <c r="BE428" s="712"/>
      <c r="BF428" s="712"/>
      <c r="BG428" s="693"/>
    </row>
    <row r="429" spans="1:65" ht="15.75" x14ac:dyDescent="0.25">
      <c r="A429" s="1883"/>
      <c r="B429" s="1748"/>
      <c r="C429" s="1884"/>
      <c r="D429" s="1884"/>
      <c r="E429" s="1726">
        <f t="shared" ref="E429:E434" si="107">IFERROR(D429/B429,0)</f>
        <v>0</v>
      </c>
      <c r="F429" s="1722"/>
      <c r="G429" s="1742"/>
      <c r="H429" s="1728"/>
      <c r="I429" s="1729"/>
      <c r="J429" s="1729"/>
      <c r="K429" s="1730"/>
      <c r="L429" s="1731">
        <f>IFERROR(IF($K$24="VK",K429,K429/H429),0)</f>
        <v>0</v>
      </c>
      <c r="M429" s="1732">
        <f>IFERROR(L429*H429,"")</f>
        <v>0</v>
      </c>
      <c r="N429" s="1730"/>
      <c r="O429" s="1730"/>
      <c r="P429" s="1730"/>
      <c r="Q429" s="1730"/>
      <c r="R429" s="1730"/>
      <c r="S429" s="1730"/>
      <c r="T429" s="1730"/>
      <c r="U429" s="1730"/>
      <c r="V429" s="1730"/>
      <c r="W429" s="1730"/>
      <c r="X429" s="1903">
        <f t="shared" ref="X429:X434" si="108">IF(AND(H429&gt;0,F429&lt;&gt;"GfB"),(SUM(M429:P429,R429,V429,Q429)*12+(T429+U429))*(100+$P$17+$P$18)%+((S429+W429)*12),IF(AND(H429&gt;0,F429="GfB"),(SUM(M429:P429,R429,V429,Q429)*12+(T429+U429))*(100+$P$20+$P$18)%+((S429+W429)*12),0))</f>
        <v>0</v>
      </c>
      <c r="Y429" s="1733">
        <f>IF(ISERROR(X429/H429),0,(X429/H429))</f>
        <v>0</v>
      </c>
      <c r="Z429" s="528"/>
      <c r="AA429" s="713"/>
      <c r="AB429" s="713"/>
      <c r="AC429" s="713"/>
      <c r="AD429" s="713"/>
      <c r="AE429" s="939"/>
      <c r="AF429" s="940"/>
      <c r="AG429" s="941"/>
      <c r="AH429" s="941"/>
      <c r="AI429" s="941"/>
      <c r="AJ429" s="941"/>
      <c r="AK429" s="942"/>
      <c r="AL429" s="718"/>
      <c r="AM429" s="718"/>
      <c r="AN429" s="718"/>
      <c r="AO429" s="718"/>
      <c r="AP429" s="1431"/>
      <c r="AQ429" s="1431"/>
      <c r="AR429" s="1431"/>
      <c r="AS429" s="938"/>
      <c r="AT429" s="940"/>
      <c r="AU429" s="977"/>
      <c r="AV429" s="935"/>
      <c r="AW429" s="935"/>
      <c r="AX429" s="935"/>
      <c r="AY429" s="722"/>
      <c r="AZ429" s="722"/>
      <c r="BA429" s="722"/>
      <c r="BB429" s="722"/>
      <c r="BC429" s="722"/>
      <c r="BD429" s="722"/>
      <c r="BE429" s="706"/>
      <c r="BF429" s="706"/>
      <c r="BG429" s="694"/>
    </row>
    <row r="430" spans="1:65" ht="15.75" x14ac:dyDescent="0.25">
      <c r="A430" s="1883"/>
      <c r="B430" s="1748"/>
      <c r="C430" s="1884"/>
      <c r="D430" s="1884"/>
      <c r="E430" s="1726">
        <f t="shared" si="107"/>
        <v>0</v>
      </c>
      <c r="F430" s="1722"/>
      <c r="G430" s="1742"/>
      <c r="H430" s="1728"/>
      <c r="I430" s="1729"/>
      <c r="J430" s="1729"/>
      <c r="K430" s="1730"/>
      <c r="L430" s="1734">
        <f t="shared" ref="L430:L434" si="109">IFERROR(IF($K$24="VK",K430,K430/H430),0)</f>
        <v>0</v>
      </c>
      <c r="M430" s="1735">
        <f t="shared" ref="M430:M434" si="110">IFERROR(L430*H430,"")</f>
        <v>0</v>
      </c>
      <c r="N430" s="1730"/>
      <c r="O430" s="1730"/>
      <c r="P430" s="1730"/>
      <c r="Q430" s="1730"/>
      <c r="R430" s="1730"/>
      <c r="S430" s="1730"/>
      <c r="T430" s="1730"/>
      <c r="U430" s="1730"/>
      <c r="V430" s="1730"/>
      <c r="W430" s="1730"/>
      <c r="X430" s="1903">
        <f t="shared" si="108"/>
        <v>0</v>
      </c>
      <c r="Y430" s="1733">
        <f t="shared" ref="Y430:Y434" si="111">IF(ISERROR(X430/H430),0,(X430/H430))</f>
        <v>0</v>
      </c>
      <c r="Z430" s="528"/>
      <c r="AA430" s="712"/>
      <c r="AB430" s="712"/>
      <c r="AC430" s="712"/>
      <c r="AD430" s="712"/>
      <c r="AE430" s="939"/>
      <c r="AF430" s="940"/>
      <c r="AG430" s="941"/>
      <c r="AH430" s="941"/>
      <c r="AI430" s="941"/>
      <c r="AJ430" s="941"/>
      <c r="AK430" s="942"/>
      <c r="AL430" s="718"/>
      <c r="AM430" s="718"/>
      <c r="AN430" s="718"/>
      <c r="AO430" s="718"/>
      <c r="AP430" s="1431"/>
      <c r="AQ430" s="1431"/>
      <c r="AR430" s="1431"/>
      <c r="AS430" s="938"/>
      <c r="AT430" s="940"/>
      <c r="AU430" s="977"/>
      <c r="AV430" s="935"/>
      <c r="AW430" s="935"/>
      <c r="AX430" s="935"/>
      <c r="AY430" s="722"/>
      <c r="AZ430" s="722"/>
      <c r="BA430" s="722"/>
      <c r="BB430" s="722"/>
      <c r="BC430" s="722"/>
      <c r="BD430" s="722"/>
      <c r="BE430" s="706"/>
      <c r="BF430" s="706"/>
      <c r="BG430" s="694"/>
    </row>
    <row r="431" spans="1:65" ht="15.75" x14ac:dyDescent="0.25">
      <c r="A431" s="1883"/>
      <c r="B431" s="1748"/>
      <c r="C431" s="1884"/>
      <c r="D431" s="1884"/>
      <c r="E431" s="1726">
        <f t="shared" si="107"/>
        <v>0</v>
      </c>
      <c r="F431" s="1722"/>
      <c r="G431" s="1742"/>
      <c r="H431" s="1728"/>
      <c r="I431" s="1729"/>
      <c r="J431" s="1729"/>
      <c r="K431" s="1730"/>
      <c r="L431" s="1734">
        <f t="shared" si="109"/>
        <v>0</v>
      </c>
      <c r="M431" s="1735">
        <f t="shared" si="110"/>
        <v>0</v>
      </c>
      <c r="N431" s="1730"/>
      <c r="O431" s="1730"/>
      <c r="P431" s="1730"/>
      <c r="Q431" s="1730"/>
      <c r="R431" s="1730"/>
      <c r="S431" s="1730"/>
      <c r="T431" s="1730"/>
      <c r="U431" s="1730"/>
      <c r="V431" s="1730"/>
      <c r="W431" s="1730"/>
      <c r="X431" s="1903">
        <f t="shared" si="108"/>
        <v>0</v>
      </c>
      <c r="Y431" s="1733">
        <f t="shared" si="111"/>
        <v>0</v>
      </c>
      <c r="Z431" s="528"/>
      <c r="AA431" s="713"/>
      <c r="AB431" s="713"/>
      <c r="AC431" s="713"/>
      <c r="AD431" s="713"/>
      <c r="AE431" s="939"/>
      <c r="AF431" s="940"/>
      <c r="AG431" s="941"/>
      <c r="AH431" s="941"/>
      <c r="AI431" s="941"/>
      <c r="AJ431" s="941"/>
      <c r="AK431" s="942"/>
      <c r="AL431" s="718"/>
      <c r="AM431" s="718"/>
      <c r="AN431" s="718"/>
      <c r="AO431" s="718"/>
      <c r="AP431" s="1431"/>
      <c r="AQ431" s="1431"/>
      <c r="AR431" s="1431"/>
      <c r="AS431" s="938"/>
      <c r="AT431" s="940"/>
      <c r="AU431" s="977"/>
      <c r="AV431" s="935"/>
      <c r="AW431" s="935"/>
      <c r="AX431" s="935"/>
      <c r="AY431" s="722"/>
      <c r="AZ431" s="722"/>
      <c r="BA431" s="722"/>
      <c r="BB431" s="722"/>
      <c r="BC431" s="722"/>
      <c r="BD431" s="722"/>
      <c r="BE431" s="706"/>
      <c r="BF431" s="706"/>
      <c r="BG431" s="694"/>
    </row>
    <row r="432" spans="1:65" ht="15.75" x14ac:dyDescent="0.25">
      <c r="A432" s="1883"/>
      <c r="B432" s="1748"/>
      <c r="C432" s="1884"/>
      <c r="D432" s="1884"/>
      <c r="E432" s="1726">
        <f t="shared" si="107"/>
        <v>0</v>
      </c>
      <c r="F432" s="1722"/>
      <c r="G432" s="1742"/>
      <c r="H432" s="1728"/>
      <c r="I432" s="1729"/>
      <c r="J432" s="1729"/>
      <c r="K432" s="1730"/>
      <c r="L432" s="1734">
        <f t="shared" si="109"/>
        <v>0</v>
      </c>
      <c r="M432" s="1735">
        <f t="shared" si="110"/>
        <v>0</v>
      </c>
      <c r="N432" s="1730"/>
      <c r="O432" s="1730"/>
      <c r="P432" s="1730"/>
      <c r="Q432" s="1730"/>
      <c r="R432" s="1730"/>
      <c r="S432" s="1730"/>
      <c r="T432" s="1730"/>
      <c r="U432" s="1730"/>
      <c r="V432" s="1730"/>
      <c r="W432" s="1730"/>
      <c r="X432" s="1903">
        <f t="shared" si="108"/>
        <v>0</v>
      </c>
      <c r="Y432" s="1733">
        <f t="shared" si="111"/>
        <v>0</v>
      </c>
      <c r="Z432" s="528"/>
      <c r="AA432" s="713"/>
      <c r="AB432" s="713"/>
      <c r="AC432" s="713"/>
      <c r="AD432" s="713"/>
      <c r="AE432" s="939"/>
      <c r="AF432" s="940"/>
      <c r="AG432" s="941"/>
      <c r="AH432" s="941"/>
      <c r="AI432" s="941"/>
      <c r="AJ432" s="941"/>
      <c r="AK432" s="942"/>
      <c r="AL432" s="718"/>
      <c r="AM432" s="718"/>
      <c r="AN432" s="718"/>
      <c r="AO432" s="718"/>
      <c r="AP432" s="1431"/>
      <c r="AQ432" s="1431"/>
      <c r="AR432" s="1431"/>
      <c r="AS432" s="938"/>
      <c r="AT432" s="940"/>
      <c r="AU432" s="977"/>
      <c r="AV432" s="935"/>
      <c r="AW432" s="935"/>
      <c r="AX432" s="935"/>
      <c r="AY432" s="722"/>
      <c r="AZ432" s="722"/>
      <c r="BA432" s="722"/>
      <c r="BB432" s="722"/>
      <c r="BC432" s="722"/>
      <c r="BD432" s="722"/>
      <c r="BE432" s="706"/>
      <c r="BF432" s="706"/>
      <c r="BG432" s="694"/>
    </row>
    <row r="433" spans="1:59" ht="15.75" x14ac:dyDescent="0.25">
      <c r="A433" s="1883"/>
      <c r="B433" s="1748"/>
      <c r="C433" s="1884"/>
      <c r="D433" s="1884"/>
      <c r="E433" s="1726">
        <f t="shared" si="107"/>
        <v>0</v>
      </c>
      <c r="F433" s="1722"/>
      <c r="G433" s="1742"/>
      <c r="H433" s="1728"/>
      <c r="I433" s="1729"/>
      <c r="J433" s="1729"/>
      <c r="K433" s="1730"/>
      <c r="L433" s="1734">
        <f t="shared" si="109"/>
        <v>0</v>
      </c>
      <c r="M433" s="1735">
        <f t="shared" si="110"/>
        <v>0</v>
      </c>
      <c r="N433" s="1730"/>
      <c r="O433" s="1730"/>
      <c r="P433" s="1730"/>
      <c r="Q433" s="1730"/>
      <c r="R433" s="1730"/>
      <c r="S433" s="1730"/>
      <c r="T433" s="1730"/>
      <c r="U433" s="1730"/>
      <c r="V433" s="1730"/>
      <c r="W433" s="1730"/>
      <c r="X433" s="1903">
        <f t="shared" si="108"/>
        <v>0</v>
      </c>
      <c r="Y433" s="1733">
        <f t="shared" si="111"/>
        <v>0</v>
      </c>
      <c r="Z433" s="528"/>
      <c r="AA433" s="713"/>
      <c r="AB433" s="713"/>
      <c r="AC433" s="713"/>
      <c r="AD433" s="713"/>
      <c r="AE433" s="939"/>
      <c r="AF433" s="940"/>
      <c r="AG433" s="941"/>
      <c r="AH433" s="941"/>
      <c r="AI433" s="941"/>
      <c r="AJ433" s="941"/>
      <c r="AK433" s="942"/>
      <c r="AL433" s="718"/>
      <c r="AM433" s="718"/>
      <c r="AN433" s="718"/>
      <c r="AO433" s="718"/>
      <c r="AP433" s="1431"/>
      <c r="AQ433" s="1431"/>
      <c r="AR433" s="1431"/>
      <c r="AS433" s="938"/>
      <c r="AT433" s="940"/>
      <c r="AU433" s="977"/>
      <c r="AV433" s="935"/>
      <c r="AW433" s="935"/>
      <c r="AX433" s="935"/>
      <c r="AY433" s="722"/>
      <c r="AZ433" s="722"/>
      <c r="BA433" s="722"/>
      <c r="BB433" s="722"/>
      <c r="BC433" s="722"/>
      <c r="BD433" s="722"/>
      <c r="BE433" s="706"/>
      <c r="BF433" s="706"/>
      <c r="BG433" s="694"/>
    </row>
    <row r="434" spans="1:59" ht="16.5" thickBot="1" x14ac:dyDescent="0.3">
      <c r="A434" s="1883"/>
      <c r="B434" s="1748"/>
      <c r="C434" s="1884"/>
      <c r="D434" s="1884"/>
      <c r="E434" s="1726">
        <f t="shared" si="107"/>
        <v>0</v>
      </c>
      <c r="F434" s="1722"/>
      <c r="G434" s="1742"/>
      <c r="H434" s="1728"/>
      <c r="I434" s="1729"/>
      <c r="J434" s="1729"/>
      <c r="K434" s="1730"/>
      <c r="L434" s="1734">
        <f t="shared" si="109"/>
        <v>0</v>
      </c>
      <c r="M434" s="1735">
        <f t="shared" si="110"/>
        <v>0</v>
      </c>
      <c r="N434" s="1730"/>
      <c r="O434" s="1730"/>
      <c r="P434" s="1730"/>
      <c r="Q434" s="1730"/>
      <c r="R434" s="1730"/>
      <c r="S434" s="1730"/>
      <c r="T434" s="1730"/>
      <c r="U434" s="1730"/>
      <c r="V434" s="1730"/>
      <c r="W434" s="1730"/>
      <c r="X434" s="1903">
        <f t="shared" si="108"/>
        <v>0</v>
      </c>
      <c r="Y434" s="1733">
        <f t="shared" si="111"/>
        <v>0</v>
      </c>
      <c r="Z434" s="528"/>
      <c r="AA434" s="713"/>
      <c r="AB434" s="713"/>
      <c r="AC434" s="713"/>
      <c r="AD434" s="713"/>
      <c r="AE434" s="939"/>
      <c r="AF434" s="940"/>
      <c r="AG434" s="941"/>
      <c r="AH434" s="941"/>
      <c r="AI434" s="941"/>
      <c r="AJ434" s="941"/>
      <c r="AK434" s="942"/>
      <c r="AL434" s="718"/>
      <c r="AM434" s="718"/>
      <c r="AN434" s="718"/>
      <c r="AO434" s="718"/>
      <c r="AP434" s="1431"/>
      <c r="AQ434" s="1431"/>
      <c r="AR434" s="1431"/>
      <c r="AS434" s="938"/>
      <c r="AT434" s="940"/>
      <c r="AU434" s="977"/>
      <c r="AV434" s="935"/>
      <c r="AW434" s="935"/>
      <c r="AX434" s="935"/>
      <c r="AY434" s="722"/>
      <c r="AZ434" s="722"/>
      <c r="BA434" s="722"/>
      <c r="BB434" s="722"/>
      <c r="BC434" s="722"/>
      <c r="BD434" s="722"/>
      <c r="BE434" s="706"/>
      <c r="BF434" s="706"/>
      <c r="BG434" s="694"/>
    </row>
    <row r="435" spans="1:59" ht="16.5" thickBot="1" x14ac:dyDescent="0.3">
      <c r="A435" s="2180" t="s">
        <v>1097</v>
      </c>
      <c r="B435" s="1398">
        <f>SUM(B429:B434)</f>
        <v>0</v>
      </c>
      <c r="C435" s="672">
        <f>IF(ISERROR(SUM(C429:C434)/B435),0,(SUM(C429:C434)/B435))</f>
        <v>0</v>
      </c>
      <c r="D435" s="676">
        <f>SUM(D429:D434)</f>
        <v>0</v>
      </c>
      <c r="E435" s="675">
        <f t="shared" ref="E435" si="112">IFERROR(D435/B435,0)</f>
        <v>0</v>
      </c>
      <c r="F435" s="2310" t="s">
        <v>1097</v>
      </c>
      <c r="G435" s="504"/>
      <c r="H435" s="1401">
        <f>SUM(H429:H434)</f>
        <v>0</v>
      </c>
      <c r="I435" s="371"/>
      <c r="J435" s="371"/>
      <c r="K435" s="371"/>
      <c r="L435" s="371"/>
      <c r="M435" s="426">
        <f t="shared" ref="M435:W435" si="113">IF(ISERROR(SUM(M429:M434)/$H$435),0,(SUM(M429:M434)/$H$435))</f>
        <v>0</v>
      </c>
      <c r="N435" s="426">
        <f t="shared" si="113"/>
        <v>0</v>
      </c>
      <c r="O435" s="426">
        <f t="shared" si="113"/>
        <v>0</v>
      </c>
      <c r="P435" s="426">
        <f t="shared" si="113"/>
        <v>0</v>
      </c>
      <c r="Q435" s="426">
        <f t="shared" si="113"/>
        <v>0</v>
      </c>
      <c r="R435" s="426">
        <f t="shared" si="113"/>
        <v>0</v>
      </c>
      <c r="S435" s="426">
        <f t="shared" si="113"/>
        <v>0</v>
      </c>
      <c r="T435" s="426">
        <f t="shared" si="113"/>
        <v>0</v>
      </c>
      <c r="U435" s="426">
        <f t="shared" si="113"/>
        <v>0</v>
      </c>
      <c r="V435" s="426">
        <f t="shared" si="113"/>
        <v>0</v>
      </c>
      <c r="W435" s="426">
        <f t="shared" si="113"/>
        <v>0</v>
      </c>
      <c r="X435" s="427">
        <f>SUM(X429:X434)</f>
        <v>0</v>
      </c>
      <c r="Y435" s="429">
        <f>IFERROR(SUM(X435/H435),0)</f>
        <v>0</v>
      </c>
      <c r="Z435" s="510"/>
      <c r="AA435" s="712"/>
      <c r="AB435" s="712"/>
      <c r="AC435" s="712"/>
      <c r="AD435" s="712"/>
      <c r="AE435" s="708"/>
      <c r="AF435" s="708"/>
      <c r="AG435" s="708"/>
      <c r="AH435" s="708"/>
      <c r="AI435" s="708"/>
      <c r="AJ435" s="708"/>
      <c r="AK435" s="708"/>
      <c r="AL435" s="708"/>
      <c r="AM435" s="708"/>
      <c r="AN435" s="708"/>
      <c r="AO435" s="708"/>
      <c r="AP435" s="1426"/>
      <c r="AQ435" s="1426"/>
      <c r="AR435" s="1426"/>
      <c r="AS435" s="988"/>
      <c r="AT435" s="1007"/>
      <c r="AU435" s="971"/>
      <c r="AV435" s="935"/>
      <c r="AW435" s="935"/>
      <c r="AX435" s="935"/>
      <c r="AY435" s="724"/>
      <c r="AZ435" s="724"/>
      <c r="BA435" s="724"/>
      <c r="BB435" s="724"/>
      <c r="BC435" s="724"/>
      <c r="BD435" s="724"/>
      <c r="BE435" s="708"/>
      <c r="BF435" s="708"/>
      <c r="BG435" s="696"/>
    </row>
    <row r="436" spans="1:59" ht="15.75" x14ac:dyDescent="0.25">
      <c r="F436" s="475"/>
      <c r="G436" s="726"/>
      <c r="H436" s="1769" t="str">
        <f>IF(AND(KAT!R19=1,H435&gt;KAT!D59),"Max. Stellenumfang gemäß PSK Beschluss vom 12.03.2026 für Einrichtungsleitung angeben (bis zu "&amp;TEXT(KAT!D59,"0,0000")&amp;" VK).","")</f>
        <v/>
      </c>
      <c r="X436" s="465"/>
      <c r="Y436" s="477"/>
      <c r="Z436" s="540"/>
      <c r="AA436" s="713"/>
      <c r="AB436" s="713"/>
      <c r="AC436" s="713"/>
      <c r="AD436" s="713"/>
      <c r="AE436" s="713"/>
      <c r="AF436" s="713"/>
      <c r="AG436" s="713"/>
      <c r="AH436" s="713"/>
      <c r="AI436" s="713"/>
      <c r="AJ436" s="713"/>
      <c r="AK436" s="713"/>
      <c r="AL436" s="713"/>
      <c r="AM436" s="713"/>
      <c r="AN436" s="713"/>
      <c r="AO436" s="713"/>
      <c r="AP436" s="1430"/>
      <c r="AQ436" s="1430"/>
      <c r="AR436" s="1430"/>
      <c r="AS436" s="991"/>
      <c r="AT436" s="1011"/>
      <c r="AU436" s="976"/>
      <c r="AV436" s="935"/>
      <c r="AW436" s="935"/>
      <c r="AX436" s="935"/>
      <c r="AY436" s="728"/>
      <c r="AZ436" s="728"/>
      <c r="BA436" s="728"/>
      <c r="BB436" s="728"/>
      <c r="BC436" s="728"/>
      <c r="BD436" s="728"/>
      <c r="BE436" s="713"/>
      <c r="BF436" s="713"/>
      <c r="BG436" s="700"/>
    </row>
    <row r="437" spans="1:59" ht="15.75" x14ac:dyDescent="0.25">
      <c r="A437" s="478" t="s">
        <v>476</v>
      </c>
      <c r="F437" s="478" t="s">
        <v>476</v>
      </c>
      <c r="G437" s="473"/>
      <c r="P437" s="2414"/>
      <c r="Q437" s="2414"/>
      <c r="R437" s="2414"/>
      <c r="S437" s="2414"/>
      <c r="T437" s="2414"/>
      <c r="U437" s="2414"/>
      <c r="V437" s="2414"/>
      <c r="W437" s="2414"/>
      <c r="X437" s="2414"/>
      <c r="Y437" s="2415"/>
      <c r="Z437" s="539"/>
      <c r="AA437" s="712"/>
      <c r="AB437" s="712"/>
      <c r="AC437" s="712"/>
      <c r="AD437" s="712"/>
      <c r="AE437" s="712"/>
      <c r="AF437" s="712"/>
      <c r="AG437" s="712"/>
      <c r="AH437" s="712"/>
      <c r="AI437" s="712"/>
      <c r="AJ437" s="712"/>
      <c r="AK437" s="712"/>
      <c r="AL437" s="712"/>
      <c r="AM437" s="712"/>
      <c r="AN437" s="712"/>
      <c r="AO437" s="712"/>
      <c r="AP437" s="1424"/>
      <c r="AQ437" s="1424"/>
      <c r="AR437" s="1424"/>
      <c r="AS437" s="712"/>
      <c r="AT437" s="936"/>
      <c r="AU437" s="969"/>
      <c r="AV437" s="935"/>
      <c r="AW437" s="935"/>
      <c r="AX437" s="935"/>
      <c r="AY437" s="509"/>
      <c r="AZ437" s="509"/>
      <c r="BA437" s="509"/>
      <c r="BB437" s="509"/>
      <c r="BC437" s="509"/>
      <c r="BD437" s="509"/>
      <c r="BE437" s="712"/>
      <c r="BF437" s="712"/>
      <c r="BG437" s="693"/>
    </row>
    <row r="438" spans="1:59" ht="15.75" x14ac:dyDescent="0.25">
      <c r="A438" s="1883"/>
      <c r="B438" s="1748"/>
      <c r="C438" s="1884"/>
      <c r="D438" s="1884"/>
      <c r="E438" s="1726">
        <f t="shared" ref="E438:E525" si="114">IFERROR(D438/B438,0)</f>
        <v>0</v>
      </c>
      <c r="F438" s="1722"/>
      <c r="G438" s="1727"/>
      <c r="H438" s="1728"/>
      <c r="I438" s="1729"/>
      <c r="J438" s="1729"/>
      <c r="K438" s="1730"/>
      <c r="L438" s="1731">
        <f>IFERROR(IF($K$24="VK",K438,K438/H438),0)</f>
        <v>0</v>
      </c>
      <c r="M438" s="1732">
        <f>IFERROR(L438*H438,"")</f>
        <v>0</v>
      </c>
      <c r="N438" s="1730"/>
      <c r="O438" s="1730"/>
      <c r="P438" s="1730"/>
      <c r="Q438" s="1730"/>
      <c r="R438" s="1730"/>
      <c r="S438" s="1730"/>
      <c r="T438" s="1730"/>
      <c r="U438" s="1730"/>
      <c r="V438" s="1730"/>
      <c r="W438" s="1730"/>
      <c r="X438" s="1903">
        <f t="shared" ref="X438:X501" si="115">IF(AND(H438&gt;0,F438&lt;&gt;"GfB"),(SUM(M438:P438,R438,V438,Q438)*12+(T438+U438))*(100+$P$17+$P$18)%+((S438+W438)*12),IF(AND(H438&gt;0,F438="GfB"),(SUM(M438:P438,R438,V438,Q438)*12+(T438+U438))*(100+$P$20+$P$18)%+((S438+W438)*12),0))</f>
        <v>0</v>
      </c>
      <c r="Y438" s="1733">
        <f>IF(ISERROR(X438/H438),0,(X438/H438))</f>
        <v>0</v>
      </c>
      <c r="Z438" s="528"/>
      <c r="AA438" s="1617"/>
      <c r="AB438" s="1618"/>
      <c r="AC438" s="1618"/>
      <c r="AD438" s="1618"/>
      <c r="AE438" s="1618"/>
      <c r="AF438" s="1626"/>
      <c r="AG438" s="1626"/>
      <c r="AH438" s="1626"/>
      <c r="AI438" s="1626"/>
      <c r="AJ438" s="1626"/>
      <c r="AK438" s="1593"/>
      <c r="AL438" s="1594"/>
      <c r="AM438" s="1594"/>
      <c r="AN438" s="1594"/>
      <c r="AO438" s="1595"/>
      <c r="AP438" s="1653"/>
      <c r="AQ438" s="1579"/>
      <c r="AR438" s="1580"/>
      <c r="AS438" s="1688"/>
      <c r="AT438" s="1721">
        <f t="shared" ref="AT438:AT466" si="116">IF(AND($G438="PK/BK",$H438&gt;0,$K438&gt;0),$X438,0)</f>
        <v>0</v>
      </c>
      <c r="AU438" s="1679">
        <f t="shared" ref="AU438:AU466" si="117">IF(AND($G438="PK/BK o.",$H438&gt;0,$K438&gt;0),$X438,0)</f>
        <v>0</v>
      </c>
      <c r="AV438" s="935"/>
      <c r="AW438" s="935"/>
      <c r="AX438" s="935"/>
      <c r="AY438" s="722"/>
      <c r="AZ438" s="722"/>
      <c r="BA438" s="722"/>
      <c r="BB438" s="722"/>
      <c r="BC438" s="722"/>
      <c r="BD438" s="722"/>
      <c r="BE438" s="706"/>
      <c r="BF438" s="706"/>
      <c r="BG438" s="694"/>
    </row>
    <row r="439" spans="1:59" ht="15.75" x14ac:dyDescent="0.25">
      <c r="A439" s="1883"/>
      <c r="B439" s="1748"/>
      <c r="C439" s="1884"/>
      <c r="D439" s="1884"/>
      <c r="E439" s="1726">
        <f t="shared" si="114"/>
        <v>0</v>
      </c>
      <c r="F439" s="1722"/>
      <c r="G439" s="1727"/>
      <c r="H439" s="1728"/>
      <c r="I439" s="1729"/>
      <c r="J439" s="1729"/>
      <c r="K439" s="1730"/>
      <c r="L439" s="1734">
        <f t="shared" ref="L439:L465" si="118">IFERROR(IF($K$24="VK",K439,K439/H439),0)</f>
        <v>0</v>
      </c>
      <c r="M439" s="1735">
        <f t="shared" ref="M439:M465" si="119">IFERROR(L439*H439,"")</f>
        <v>0</v>
      </c>
      <c r="N439" s="1730"/>
      <c r="O439" s="1730"/>
      <c r="P439" s="1730"/>
      <c r="Q439" s="1730"/>
      <c r="R439" s="1730"/>
      <c r="S439" s="1730"/>
      <c r="T439" s="1730"/>
      <c r="U439" s="1730"/>
      <c r="V439" s="1730"/>
      <c r="W439" s="1730"/>
      <c r="X439" s="1903">
        <f t="shared" si="115"/>
        <v>0</v>
      </c>
      <c r="Y439" s="1733">
        <f t="shared" ref="Y439:Y465" si="120">IF(ISERROR(X439/H439),0,(X439/H439))</f>
        <v>0</v>
      </c>
      <c r="Z439" s="528"/>
      <c r="AA439" s="1620"/>
      <c r="AB439" s="1616"/>
      <c r="AC439" s="1616"/>
      <c r="AD439" s="1616"/>
      <c r="AE439" s="1616"/>
      <c r="AF439" s="1587"/>
      <c r="AG439" s="1587"/>
      <c r="AH439" s="1587"/>
      <c r="AI439" s="1587"/>
      <c r="AJ439" s="1587"/>
      <c r="AK439" s="1589"/>
      <c r="AL439" s="1590"/>
      <c r="AM439" s="1590"/>
      <c r="AN439" s="1590"/>
      <c r="AO439" s="1597"/>
      <c r="AP439" s="1607"/>
      <c r="AQ439" s="1581"/>
      <c r="AR439" s="1582"/>
      <c r="AS439" s="1689"/>
      <c r="AT439" s="1721">
        <f t="shared" si="116"/>
        <v>0</v>
      </c>
      <c r="AU439" s="1679">
        <f t="shared" si="117"/>
        <v>0</v>
      </c>
      <c r="AV439" s="935"/>
      <c r="AW439" s="935"/>
      <c r="AX439" s="935"/>
      <c r="AY439" s="722"/>
      <c r="AZ439" s="722"/>
      <c r="BA439" s="722"/>
      <c r="BB439" s="722"/>
      <c r="BC439" s="722"/>
      <c r="BD439" s="722"/>
      <c r="BE439" s="706"/>
      <c r="BF439" s="706"/>
      <c r="BG439" s="694"/>
    </row>
    <row r="440" spans="1:59" ht="15.75" x14ac:dyDescent="0.25">
      <c r="A440" s="1883"/>
      <c r="B440" s="1748"/>
      <c r="C440" s="1884"/>
      <c r="D440" s="1884"/>
      <c r="E440" s="1726">
        <f t="shared" si="114"/>
        <v>0</v>
      </c>
      <c r="F440" s="1722"/>
      <c r="G440" s="1727"/>
      <c r="H440" s="1728"/>
      <c r="I440" s="1729"/>
      <c r="J440" s="1729"/>
      <c r="K440" s="1730"/>
      <c r="L440" s="1734">
        <f t="shared" si="118"/>
        <v>0</v>
      </c>
      <c r="M440" s="1735">
        <f t="shared" si="119"/>
        <v>0</v>
      </c>
      <c r="N440" s="1730"/>
      <c r="O440" s="1730"/>
      <c r="P440" s="1730"/>
      <c r="Q440" s="1730"/>
      <c r="R440" s="1730"/>
      <c r="S440" s="1730"/>
      <c r="T440" s="1730"/>
      <c r="U440" s="1730"/>
      <c r="V440" s="1730"/>
      <c r="W440" s="1730"/>
      <c r="X440" s="1903">
        <f t="shared" si="115"/>
        <v>0</v>
      </c>
      <c r="Y440" s="1733">
        <f t="shared" si="120"/>
        <v>0</v>
      </c>
      <c r="Z440" s="528"/>
      <c r="AA440" s="1620"/>
      <c r="AB440" s="1616"/>
      <c r="AC440" s="1616"/>
      <c r="AD440" s="1616"/>
      <c r="AE440" s="1616"/>
      <c r="AF440" s="1587"/>
      <c r="AG440" s="1587"/>
      <c r="AH440" s="1587"/>
      <c r="AI440" s="1587"/>
      <c r="AJ440" s="1587"/>
      <c r="AK440" s="1589"/>
      <c r="AL440" s="1590"/>
      <c r="AM440" s="1590"/>
      <c r="AN440" s="1590"/>
      <c r="AO440" s="1597"/>
      <c r="AP440" s="1607"/>
      <c r="AQ440" s="1581"/>
      <c r="AR440" s="1582"/>
      <c r="AS440" s="1689"/>
      <c r="AT440" s="1721">
        <f t="shared" si="116"/>
        <v>0</v>
      </c>
      <c r="AU440" s="1679">
        <f t="shared" si="117"/>
        <v>0</v>
      </c>
      <c r="AV440" s="935"/>
      <c r="AW440" s="935"/>
      <c r="AX440" s="935"/>
      <c r="AY440" s="722"/>
      <c r="AZ440" s="722"/>
      <c r="BA440" s="722"/>
      <c r="BB440" s="722"/>
      <c r="BC440" s="722"/>
      <c r="BD440" s="722"/>
      <c r="BE440" s="706"/>
      <c r="BF440" s="706"/>
      <c r="BG440" s="694"/>
    </row>
    <row r="441" spans="1:59" ht="15.75" x14ac:dyDescent="0.25">
      <c r="A441" s="1883"/>
      <c r="B441" s="1748"/>
      <c r="C441" s="1884"/>
      <c r="D441" s="1884"/>
      <c r="E441" s="1726">
        <f t="shared" si="114"/>
        <v>0</v>
      </c>
      <c r="F441" s="1722"/>
      <c r="G441" s="1727"/>
      <c r="H441" s="1728"/>
      <c r="I441" s="1729"/>
      <c r="J441" s="1729"/>
      <c r="K441" s="1730"/>
      <c r="L441" s="1734">
        <f t="shared" si="118"/>
        <v>0</v>
      </c>
      <c r="M441" s="1735">
        <f t="shared" si="119"/>
        <v>0</v>
      </c>
      <c r="N441" s="1730"/>
      <c r="O441" s="1730"/>
      <c r="P441" s="1730"/>
      <c r="Q441" s="1730"/>
      <c r="R441" s="1730"/>
      <c r="S441" s="1730"/>
      <c r="T441" s="1730"/>
      <c r="U441" s="1730"/>
      <c r="V441" s="1730"/>
      <c r="W441" s="1730"/>
      <c r="X441" s="1903">
        <f t="shared" si="115"/>
        <v>0</v>
      </c>
      <c r="Y441" s="1733">
        <f t="shared" si="120"/>
        <v>0</v>
      </c>
      <c r="Z441" s="528"/>
      <c r="AA441" s="1620"/>
      <c r="AB441" s="1616"/>
      <c r="AC441" s="1616"/>
      <c r="AD441" s="1616"/>
      <c r="AE441" s="1616"/>
      <c r="AF441" s="1587"/>
      <c r="AG441" s="1587"/>
      <c r="AH441" s="1587"/>
      <c r="AI441" s="1587"/>
      <c r="AJ441" s="1587"/>
      <c r="AK441" s="1589"/>
      <c r="AL441" s="1590"/>
      <c r="AM441" s="1590"/>
      <c r="AN441" s="1590"/>
      <c r="AO441" s="1597"/>
      <c r="AP441" s="1607"/>
      <c r="AQ441" s="1581"/>
      <c r="AR441" s="1582"/>
      <c r="AS441" s="1689"/>
      <c r="AT441" s="1721">
        <f t="shared" si="116"/>
        <v>0</v>
      </c>
      <c r="AU441" s="1679">
        <f t="shared" si="117"/>
        <v>0</v>
      </c>
      <c r="AV441" s="935"/>
      <c r="AW441" s="935"/>
      <c r="AX441" s="935"/>
      <c r="AY441" s="722"/>
      <c r="AZ441" s="722"/>
      <c r="BA441" s="722"/>
      <c r="BB441" s="722"/>
      <c r="BC441" s="722"/>
      <c r="BD441" s="722"/>
      <c r="BE441" s="706"/>
      <c r="BF441" s="706"/>
      <c r="BG441" s="694"/>
    </row>
    <row r="442" spans="1:59" ht="15.75" x14ac:dyDescent="0.25">
      <c r="A442" s="1883"/>
      <c r="B442" s="1748"/>
      <c r="C442" s="1884"/>
      <c r="D442" s="1884"/>
      <c r="E442" s="1726">
        <f t="shared" si="114"/>
        <v>0</v>
      </c>
      <c r="F442" s="1722"/>
      <c r="G442" s="1727"/>
      <c r="H442" s="1728"/>
      <c r="I442" s="1729"/>
      <c r="J442" s="1729"/>
      <c r="K442" s="1730"/>
      <c r="L442" s="1734">
        <f t="shared" si="118"/>
        <v>0</v>
      </c>
      <c r="M442" s="1735">
        <f t="shared" si="119"/>
        <v>0</v>
      </c>
      <c r="N442" s="1730"/>
      <c r="O442" s="1730"/>
      <c r="P442" s="1730"/>
      <c r="Q442" s="1730"/>
      <c r="R442" s="1730"/>
      <c r="S442" s="1730"/>
      <c r="T442" s="1730"/>
      <c r="U442" s="1730"/>
      <c r="V442" s="1730"/>
      <c r="W442" s="1730"/>
      <c r="X442" s="1903">
        <f t="shared" si="115"/>
        <v>0</v>
      </c>
      <c r="Y442" s="1733">
        <f t="shared" si="120"/>
        <v>0</v>
      </c>
      <c r="Z442" s="528"/>
      <c r="AA442" s="1620"/>
      <c r="AB442" s="1616"/>
      <c r="AC442" s="1616"/>
      <c r="AD442" s="1616"/>
      <c r="AE442" s="1616"/>
      <c r="AF442" s="1587"/>
      <c r="AG442" s="1587"/>
      <c r="AH442" s="1587"/>
      <c r="AI442" s="1587"/>
      <c r="AJ442" s="1587"/>
      <c r="AK442" s="1589"/>
      <c r="AL442" s="1590"/>
      <c r="AM442" s="1590"/>
      <c r="AN442" s="1590"/>
      <c r="AO442" s="1597"/>
      <c r="AP442" s="1607"/>
      <c r="AQ442" s="1581"/>
      <c r="AR442" s="1582"/>
      <c r="AS442" s="1689"/>
      <c r="AT442" s="1721">
        <f t="shared" si="116"/>
        <v>0</v>
      </c>
      <c r="AU442" s="1679">
        <f t="shared" si="117"/>
        <v>0</v>
      </c>
      <c r="AV442" s="935"/>
      <c r="AW442" s="935"/>
      <c r="AX442" s="935"/>
      <c r="AY442" s="722"/>
      <c r="AZ442" s="722"/>
      <c r="BA442" s="722"/>
      <c r="BB442" s="722"/>
      <c r="BC442" s="722"/>
      <c r="BD442" s="722"/>
      <c r="BE442" s="706"/>
      <c r="BF442" s="706"/>
      <c r="BG442" s="694"/>
    </row>
    <row r="443" spans="1:59" ht="15.75" x14ac:dyDescent="0.25">
      <c r="A443" s="1883"/>
      <c r="B443" s="1748"/>
      <c r="C443" s="1884"/>
      <c r="D443" s="1884"/>
      <c r="E443" s="1726">
        <f t="shared" si="114"/>
        <v>0</v>
      </c>
      <c r="F443" s="1722"/>
      <c r="G443" s="1727"/>
      <c r="H443" s="1728"/>
      <c r="I443" s="1729"/>
      <c r="J443" s="1729"/>
      <c r="K443" s="1730"/>
      <c r="L443" s="1734">
        <f t="shared" si="118"/>
        <v>0</v>
      </c>
      <c r="M443" s="1735">
        <f t="shared" si="119"/>
        <v>0</v>
      </c>
      <c r="N443" s="1730"/>
      <c r="O443" s="1730"/>
      <c r="P443" s="1730"/>
      <c r="Q443" s="1730"/>
      <c r="R443" s="1730"/>
      <c r="S443" s="1730"/>
      <c r="T443" s="1730"/>
      <c r="U443" s="1730"/>
      <c r="V443" s="1730"/>
      <c r="W443" s="1730"/>
      <c r="X443" s="1903">
        <f t="shared" si="115"/>
        <v>0</v>
      </c>
      <c r="Y443" s="1733">
        <f t="shared" si="120"/>
        <v>0</v>
      </c>
      <c r="Z443" s="528"/>
      <c r="AA443" s="1620"/>
      <c r="AB443" s="1616"/>
      <c r="AC443" s="1616"/>
      <c r="AD443" s="1616"/>
      <c r="AE443" s="1616"/>
      <c r="AF443" s="1587"/>
      <c r="AG443" s="1587"/>
      <c r="AH443" s="1587"/>
      <c r="AI443" s="1587"/>
      <c r="AJ443" s="1587"/>
      <c r="AK443" s="1589"/>
      <c r="AL443" s="1590"/>
      <c r="AM443" s="1590"/>
      <c r="AN443" s="1590"/>
      <c r="AO443" s="1597"/>
      <c r="AP443" s="1607"/>
      <c r="AQ443" s="1581"/>
      <c r="AR443" s="1582"/>
      <c r="AS443" s="1689"/>
      <c r="AT443" s="1721">
        <f t="shared" si="116"/>
        <v>0</v>
      </c>
      <c r="AU443" s="1679">
        <f t="shared" si="117"/>
        <v>0</v>
      </c>
      <c r="AV443" s="935"/>
      <c r="AW443" s="935"/>
      <c r="AX443" s="935"/>
      <c r="AY443" s="722"/>
      <c r="AZ443" s="722"/>
      <c r="BA443" s="722"/>
      <c r="BB443" s="722"/>
      <c r="BC443" s="722"/>
      <c r="BD443" s="722"/>
      <c r="BE443" s="706"/>
      <c r="BF443" s="706"/>
      <c r="BG443" s="694"/>
    </row>
    <row r="444" spans="1:59" ht="15.75" x14ac:dyDescent="0.25">
      <c r="A444" s="1883"/>
      <c r="B444" s="1748"/>
      <c r="C444" s="1884"/>
      <c r="D444" s="1884"/>
      <c r="E444" s="1726">
        <f t="shared" si="114"/>
        <v>0</v>
      </c>
      <c r="F444" s="1722"/>
      <c r="G444" s="1727"/>
      <c r="H444" s="1728"/>
      <c r="I444" s="1729"/>
      <c r="J444" s="1729"/>
      <c r="K444" s="1730"/>
      <c r="L444" s="1734">
        <f t="shared" si="118"/>
        <v>0</v>
      </c>
      <c r="M444" s="1735">
        <f t="shared" si="119"/>
        <v>0</v>
      </c>
      <c r="N444" s="1730"/>
      <c r="O444" s="1730"/>
      <c r="P444" s="1730"/>
      <c r="Q444" s="1730"/>
      <c r="R444" s="1730"/>
      <c r="S444" s="1730"/>
      <c r="T444" s="1730"/>
      <c r="U444" s="1730"/>
      <c r="V444" s="1730"/>
      <c r="W444" s="1730"/>
      <c r="X444" s="1903">
        <f t="shared" si="115"/>
        <v>0</v>
      </c>
      <c r="Y444" s="1733">
        <f t="shared" si="120"/>
        <v>0</v>
      </c>
      <c r="Z444" s="528"/>
      <c r="AA444" s="1620"/>
      <c r="AB444" s="1616"/>
      <c r="AC444" s="1616"/>
      <c r="AD444" s="1616"/>
      <c r="AE444" s="1616"/>
      <c r="AF444" s="1587"/>
      <c r="AG444" s="1587"/>
      <c r="AH444" s="1587"/>
      <c r="AI444" s="1587"/>
      <c r="AJ444" s="1587"/>
      <c r="AK444" s="1589"/>
      <c r="AL444" s="1590"/>
      <c r="AM444" s="1590"/>
      <c r="AN444" s="1590"/>
      <c r="AO444" s="1597"/>
      <c r="AP444" s="1607"/>
      <c r="AQ444" s="1581"/>
      <c r="AR444" s="1582"/>
      <c r="AS444" s="1689"/>
      <c r="AT444" s="1721">
        <f t="shared" si="116"/>
        <v>0</v>
      </c>
      <c r="AU444" s="1679">
        <f t="shared" si="117"/>
        <v>0</v>
      </c>
      <c r="AV444" s="935"/>
      <c r="AW444" s="935"/>
      <c r="AX444" s="935"/>
      <c r="AY444" s="722"/>
      <c r="AZ444" s="722"/>
      <c r="BA444" s="722"/>
      <c r="BB444" s="722"/>
      <c r="BC444" s="722"/>
      <c r="BD444" s="722"/>
      <c r="BE444" s="706"/>
      <c r="BF444" s="706"/>
      <c r="BG444" s="694"/>
    </row>
    <row r="445" spans="1:59" ht="15.75" x14ac:dyDescent="0.25">
      <c r="A445" s="1883"/>
      <c r="B445" s="1748"/>
      <c r="C445" s="1884"/>
      <c r="D445" s="1884"/>
      <c r="E445" s="1726">
        <f t="shared" si="114"/>
        <v>0</v>
      </c>
      <c r="F445" s="1722"/>
      <c r="G445" s="1727"/>
      <c r="H445" s="1728"/>
      <c r="I445" s="1729"/>
      <c r="J445" s="1729"/>
      <c r="K445" s="1730"/>
      <c r="L445" s="1734">
        <f t="shared" si="118"/>
        <v>0</v>
      </c>
      <c r="M445" s="1735">
        <f t="shared" si="119"/>
        <v>0</v>
      </c>
      <c r="N445" s="1730"/>
      <c r="O445" s="1730"/>
      <c r="P445" s="1730"/>
      <c r="Q445" s="1730"/>
      <c r="R445" s="1730"/>
      <c r="S445" s="1730"/>
      <c r="T445" s="1730"/>
      <c r="U445" s="1730"/>
      <c r="V445" s="1730"/>
      <c r="W445" s="1730"/>
      <c r="X445" s="1903">
        <f t="shared" si="115"/>
        <v>0</v>
      </c>
      <c r="Y445" s="1733">
        <f t="shared" si="120"/>
        <v>0</v>
      </c>
      <c r="Z445" s="528"/>
      <c r="AA445" s="1620"/>
      <c r="AB445" s="1616"/>
      <c r="AC445" s="1616"/>
      <c r="AD445" s="1616"/>
      <c r="AE445" s="1616"/>
      <c r="AF445" s="1587"/>
      <c r="AG445" s="1587"/>
      <c r="AH445" s="1587"/>
      <c r="AI445" s="1587"/>
      <c r="AJ445" s="1587"/>
      <c r="AK445" s="1589"/>
      <c r="AL445" s="1590"/>
      <c r="AM445" s="1590"/>
      <c r="AN445" s="1590"/>
      <c r="AO445" s="1597"/>
      <c r="AP445" s="1607"/>
      <c r="AQ445" s="1581"/>
      <c r="AR445" s="1582"/>
      <c r="AS445" s="1689"/>
      <c r="AT445" s="1721">
        <f t="shared" si="116"/>
        <v>0</v>
      </c>
      <c r="AU445" s="1679">
        <f t="shared" si="117"/>
        <v>0</v>
      </c>
      <c r="AV445" s="935"/>
      <c r="AW445" s="935"/>
      <c r="AX445" s="935"/>
      <c r="AY445" s="722"/>
      <c r="AZ445" s="722"/>
      <c r="BA445" s="722"/>
      <c r="BB445" s="722"/>
      <c r="BC445" s="722"/>
      <c r="BD445" s="722"/>
      <c r="BE445" s="706"/>
      <c r="BF445" s="706"/>
      <c r="BG445" s="694"/>
    </row>
    <row r="446" spans="1:59" ht="15.75" x14ac:dyDescent="0.25">
      <c r="A446" s="1883"/>
      <c r="B446" s="1748"/>
      <c r="C446" s="1884"/>
      <c r="D446" s="1884"/>
      <c r="E446" s="1726">
        <f t="shared" si="114"/>
        <v>0</v>
      </c>
      <c r="F446" s="1722"/>
      <c r="G446" s="1727"/>
      <c r="H446" s="1728"/>
      <c r="I446" s="1729"/>
      <c r="J446" s="1729"/>
      <c r="K446" s="1730"/>
      <c r="L446" s="1734">
        <f t="shared" si="118"/>
        <v>0</v>
      </c>
      <c r="M446" s="1735">
        <f t="shared" si="119"/>
        <v>0</v>
      </c>
      <c r="N446" s="1730"/>
      <c r="O446" s="1730"/>
      <c r="P446" s="1730"/>
      <c r="Q446" s="1730"/>
      <c r="R446" s="1730"/>
      <c r="S446" s="1730"/>
      <c r="T446" s="1730"/>
      <c r="U446" s="1730"/>
      <c r="V446" s="1730"/>
      <c r="W446" s="1730"/>
      <c r="X446" s="1903">
        <f t="shared" si="115"/>
        <v>0</v>
      </c>
      <c r="Y446" s="1733">
        <f t="shared" si="120"/>
        <v>0</v>
      </c>
      <c r="Z446" s="528"/>
      <c r="AA446" s="1620"/>
      <c r="AB446" s="1616"/>
      <c r="AC446" s="1616"/>
      <c r="AD446" s="1616"/>
      <c r="AE446" s="1616"/>
      <c r="AF446" s="1587"/>
      <c r="AG446" s="1587"/>
      <c r="AH446" s="1587"/>
      <c r="AI446" s="1587"/>
      <c r="AJ446" s="1587"/>
      <c r="AK446" s="1589"/>
      <c r="AL446" s="1590"/>
      <c r="AM446" s="1590"/>
      <c r="AN446" s="1590"/>
      <c r="AO446" s="1597"/>
      <c r="AP446" s="1607"/>
      <c r="AQ446" s="1581"/>
      <c r="AR446" s="1582"/>
      <c r="AS446" s="1689"/>
      <c r="AT446" s="1721">
        <f t="shared" si="116"/>
        <v>0</v>
      </c>
      <c r="AU446" s="1679">
        <f t="shared" si="117"/>
        <v>0</v>
      </c>
      <c r="AV446" s="935"/>
      <c r="AW446" s="935"/>
      <c r="AX446" s="935"/>
      <c r="AY446" s="722"/>
      <c r="AZ446" s="722"/>
      <c r="BA446" s="722"/>
      <c r="BB446" s="722"/>
      <c r="BC446" s="722"/>
      <c r="BD446" s="722"/>
      <c r="BE446" s="706"/>
      <c r="BF446" s="706"/>
      <c r="BG446" s="694"/>
    </row>
    <row r="447" spans="1:59" ht="15.75" x14ac:dyDescent="0.25">
      <c r="A447" s="1883"/>
      <c r="B447" s="1748"/>
      <c r="C447" s="1884"/>
      <c r="D447" s="1884"/>
      <c r="E447" s="1726">
        <f t="shared" si="114"/>
        <v>0</v>
      </c>
      <c r="F447" s="1722"/>
      <c r="G447" s="1727"/>
      <c r="H447" s="1728"/>
      <c r="I447" s="1729"/>
      <c r="J447" s="1729"/>
      <c r="K447" s="1730"/>
      <c r="L447" s="1734">
        <f t="shared" si="118"/>
        <v>0</v>
      </c>
      <c r="M447" s="1735">
        <f t="shared" si="119"/>
        <v>0</v>
      </c>
      <c r="N447" s="1730"/>
      <c r="O447" s="1730"/>
      <c r="P447" s="1730"/>
      <c r="Q447" s="1730"/>
      <c r="R447" s="1730"/>
      <c r="S447" s="1730"/>
      <c r="T447" s="1730"/>
      <c r="U447" s="1730"/>
      <c r="V447" s="1730"/>
      <c r="W447" s="1730"/>
      <c r="X447" s="1903">
        <f t="shared" si="115"/>
        <v>0</v>
      </c>
      <c r="Y447" s="1733">
        <f t="shared" si="120"/>
        <v>0</v>
      </c>
      <c r="Z447" s="528"/>
      <c r="AA447" s="1620"/>
      <c r="AB447" s="1616"/>
      <c r="AC447" s="1616"/>
      <c r="AD447" s="1616"/>
      <c r="AE447" s="1616"/>
      <c r="AF447" s="1587"/>
      <c r="AG447" s="1587"/>
      <c r="AH447" s="1587"/>
      <c r="AI447" s="1587"/>
      <c r="AJ447" s="1587"/>
      <c r="AK447" s="1589"/>
      <c r="AL447" s="1590"/>
      <c r="AM447" s="1590"/>
      <c r="AN447" s="1590"/>
      <c r="AO447" s="1597"/>
      <c r="AP447" s="1607"/>
      <c r="AQ447" s="1581"/>
      <c r="AR447" s="1582"/>
      <c r="AS447" s="1689"/>
      <c r="AT447" s="1721">
        <f t="shared" si="116"/>
        <v>0</v>
      </c>
      <c r="AU447" s="1679">
        <f t="shared" si="117"/>
        <v>0</v>
      </c>
      <c r="AV447" s="935"/>
      <c r="AW447" s="935"/>
      <c r="AX447" s="935"/>
      <c r="AY447" s="722"/>
      <c r="AZ447" s="722"/>
      <c r="BA447" s="722"/>
      <c r="BB447" s="722"/>
      <c r="BC447" s="722"/>
      <c r="BD447" s="722"/>
      <c r="BE447" s="706"/>
      <c r="BF447" s="706"/>
      <c r="BG447" s="694"/>
    </row>
    <row r="448" spans="1:59" ht="15.75" x14ac:dyDescent="0.25">
      <c r="A448" s="1883"/>
      <c r="B448" s="1748"/>
      <c r="C448" s="1884"/>
      <c r="D448" s="1884"/>
      <c r="E448" s="1726">
        <f t="shared" si="114"/>
        <v>0</v>
      </c>
      <c r="F448" s="1722"/>
      <c r="G448" s="1727"/>
      <c r="H448" s="1728"/>
      <c r="I448" s="1729"/>
      <c r="J448" s="1729"/>
      <c r="K448" s="1730"/>
      <c r="L448" s="1734">
        <f t="shared" si="118"/>
        <v>0</v>
      </c>
      <c r="M448" s="1735">
        <f t="shared" si="119"/>
        <v>0</v>
      </c>
      <c r="N448" s="1730"/>
      <c r="O448" s="1730"/>
      <c r="P448" s="1730"/>
      <c r="Q448" s="1730"/>
      <c r="R448" s="1730"/>
      <c r="S448" s="1730"/>
      <c r="T448" s="1730"/>
      <c r="U448" s="1730"/>
      <c r="V448" s="1730"/>
      <c r="W448" s="1730"/>
      <c r="X448" s="1903">
        <f t="shared" si="115"/>
        <v>0</v>
      </c>
      <c r="Y448" s="1733">
        <f t="shared" si="120"/>
        <v>0</v>
      </c>
      <c r="Z448" s="528"/>
      <c r="AA448" s="1620"/>
      <c r="AB448" s="1616"/>
      <c r="AC448" s="1616"/>
      <c r="AD448" s="1616"/>
      <c r="AE448" s="1616"/>
      <c r="AF448" s="1587"/>
      <c r="AG448" s="1587"/>
      <c r="AH448" s="1587"/>
      <c r="AI448" s="1587"/>
      <c r="AJ448" s="1587"/>
      <c r="AK448" s="1589"/>
      <c r="AL448" s="1590"/>
      <c r="AM448" s="1590"/>
      <c r="AN448" s="1590"/>
      <c r="AO448" s="1597"/>
      <c r="AP448" s="1607"/>
      <c r="AQ448" s="1581"/>
      <c r="AR448" s="1582"/>
      <c r="AS448" s="1689"/>
      <c r="AT448" s="1721">
        <f t="shared" si="116"/>
        <v>0</v>
      </c>
      <c r="AU448" s="1679">
        <f t="shared" si="117"/>
        <v>0</v>
      </c>
      <c r="AV448" s="935"/>
      <c r="AW448" s="935"/>
      <c r="AX448" s="935"/>
      <c r="AY448" s="722"/>
      <c r="AZ448" s="722"/>
      <c r="BA448" s="722"/>
      <c r="BB448" s="722"/>
      <c r="BC448" s="722"/>
      <c r="BD448" s="722"/>
      <c r="BE448" s="706"/>
      <c r="BF448" s="706"/>
      <c r="BG448" s="694"/>
    </row>
    <row r="449" spans="1:59" ht="15.75" x14ac:dyDescent="0.25">
      <c r="A449" s="1883"/>
      <c r="B449" s="1748"/>
      <c r="C449" s="1884"/>
      <c r="D449" s="1884"/>
      <c r="E449" s="1726">
        <f t="shared" si="114"/>
        <v>0</v>
      </c>
      <c r="F449" s="1722"/>
      <c r="G449" s="1727"/>
      <c r="H449" s="1728"/>
      <c r="I449" s="1729"/>
      <c r="J449" s="1729"/>
      <c r="K449" s="1730"/>
      <c r="L449" s="1734">
        <f t="shared" si="118"/>
        <v>0</v>
      </c>
      <c r="M449" s="1735">
        <f t="shared" si="119"/>
        <v>0</v>
      </c>
      <c r="N449" s="1730"/>
      <c r="O449" s="1730"/>
      <c r="P449" s="1730"/>
      <c r="Q449" s="1730"/>
      <c r="R449" s="1730"/>
      <c r="S449" s="1730"/>
      <c r="T449" s="1730"/>
      <c r="U449" s="1730"/>
      <c r="V449" s="1730"/>
      <c r="W449" s="1730"/>
      <c r="X449" s="1903">
        <f t="shared" si="115"/>
        <v>0</v>
      </c>
      <c r="Y449" s="1733">
        <f t="shared" si="120"/>
        <v>0</v>
      </c>
      <c r="Z449" s="528"/>
      <c r="AA449" s="1620"/>
      <c r="AB449" s="1616"/>
      <c r="AC449" s="1616"/>
      <c r="AD449" s="1616"/>
      <c r="AE449" s="1616"/>
      <c r="AF449" s="1587"/>
      <c r="AG449" s="1587"/>
      <c r="AH449" s="1587"/>
      <c r="AI449" s="1587"/>
      <c r="AJ449" s="1587"/>
      <c r="AK449" s="1589"/>
      <c r="AL449" s="1590"/>
      <c r="AM449" s="1590"/>
      <c r="AN449" s="1590"/>
      <c r="AO449" s="1597"/>
      <c r="AP449" s="1607"/>
      <c r="AQ449" s="1581"/>
      <c r="AR449" s="1582"/>
      <c r="AS449" s="1689"/>
      <c r="AT449" s="1721">
        <f t="shared" si="116"/>
        <v>0</v>
      </c>
      <c r="AU449" s="1679">
        <f t="shared" si="117"/>
        <v>0</v>
      </c>
      <c r="AV449" s="935"/>
      <c r="AW449" s="935"/>
      <c r="AX449" s="935"/>
      <c r="AY449" s="722"/>
      <c r="AZ449" s="722"/>
      <c r="BA449" s="722"/>
      <c r="BB449" s="722"/>
      <c r="BC449" s="722"/>
      <c r="BD449" s="722"/>
      <c r="BE449" s="706"/>
      <c r="BF449" s="706"/>
      <c r="BG449" s="694"/>
    </row>
    <row r="450" spans="1:59" ht="15.75" x14ac:dyDescent="0.25">
      <c r="A450" s="1883"/>
      <c r="B450" s="1748"/>
      <c r="C450" s="1884"/>
      <c r="D450" s="1884"/>
      <c r="E450" s="1726">
        <f t="shared" si="114"/>
        <v>0</v>
      </c>
      <c r="F450" s="1722"/>
      <c r="G450" s="1727"/>
      <c r="H450" s="1728"/>
      <c r="I450" s="1729"/>
      <c r="J450" s="1729"/>
      <c r="K450" s="1730"/>
      <c r="L450" s="1734">
        <f t="shared" si="118"/>
        <v>0</v>
      </c>
      <c r="M450" s="1735">
        <f t="shared" si="119"/>
        <v>0</v>
      </c>
      <c r="N450" s="1730"/>
      <c r="O450" s="1730"/>
      <c r="P450" s="1730"/>
      <c r="Q450" s="1730"/>
      <c r="R450" s="1730"/>
      <c r="S450" s="1730"/>
      <c r="T450" s="1730"/>
      <c r="U450" s="1730"/>
      <c r="V450" s="1730"/>
      <c r="W450" s="1730"/>
      <c r="X450" s="1903">
        <f t="shared" si="115"/>
        <v>0</v>
      </c>
      <c r="Y450" s="1733">
        <f t="shared" si="120"/>
        <v>0</v>
      </c>
      <c r="Z450" s="528"/>
      <c r="AA450" s="1620"/>
      <c r="AB450" s="1616"/>
      <c r="AC450" s="1616"/>
      <c r="AD450" s="1616"/>
      <c r="AE450" s="1616"/>
      <c r="AF450" s="1587"/>
      <c r="AG450" s="1587"/>
      <c r="AH450" s="1587"/>
      <c r="AI450" s="1587"/>
      <c r="AJ450" s="1587"/>
      <c r="AK450" s="1589"/>
      <c r="AL450" s="1590"/>
      <c r="AM450" s="1590"/>
      <c r="AN450" s="1590"/>
      <c r="AO450" s="1597"/>
      <c r="AP450" s="1607"/>
      <c r="AQ450" s="1581"/>
      <c r="AR450" s="1582"/>
      <c r="AS450" s="1689"/>
      <c r="AT450" s="1721">
        <f t="shared" si="116"/>
        <v>0</v>
      </c>
      <c r="AU450" s="1679">
        <f t="shared" si="117"/>
        <v>0</v>
      </c>
      <c r="AV450" s="935"/>
      <c r="AW450" s="935"/>
      <c r="AX450" s="935"/>
      <c r="AY450" s="722"/>
      <c r="AZ450" s="722"/>
      <c r="BA450" s="722"/>
      <c r="BB450" s="722"/>
      <c r="BC450" s="722"/>
      <c r="BD450" s="722"/>
      <c r="BE450" s="706"/>
      <c r="BF450" s="706"/>
      <c r="BG450" s="694"/>
    </row>
    <row r="451" spans="1:59" ht="15.75" x14ac:dyDescent="0.25">
      <c r="A451" s="1883"/>
      <c r="B451" s="1748"/>
      <c r="C451" s="1884"/>
      <c r="D451" s="1884"/>
      <c r="E451" s="1726">
        <f t="shared" si="114"/>
        <v>0</v>
      </c>
      <c r="F451" s="1722"/>
      <c r="G451" s="1727"/>
      <c r="H451" s="1728"/>
      <c r="I451" s="1729"/>
      <c r="J451" s="1729"/>
      <c r="K451" s="1730"/>
      <c r="L451" s="1734">
        <f t="shared" si="118"/>
        <v>0</v>
      </c>
      <c r="M451" s="1735">
        <f t="shared" si="119"/>
        <v>0</v>
      </c>
      <c r="N451" s="1730"/>
      <c r="O451" s="1730"/>
      <c r="P451" s="1730"/>
      <c r="Q451" s="1730"/>
      <c r="R451" s="1730"/>
      <c r="S451" s="1730"/>
      <c r="T451" s="1730"/>
      <c r="U451" s="1730"/>
      <c r="V451" s="1730"/>
      <c r="W451" s="1730"/>
      <c r="X451" s="1903">
        <f t="shared" si="115"/>
        <v>0</v>
      </c>
      <c r="Y451" s="1733">
        <f t="shared" si="120"/>
        <v>0</v>
      </c>
      <c r="Z451" s="528"/>
      <c r="AA451" s="1620"/>
      <c r="AB451" s="1616"/>
      <c r="AC451" s="1616"/>
      <c r="AD451" s="1616"/>
      <c r="AE451" s="1616"/>
      <c r="AF451" s="1587"/>
      <c r="AG451" s="1587"/>
      <c r="AH451" s="1587"/>
      <c r="AI451" s="1587"/>
      <c r="AJ451" s="1587"/>
      <c r="AK451" s="1589"/>
      <c r="AL451" s="1590"/>
      <c r="AM451" s="1590"/>
      <c r="AN451" s="1590"/>
      <c r="AO451" s="1597"/>
      <c r="AP451" s="1607"/>
      <c r="AQ451" s="1581"/>
      <c r="AR451" s="1582"/>
      <c r="AS451" s="1689"/>
      <c r="AT451" s="1721">
        <f t="shared" si="116"/>
        <v>0</v>
      </c>
      <c r="AU451" s="1679">
        <f t="shared" si="117"/>
        <v>0</v>
      </c>
      <c r="AV451" s="935"/>
      <c r="AW451" s="935"/>
      <c r="AX451" s="935"/>
      <c r="AY451" s="722"/>
      <c r="AZ451" s="722"/>
      <c r="BA451" s="722"/>
      <c r="BB451" s="722"/>
      <c r="BC451" s="722"/>
      <c r="BD451" s="722"/>
      <c r="BE451" s="706"/>
      <c r="BF451" s="706"/>
      <c r="BG451" s="694"/>
    </row>
    <row r="452" spans="1:59" ht="15.75" x14ac:dyDescent="0.25">
      <c r="A452" s="1883"/>
      <c r="B452" s="1748"/>
      <c r="C452" s="1884"/>
      <c r="D452" s="1884"/>
      <c r="E452" s="1726">
        <f t="shared" si="114"/>
        <v>0</v>
      </c>
      <c r="F452" s="1722"/>
      <c r="G452" s="1727"/>
      <c r="H452" s="1728"/>
      <c r="I452" s="1729"/>
      <c r="J452" s="1729"/>
      <c r="K452" s="1730"/>
      <c r="L452" s="1734">
        <f t="shared" si="118"/>
        <v>0</v>
      </c>
      <c r="M452" s="1735">
        <f t="shared" si="119"/>
        <v>0</v>
      </c>
      <c r="N452" s="1730"/>
      <c r="O452" s="1730"/>
      <c r="P452" s="1730"/>
      <c r="Q452" s="1730"/>
      <c r="R452" s="1730"/>
      <c r="S452" s="1730"/>
      <c r="T452" s="1730"/>
      <c r="U452" s="1730"/>
      <c r="V452" s="1730"/>
      <c r="W452" s="1730"/>
      <c r="X452" s="1903">
        <f t="shared" si="115"/>
        <v>0</v>
      </c>
      <c r="Y452" s="1733">
        <f t="shared" si="120"/>
        <v>0</v>
      </c>
      <c r="Z452" s="528"/>
      <c r="AA452" s="1620"/>
      <c r="AB452" s="1616"/>
      <c r="AC452" s="1616"/>
      <c r="AD452" s="1616"/>
      <c r="AE452" s="1616"/>
      <c r="AF452" s="1587"/>
      <c r="AG452" s="1587"/>
      <c r="AH452" s="1587"/>
      <c r="AI452" s="1587"/>
      <c r="AJ452" s="1587"/>
      <c r="AK452" s="1589"/>
      <c r="AL452" s="1590"/>
      <c r="AM452" s="1590"/>
      <c r="AN452" s="1590"/>
      <c r="AO452" s="1597"/>
      <c r="AP452" s="1607"/>
      <c r="AQ452" s="1581"/>
      <c r="AR452" s="1582"/>
      <c r="AS452" s="1689"/>
      <c r="AT452" s="1721">
        <f t="shared" si="116"/>
        <v>0</v>
      </c>
      <c r="AU452" s="1679">
        <f t="shared" si="117"/>
        <v>0</v>
      </c>
      <c r="AV452" s="935"/>
      <c r="AW452" s="935"/>
      <c r="AX452" s="935"/>
      <c r="AY452" s="722"/>
      <c r="AZ452" s="722"/>
      <c r="BA452" s="722"/>
      <c r="BB452" s="722"/>
      <c r="BC452" s="722"/>
      <c r="BD452" s="722"/>
      <c r="BE452" s="706"/>
      <c r="BF452" s="706"/>
      <c r="BG452" s="694"/>
    </row>
    <row r="453" spans="1:59" ht="15.75" x14ac:dyDescent="0.25">
      <c r="A453" s="1883"/>
      <c r="B453" s="1748"/>
      <c r="C453" s="1884"/>
      <c r="D453" s="1884"/>
      <c r="E453" s="1726">
        <f t="shared" si="114"/>
        <v>0</v>
      </c>
      <c r="F453" s="1722"/>
      <c r="G453" s="1727"/>
      <c r="H453" s="1728"/>
      <c r="I453" s="1729"/>
      <c r="J453" s="1729"/>
      <c r="K453" s="1730"/>
      <c r="L453" s="1734">
        <f t="shared" si="118"/>
        <v>0</v>
      </c>
      <c r="M453" s="1735">
        <f t="shared" si="119"/>
        <v>0</v>
      </c>
      <c r="N453" s="1730"/>
      <c r="O453" s="1730"/>
      <c r="P453" s="1730"/>
      <c r="Q453" s="1730"/>
      <c r="R453" s="1730"/>
      <c r="S453" s="1730"/>
      <c r="T453" s="1730"/>
      <c r="U453" s="1730"/>
      <c r="V453" s="1730"/>
      <c r="W453" s="1730"/>
      <c r="X453" s="1903">
        <f t="shared" si="115"/>
        <v>0</v>
      </c>
      <c r="Y453" s="1733">
        <f t="shared" si="120"/>
        <v>0</v>
      </c>
      <c r="Z453" s="528"/>
      <c r="AA453" s="1620"/>
      <c r="AB453" s="1616"/>
      <c r="AC453" s="1616"/>
      <c r="AD453" s="1616"/>
      <c r="AE453" s="1616"/>
      <c r="AF453" s="1587"/>
      <c r="AG453" s="1587"/>
      <c r="AH453" s="1587"/>
      <c r="AI453" s="1587"/>
      <c r="AJ453" s="1587"/>
      <c r="AK453" s="1589"/>
      <c r="AL453" s="1590"/>
      <c r="AM453" s="1590"/>
      <c r="AN453" s="1590"/>
      <c r="AO453" s="1597"/>
      <c r="AP453" s="1607"/>
      <c r="AQ453" s="1581"/>
      <c r="AR453" s="1582"/>
      <c r="AS453" s="1689"/>
      <c r="AT453" s="1721">
        <f t="shared" si="116"/>
        <v>0</v>
      </c>
      <c r="AU453" s="1679">
        <f t="shared" si="117"/>
        <v>0</v>
      </c>
      <c r="AV453" s="935"/>
      <c r="AW453" s="935"/>
      <c r="AX453" s="935"/>
      <c r="AY453" s="722"/>
      <c r="AZ453" s="722"/>
      <c r="BA453" s="722"/>
      <c r="BB453" s="722"/>
      <c r="BC453" s="722"/>
      <c r="BD453" s="722"/>
      <c r="BE453" s="706"/>
      <c r="BF453" s="706"/>
      <c r="BG453" s="694"/>
    </row>
    <row r="454" spans="1:59" ht="15.75" x14ac:dyDescent="0.25">
      <c r="A454" s="1883"/>
      <c r="B454" s="1748"/>
      <c r="C454" s="1884"/>
      <c r="D454" s="1884"/>
      <c r="E454" s="1726">
        <f t="shared" si="114"/>
        <v>0</v>
      </c>
      <c r="F454" s="1722"/>
      <c r="G454" s="1727"/>
      <c r="H454" s="1728"/>
      <c r="I454" s="1729"/>
      <c r="J454" s="1729"/>
      <c r="K454" s="1730"/>
      <c r="L454" s="1734">
        <f t="shared" si="118"/>
        <v>0</v>
      </c>
      <c r="M454" s="1735">
        <f t="shared" si="119"/>
        <v>0</v>
      </c>
      <c r="N454" s="1730"/>
      <c r="O454" s="1730"/>
      <c r="P454" s="1730"/>
      <c r="Q454" s="1730"/>
      <c r="R454" s="1730"/>
      <c r="S454" s="1730"/>
      <c r="T454" s="1730"/>
      <c r="U454" s="1730"/>
      <c r="V454" s="1730"/>
      <c r="W454" s="1730"/>
      <c r="X454" s="1903">
        <f t="shared" si="115"/>
        <v>0</v>
      </c>
      <c r="Y454" s="1733">
        <f t="shared" si="120"/>
        <v>0</v>
      </c>
      <c r="Z454" s="528"/>
      <c r="AA454" s="1620"/>
      <c r="AB454" s="1616"/>
      <c r="AC454" s="1616"/>
      <c r="AD454" s="1616"/>
      <c r="AE454" s="1616"/>
      <c r="AF454" s="1587"/>
      <c r="AG454" s="1587"/>
      <c r="AH454" s="1587"/>
      <c r="AI454" s="1587"/>
      <c r="AJ454" s="1587"/>
      <c r="AK454" s="1589"/>
      <c r="AL454" s="1590"/>
      <c r="AM454" s="1590"/>
      <c r="AN454" s="1590"/>
      <c r="AO454" s="1597"/>
      <c r="AP454" s="1607"/>
      <c r="AQ454" s="1581"/>
      <c r="AR454" s="1582"/>
      <c r="AS454" s="1689"/>
      <c r="AT454" s="1721">
        <f t="shared" si="116"/>
        <v>0</v>
      </c>
      <c r="AU454" s="1679">
        <f t="shared" si="117"/>
        <v>0</v>
      </c>
      <c r="AV454" s="935"/>
      <c r="AW454" s="935"/>
      <c r="AX454" s="935"/>
      <c r="AY454" s="722"/>
      <c r="AZ454" s="722"/>
      <c r="BA454" s="722"/>
      <c r="BB454" s="722"/>
      <c r="BC454" s="722"/>
      <c r="BD454" s="722"/>
      <c r="BE454" s="706"/>
      <c r="BF454" s="706"/>
      <c r="BG454" s="694"/>
    </row>
    <row r="455" spans="1:59" ht="15.75" x14ac:dyDescent="0.25">
      <c r="A455" s="1883"/>
      <c r="B455" s="1748"/>
      <c r="C455" s="1884"/>
      <c r="D455" s="1884"/>
      <c r="E455" s="1726">
        <f t="shared" si="114"/>
        <v>0</v>
      </c>
      <c r="F455" s="1722"/>
      <c r="G455" s="1727"/>
      <c r="H455" s="1728"/>
      <c r="I455" s="1729"/>
      <c r="J455" s="1729"/>
      <c r="K455" s="1730"/>
      <c r="L455" s="1734">
        <f t="shared" si="118"/>
        <v>0</v>
      </c>
      <c r="M455" s="1735">
        <f t="shared" si="119"/>
        <v>0</v>
      </c>
      <c r="N455" s="1730"/>
      <c r="O455" s="1730"/>
      <c r="P455" s="1730"/>
      <c r="Q455" s="1730"/>
      <c r="R455" s="1730"/>
      <c r="S455" s="1730"/>
      <c r="T455" s="1730"/>
      <c r="U455" s="1730"/>
      <c r="V455" s="1730"/>
      <c r="W455" s="1730"/>
      <c r="X455" s="1903">
        <f t="shared" si="115"/>
        <v>0</v>
      </c>
      <c r="Y455" s="1733">
        <f t="shared" si="120"/>
        <v>0</v>
      </c>
      <c r="Z455" s="528"/>
      <c r="AA455" s="1620"/>
      <c r="AB455" s="1616"/>
      <c r="AC455" s="1616"/>
      <c r="AD455" s="1616"/>
      <c r="AE455" s="1616"/>
      <c r="AF455" s="1587"/>
      <c r="AG455" s="1587"/>
      <c r="AH455" s="1587"/>
      <c r="AI455" s="1587"/>
      <c r="AJ455" s="1587"/>
      <c r="AK455" s="1589"/>
      <c r="AL455" s="1590"/>
      <c r="AM455" s="1590"/>
      <c r="AN455" s="1590"/>
      <c r="AO455" s="1597"/>
      <c r="AP455" s="1607"/>
      <c r="AQ455" s="1581"/>
      <c r="AR455" s="1582"/>
      <c r="AS455" s="1689"/>
      <c r="AT455" s="1721">
        <f t="shared" si="116"/>
        <v>0</v>
      </c>
      <c r="AU455" s="1679">
        <f t="shared" si="117"/>
        <v>0</v>
      </c>
      <c r="AV455" s="935"/>
      <c r="AW455" s="935"/>
      <c r="AX455" s="935"/>
      <c r="AY455" s="722"/>
      <c r="AZ455" s="722"/>
      <c r="BA455" s="722"/>
      <c r="BB455" s="722"/>
      <c r="BC455" s="722"/>
      <c r="BD455" s="722"/>
      <c r="BE455" s="706"/>
      <c r="BF455" s="706"/>
      <c r="BG455" s="694"/>
    </row>
    <row r="456" spans="1:59" ht="15.75" x14ac:dyDescent="0.25">
      <c r="A456" s="1883"/>
      <c r="B456" s="1748"/>
      <c r="C456" s="1884"/>
      <c r="D456" s="1884"/>
      <c r="E456" s="1726">
        <f t="shared" si="114"/>
        <v>0</v>
      </c>
      <c r="F456" s="1722"/>
      <c r="G456" s="1727"/>
      <c r="H456" s="1728"/>
      <c r="I456" s="1729"/>
      <c r="J456" s="1729"/>
      <c r="K456" s="1730"/>
      <c r="L456" s="1734">
        <f t="shared" si="118"/>
        <v>0</v>
      </c>
      <c r="M456" s="1735">
        <f t="shared" si="119"/>
        <v>0</v>
      </c>
      <c r="N456" s="1730"/>
      <c r="O456" s="1730"/>
      <c r="P456" s="1730"/>
      <c r="Q456" s="1730"/>
      <c r="R456" s="1730"/>
      <c r="S456" s="1730"/>
      <c r="T456" s="1730"/>
      <c r="U456" s="1730"/>
      <c r="V456" s="1730"/>
      <c r="W456" s="1730"/>
      <c r="X456" s="1903">
        <f t="shared" si="115"/>
        <v>0</v>
      </c>
      <c r="Y456" s="1733">
        <f t="shared" si="120"/>
        <v>0</v>
      </c>
      <c r="Z456" s="528"/>
      <c r="AA456" s="1620"/>
      <c r="AB456" s="1616"/>
      <c r="AC456" s="1616"/>
      <c r="AD456" s="1616"/>
      <c r="AE456" s="1616"/>
      <c r="AF456" s="1587"/>
      <c r="AG456" s="1587"/>
      <c r="AH456" s="1587"/>
      <c r="AI456" s="1587"/>
      <c r="AJ456" s="1587"/>
      <c r="AK456" s="1589"/>
      <c r="AL456" s="1590"/>
      <c r="AM456" s="1590"/>
      <c r="AN456" s="1590"/>
      <c r="AO456" s="1597"/>
      <c r="AP456" s="1607"/>
      <c r="AQ456" s="1581"/>
      <c r="AR456" s="1582"/>
      <c r="AS456" s="1689"/>
      <c r="AT456" s="1721">
        <f t="shared" si="116"/>
        <v>0</v>
      </c>
      <c r="AU456" s="1679">
        <f t="shared" si="117"/>
        <v>0</v>
      </c>
      <c r="AV456" s="935"/>
      <c r="AW456" s="935"/>
      <c r="AX456" s="935"/>
      <c r="AY456" s="722"/>
      <c r="AZ456" s="722"/>
      <c r="BA456" s="722"/>
      <c r="BB456" s="722"/>
      <c r="BC456" s="722"/>
      <c r="BD456" s="722"/>
      <c r="BE456" s="706"/>
      <c r="BF456" s="706"/>
      <c r="BG456" s="694"/>
    </row>
    <row r="457" spans="1:59" ht="15.75" x14ac:dyDescent="0.25">
      <c r="A457" s="1883"/>
      <c r="B457" s="1748"/>
      <c r="C457" s="1884"/>
      <c r="D457" s="1884"/>
      <c r="E457" s="1726">
        <f t="shared" si="114"/>
        <v>0</v>
      </c>
      <c r="F457" s="1722"/>
      <c r="G457" s="1727"/>
      <c r="H457" s="1728"/>
      <c r="I457" s="1729"/>
      <c r="J457" s="1729"/>
      <c r="K457" s="1730"/>
      <c r="L457" s="1734">
        <f t="shared" si="118"/>
        <v>0</v>
      </c>
      <c r="M457" s="1735">
        <f t="shared" si="119"/>
        <v>0</v>
      </c>
      <c r="N457" s="1730"/>
      <c r="O457" s="1730"/>
      <c r="P457" s="1730"/>
      <c r="Q457" s="1730"/>
      <c r="R457" s="1730"/>
      <c r="S457" s="1730"/>
      <c r="T457" s="1730"/>
      <c r="U457" s="1730"/>
      <c r="V457" s="1730"/>
      <c r="W457" s="1730"/>
      <c r="X457" s="1903">
        <f t="shared" si="115"/>
        <v>0</v>
      </c>
      <c r="Y457" s="1733">
        <f t="shared" si="120"/>
        <v>0</v>
      </c>
      <c r="Z457" s="528"/>
      <c r="AA457" s="1620"/>
      <c r="AB457" s="1616"/>
      <c r="AC457" s="1616"/>
      <c r="AD457" s="1616"/>
      <c r="AE457" s="1616"/>
      <c r="AF457" s="1587"/>
      <c r="AG457" s="1587"/>
      <c r="AH457" s="1587"/>
      <c r="AI457" s="1587"/>
      <c r="AJ457" s="1587"/>
      <c r="AK457" s="1589"/>
      <c r="AL457" s="1590"/>
      <c r="AM457" s="1590"/>
      <c r="AN457" s="1590"/>
      <c r="AO457" s="1597"/>
      <c r="AP457" s="1607"/>
      <c r="AQ457" s="1581"/>
      <c r="AR457" s="1582"/>
      <c r="AS457" s="1689"/>
      <c r="AT457" s="1721">
        <f t="shared" si="116"/>
        <v>0</v>
      </c>
      <c r="AU457" s="1679">
        <f t="shared" si="117"/>
        <v>0</v>
      </c>
      <c r="AV457" s="935"/>
      <c r="AW457" s="935"/>
      <c r="AX457" s="935"/>
      <c r="AY457" s="722"/>
      <c r="AZ457" s="722"/>
      <c r="BA457" s="722"/>
      <c r="BB457" s="722"/>
      <c r="BC457" s="722"/>
      <c r="BD457" s="722"/>
      <c r="BE457" s="706"/>
      <c r="BF457" s="706"/>
      <c r="BG457" s="694"/>
    </row>
    <row r="458" spans="1:59" ht="15.75" x14ac:dyDescent="0.25">
      <c r="A458" s="1883"/>
      <c r="B458" s="1748"/>
      <c r="C458" s="1884"/>
      <c r="D458" s="1884"/>
      <c r="E458" s="1726">
        <f t="shared" si="114"/>
        <v>0</v>
      </c>
      <c r="F458" s="1722"/>
      <c r="G458" s="1727"/>
      <c r="H458" s="1728"/>
      <c r="I458" s="1729"/>
      <c r="J458" s="1729"/>
      <c r="K458" s="1730"/>
      <c r="L458" s="1734">
        <f t="shared" si="118"/>
        <v>0</v>
      </c>
      <c r="M458" s="1735">
        <f t="shared" si="119"/>
        <v>0</v>
      </c>
      <c r="N458" s="1730"/>
      <c r="O458" s="1730"/>
      <c r="P458" s="1730"/>
      <c r="Q458" s="1730"/>
      <c r="R458" s="1730"/>
      <c r="S458" s="1730"/>
      <c r="T458" s="1730"/>
      <c r="U458" s="1730"/>
      <c r="V458" s="1730"/>
      <c r="W458" s="1730"/>
      <c r="X458" s="1903">
        <f t="shared" si="115"/>
        <v>0</v>
      </c>
      <c r="Y458" s="1733">
        <f t="shared" si="120"/>
        <v>0</v>
      </c>
      <c r="Z458" s="528"/>
      <c r="AA458" s="1620"/>
      <c r="AB458" s="1616"/>
      <c r="AC458" s="1616"/>
      <c r="AD458" s="1616"/>
      <c r="AE458" s="1616"/>
      <c r="AF458" s="1587"/>
      <c r="AG458" s="1587"/>
      <c r="AH458" s="1587"/>
      <c r="AI458" s="1587"/>
      <c r="AJ458" s="1587"/>
      <c r="AK458" s="1589"/>
      <c r="AL458" s="1590"/>
      <c r="AM458" s="1590"/>
      <c r="AN458" s="1590"/>
      <c r="AO458" s="1597"/>
      <c r="AP458" s="1607"/>
      <c r="AQ458" s="1581"/>
      <c r="AR458" s="1582"/>
      <c r="AS458" s="1689"/>
      <c r="AT458" s="1721">
        <f t="shared" si="116"/>
        <v>0</v>
      </c>
      <c r="AU458" s="1679">
        <f t="shared" si="117"/>
        <v>0</v>
      </c>
      <c r="AV458" s="935"/>
      <c r="AW458" s="935"/>
      <c r="AX458" s="935"/>
      <c r="AY458" s="722"/>
      <c r="AZ458" s="722"/>
      <c r="BA458" s="722"/>
      <c r="BB458" s="722"/>
      <c r="BC458" s="722"/>
      <c r="BD458" s="722"/>
      <c r="BE458" s="706"/>
      <c r="BF458" s="706"/>
      <c r="BG458" s="694"/>
    </row>
    <row r="459" spans="1:59" ht="15.75" x14ac:dyDescent="0.25">
      <c r="A459" s="1883"/>
      <c r="B459" s="1748"/>
      <c r="C459" s="1884"/>
      <c r="D459" s="1884"/>
      <c r="E459" s="1726">
        <f t="shared" si="114"/>
        <v>0</v>
      </c>
      <c r="F459" s="1722"/>
      <c r="G459" s="1727"/>
      <c r="H459" s="1728"/>
      <c r="I459" s="1729"/>
      <c r="J459" s="1729"/>
      <c r="K459" s="1730"/>
      <c r="L459" s="1734">
        <f t="shared" si="118"/>
        <v>0</v>
      </c>
      <c r="M459" s="1735">
        <f t="shared" si="119"/>
        <v>0</v>
      </c>
      <c r="N459" s="1730"/>
      <c r="O459" s="1730"/>
      <c r="P459" s="1730"/>
      <c r="Q459" s="1730"/>
      <c r="R459" s="1730"/>
      <c r="S459" s="1730"/>
      <c r="T459" s="1730"/>
      <c r="U459" s="1730"/>
      <c r="V459" s="1730"/>
      <c r="W459" s="1730"/>
      <c r="X459" s="1903">
        <f t="shared" si="115"/>
        <v>0</v>
      </c>
      <c r="Y459" s="1733">
        <f t="shared" si="120"/>
        <v>0</v>
      </c>
      <c r="Z459" s="528"/>
      <c r="AA459" s="1620"/>
      <c r="AB459" s="1616"/>
      <c r="AC459" s="1616"/>
      <c r="AD459" s="1616"/>
      <c r="AE459" s="1616"/>
      <c r="AF459" s="1587"/>
      <c r="AG459" s="1587"/>
      <c r="AH459" s="1587"/>
      <c r="AI459" s="1587"/>
      <c r="AJ459" s="1587"/>
      <c r="AK459" s="1589"/>
      <c r="AL459" s="1590"/>
      <c r="AM459" s="1590"/>
      <c r="AN459" s="1590"/>
      <c r="AO459" s="1597"/>
      <c r="AP459" s="1607"/>
      <c r="AQ459" s="1581"/>
      <c r="AR459" s="1582"/>
      <c r="AS459" s="1689"/>
      <c r="AT459" s="1721">
        <f t="shared" si="116"/>
        <v>0</v>
      </c>
      <c r="AU459" s="1679">
        <f t="shared" si="117"/>
        <v>0</v>
      </c>
      <c r="AV459" s="935"/>
      <c r="AW459" s="935"/>
      <c r="AX459" s="935"/>
      <c r="AY459" s="722"/>
      <c r="AZ459" s="722"/>
      <c r="BA459" s="722"/>
      <c r="BB459" s="722"/>
      <c r="BC459" s="722"/>
      <c r="BD459" s="722"/>
      <c r="BE459" s="706"/>
      <c r="BF459" s="706"/>
      <c r="BG459" s="694"/>
    </row>
    <row r="460" spans="1:59" ht="15.75" x14ac:dyDescent="0.25">
      <c r="A460" s="1883"/>
      <c r="B460" s="1748"/>
      <c r="C460" s="1884"/>
      <c r="D460" s="1884"/>
      <c r="E460" s="1726">
        <f t="shared" si="114"/>
        <v>0</v>
      </c>
      <c r="F460" s="1722"/>
      <c r="G460" s="1727"/>
      <c r="H460" s="1728"/>
      <c r="I460" s="1729"/>
      <c r="J460" s="1729"/>
      <c r="K460" s="1730"/>
      <c r="L460" s="1734">
        <f t="shared" si="118"/>
        <v>0</v>
      </c>
      <c r="M460" s="1735">
        <f t="shared" si="119"/>
        <v>0</v>
      </c>
      <c r="N460" s="1730"/>
      <c r="O460" s="1730"/>
      <c r="P460" s="1730"/>
      <c r="Q460" s="1730"/>
      <c r="R460" s="1730"/>
      <c r="S460" s="1730"/>
      <c r="T460" s="1730"/>
      <c r="U460" s="1730"/>
      <c r="V460" s="1730"/>
      <c r="W460" s="1730"/>
      <c r="X460" s="1903">
        <f t="shared" si="115"/>
        <v>0</v>
      </c>
      <c r="Y460" s="1733">
        <f t="shared" si="120"/>
        <v>0</v>
      </c>
      <c r="Z460" s="528"/>
      <c r="AA460" s="1620"/>
      <c r="AB460" s="1616"/>
      <c r="AC460" s="1616"/>
      <c r="AD460" s="1616"/>
      <c r="AE460" s="1616"/>
      <c r="AF460" s="1587"/>
      <c r="AG460" s="1587"/>
      <c r="AH460" s="1587"/>
      <c r="AI460" s="1587"/>
      <c r="AJ460" s="1587"/>
      <c r="AK460" s="1589"/>
      <c r="AL460" s="1590"/>
      <c r="AM460" s="1590"/>
      <c r="AN460" s="1590"/>
      <c r="AO460" s="1597"/>
      <c r="AP460" s="1607"/>
      <c r="AQ460" s="1581"/>
      <c r="AR460" s="1582"/>
      <c r="AS460" s="1689"/>
      <c r="AT460" s="1721">
        <f t="shared" si="116"/>
        <v>0</v>
      </c>
      <c r="AU460" s="1679">
        <f t="shared" si="117"/>
        <v>0</v>
      </c>
      <c r="AV460" s="935"/>
      <c r="AW460" s="935"/>
      <c r="AX460" s="935"/>
      <c r="AY460" s="722"/>
      <c r="AZ460" s="722"/>
      <c r="BA460" s="722"/>
      <c r="BB460" s="722"/>
      <c r="BC460" s="722"/>
      <c r="BD460" s="722"/>
      <c r="BE460" s="706"/>
      <c r="BF460" s="706"/>
      <c r="BG460" s="694"/>
    </row>
    <row r="461" spans="1:59" ht="15.75" x14ac:dyDescent="0.25">
      <c r="A461" s="1883"/>
      <c r="B461" s="1748"/>
      <c r="C461" s="1884"/>
      <c r="D461" s="1884"/>
      <c r="E461" s="1726">
        <f t="shared" si="114"/>
        <v>0</v>
      </c>
      <c r="F461" s="1722"/>
      <c r="G461" s="1727"/>
      <c r="H461" s="1728"/>
      <c r="I461" s="1729"/>
      <c r="J461" s="1729"/>
      <c r="K461" s="1730"/>
      <c r="L461" s="1734">
        <f t="shared" si="118"/>
        <v>0</v>
      </c>
      <c r="M461" s="1735">
        <f t="shared" si="119"/>
        <v>0</v>
      </c>
      <c r="N461" s="1730"/>
      <c r="O461" s="1730"/>
      <c r="P461" s="1730"/>
      <c r="Q461" s="1730"/>
      <c r="R461" s="1730"/>
      <c r="S461" s="1730"/>
      <c r="T461" s="1730"/>
      <c r="U461" s="1730"/>
      <c r="V461" s="1730"/>
      <c r="W461" s="1730"/>
      <c r="X461" s="1903">
        <f t="shared" si="115"/>
        <v>0</v>
      </c>
      <c r="Y461" s="1733">
        <f t="shared" si="120"/>
        <v>0</v>
      </c>
      <c r="Z461" s="528"/>
      <c r="AA461" s="1620"/>
      <c r="AB461" s="1616"/>
      <c r="AC461" s="1616"/>
      <c r="AD461" s="1616"/>
      <c r="AE461" s="1616"/>
      <c r="AF461" s="1587"/>
      <c r="AG461" s="1587"/>
      <c r="AH461" s="1587"/>
      <c r="AI461" s="1587"/>
      <c r="AJ461" s="1587"/>
      <c r="AK461" s="1589"/>
      <c r="AL461" s="1590"/>
      <c r="AM461" s="1590"/>
      <c r="AN461" s="1590"/>
      <c r="AO461" s="1597"/>
      <c r="AP461" s="1607"/>
      <c r="AQ461" s="1581"/>
      <c r="AR461" s="1582"/>
      <c r="AS461" s="1689"/>
      <c r="AT461" s="1721">
        <f t="shared" si="116"/>
        <v>0</v>
      </c>
      <c r="AU461" s="1679">
        <f t="shared" si="117"/>
        <v>0</v>
      </c>
      <c r="AV461" s="935"/>
      <c r="AW461" s="935"/>
      <c r="AX461" s="935"/>
      <c r="AY461" s="722"/>
      <c r="AZ461" s="722"/>
      <c r="BA461" s="722"/>
      <c r="BB461" s="722"/>
      <c r="BC461" s="722"/>
      <c r="BD461" s="722"/>
      <c r="BE461" s="706"/>
      <c r="BF461" s="706"/>
      <c r="BG461" s="694"/>
    </row>
    <row r="462" spans="1:59" ht="15.75" x14ac:dyDescent="0.25">
      <c r="A462" s="1883"/>
      <c r="B462" s="1748"/>
      <c r="C462" s="1884"/>
      <c r="D462" s="1884"/>
      <c r="E462" s="1726">
        <f t="shared" si="114"/>
        <v>0</v>
      </c>
      <c r="F462" s="1722"/>
      <c r="G462" s="1727"/>
      <c r="H462" s="1728"/>
      <c r="I462" s="1729"/>
      <c r="J462" s="1729"/>
      <c r="K462" s="1730"/>
      <c r="L462" s="1734">
        <f t="shared" si="118"/>
        <v>0</v>
      </c>
      <c r="M462" s="1735">
        <f t="shared" si="119"/>
        <v>0</v>
      </c>
      <c r="N462" s="1730"/>
      <c r="O462" s="1730"/>
      <c r="P462" s="1730"/>
      <c r="Q462" s="1730"/>
      <c r="R462" s="1730"/>
      <c r="S462" s="1730"/>
      <c r="T462" s="1730"/>
      <c r="U462" s="1730"/>
      <c r="V462" s="1730"/>
      <c r="W462" s="1730"/>
      <c r="X462" s="1903">
        <f t="shared" si="115"/>
        <v>0</v>
      </c>
      <c r="Y462" s="1733">
        <f t="shared" si="120"/>
        <v>0</v>
      </c>
      <c r="Z462" s="528"/>
      <c r="AA462" s="1620"/>
      <c r="AB462" s="1616"/>
      <c r="AC462" s="1616"/>
      <c r="AD462" s="1616"/>
      <c r="AE462" s="1616"/>
      <c r="AF462" s="1587"/>
      <c r="AG462" s="1587"/>
      <c r="AH462" s="1587"/>
      <c r="AI462" s="1587"/>
      <c r="AJ462" s="1587"/>
      <c r="AK462" s="1589"/>
      <c r="AL462" s="1590"/>
      <c r="AM462" s="1590"/>
      <c r="AN462" s="1590"/>
      <c r="AO462" s="1597"/>
      <c r="AP462" s="1607"/>
      <c r="AQ462" s="1581"/>
      <c r="AR462" s="1582"/>
      <c r="AS462" s="1689"/>
      <c r="AT462" s="1721">
        <f t="shared" si="116"/>
        <v>0</v>
      </c>
      <c r="AU462" s="1679">
        <f t="shared" si="117"/>
        <v>0</v>
      </c>
      <c r="AV462" s="935"/>
      <c r="AW462" s="935"/>
      <c r="AX462" s="935"/>
      <c r="AY462" s="722"/>
      <c r="AZ462" s="722"/>
      <c r="BA462" s="722"/>
      <c r="BB462" s="722"/>
      <c r="BC462" s="722"/>
      <c r="BD462" s="722"/>
      <c r="BE462" s="706"/>
      <c r="BF462" s="706"/>
      <c r="BG462" s="694"/>
    </row>
    <row r="463" spans="1:59" ht="15.75" x14ac:dyDescent="0.25">
      <c r="A463" s="1883"/>
      <c r="B463" s="1748"/>
      <c r="C463" s="1884"/>
      <c r="D463" s="1884"/>
      <c r="E463" s="1726">
        <f t="shared" si="114"/>
        <v>0</v>
      </c>
      <c r="F463" s="1722"/>
      <c r="G463" s="1727"/>
      <c r="H463" s="1728"/>
      <c r="I463" s="1729"/>
      <c r="J463" s="1729"/>
      <c r="K463" s="1730"/>
      <c r="L463" s="1734">
        <f t="shared" si="118"/>
        <v>0</v>
      </c>
      <c r="M463" s="1735">
        <f t="shared" si="119"/>
        <v>0</v>
      </c>
      <c r="N463" s="1730"/>
      <c r="O463" s="1730"/>
      <c r="P463" s="1730"/>
      <c r="Q463" s="1730"/>
      <c r="R463" s="1730"/>
      <c r="S463" s="1730"/>
      <c r="T463" s="1730"/>
      <c r="U463" s="1730"/>
      <c r="V463" s="1730"/>
      <c r="W463" s="1730"/>
      <c r="X463" s="1903">
        <f t="shared" si="115"/>
        <v>0</v>
      </c>
      <c r="Y463" s="1733">
        <f t="shared" si="120"/>
        <v>0</v>
      </c>
      <c r="Z463" s="528"/>
      <c r="AA463" s="1620"/>
      <c r="AB463" s="1616"/>
      <c r="AC463" s="1616"/>
      <c r="AD463" s="1616"/>
      <c r="AE463" s="1616"/>
      <c r="AF463" s="1587"/>
      <c r="AG463" s="1587"/>
      <c r="AH463" s="1587"/>
      <c r="AI463" s="1587"/>
      <c r="AJ463" s="1587"/>
      <c r="AK463" s="1589"/>
      <c r="AL463" s="1590"/>
      <c r="AM463" s="1590"/>
      <c r="AN463" s="1590"/>
      <c r="AO463" s="1597"/>
      <c r="AP463" s="1607"/>
      <c r="AQ463" s="1581"/>
      <c r="AR463" s="1582"/>
      <c r="AS463" s="1689"/>
      <c r="AT463" s="1721">
        <f t="shared" si="116"/>
        <v>0</v>
      </c>
      <c r="AU463" s="1679">
        <f t="shared" si="117"/>
        <v>0</v>
      </c>
      <c r="AV463" s="935"/>
      <c r="AW463" s="935"/>
      <c r="AX463" s="935"/>
      <c r="AY463" s="722"/>
      <c r="AZ463" s="722"/>
      <c r="BA463" s="722"/>
      <c r="BB463" s="722"/>
      <c r="BC463" s="722"/>
      <c r="BD463" s="722"/>
      <c r="BE463" s="706"/>
      <c r="BF463" s="706"/>
      <c r="BG463" s="694"/>
    </row>
    <row r="464" spans="1:59" ht="15.75" x14ac:dyDescent="0.25">
      <c r="A464" s="1883"/>
      <c r="B464" s="1748"/>
      <c r="C464" s="1884"/>
      <c r="D464" s="1884"/>
      <c r="E464" s="1726">
        <f t="shared" si="114"/>
        <v>0</v>
      </c>
      <c r="F464" s="1722"/>
      <c r="G464" s="1727"/>
      <c r="H464" s="1728"/>
      <c r="I464" s="1729"/>
      <c r="J464" s="1729"/>
      <c r="K464" s="1730"/>
      <c r="L464" s="1734">
        <f t="shared" si="118"/>
        <v>0</v>
      </c>
      <c r="M464" s="1735">
        <f t="shared" si="119"/>
        <v>0</v>
      </c>
      <c r="N464" s="1730"/>
      <c r="O464" s="1730"/>
      <c r="P464" s="1730"/>
      <c r="Q464" s="1730"/>
      <c r="R464" s="1730"/>
      <c r="S464" s="1730"/>
      <c r="T464" s="1730"/>
      <c r="U464" s="1730"/>
      <c r="V464" s="1730"/>
      <c r="W464" s="1730"/>
      <c r="X464" s="1903">
        <f t="shared" si="115"/>
        <v>0</v>
      </c>
      <c r="Y464" s="1733">
        <f t="shared" si="120"/>
        <v>0</v>
      </c>
      <c r="Z464" s="528"/>
      <c r="AA464" s="1620"/>
      <c r="AB464" s="1616"/>
      <c r="AC464" s="1616"/>
      <c r="AD464" s="1616"/>
      <c r="AE464" s="1616"/>
      <c r="AF464" s="1587"/>
      <c r="AG464" s="1587"/>
      <c r="AH464" s="1587"/>
      <c r="AI464" s="1587"/>
      <c r="AJ464" s="1587"/>
      <c r="AK464" s="1589"/>
      <c r="AL464" s="1590"/>
      <c r="AM464" s="1590"/>
      <c r="AN464" s="1590"/>
      <c r="AO464" s="1597"/>
      <c r="AP464" s="1607"/>
      <c r="AQ464" s="1581"/>
      <c r="AR464" s="1582"/>
      <c r="AS464" s="1689"/>
      <c r="AT464" s="1721">
        <f t="shared" si="116"/>
        <v>0</v>
      </c>
      <c r="AU464" s="1679">
        <f t="shared" si="117"/>
        <v>0</v>
      </c>
      <c r="AV464" s="935"/>
      <c r="AW464" s="935"/>
      <c r="AX464" s="935"/>
      <c r="AY464" s="722"/>
      <c r="AZ464" s="722"/>
      <c r="BA464" s="722"/>
      <c r="BB464" s="722"/>
      <c r="BC464" s="722"/>
      <c r="BD464" s="722"/>
      <c r="BE464" s="706"/>
      <c r="BF464" s="706"/>
      <c r="BG464" s="694"/>
    </row>
    <row r="465" spans="1:59" ht="15.75" x14ac:dyDescent="0.25">
      <c r="A465" s="1883"/>
      <c r="B465" s="1748"/>
      <c r="C465" s="1884"/>
      <c r="D465" s="1884"/>
      <c r="E465" s="1726">
        <f t="shared" si="114"/>
        <v>0</v>
      </c>
      <c r="F465" s="1722"/>
      <c r="G465" s="1727"/>
      <c r="H465" s="1728"/>
      <c r="I465" s="1729"/>
      <c r="J465" s="1729"/>
      <c r="K465" s="1730"/>
      <c r="L465" s="1734">
        <f t="shared" si="118"/>
        <v>0</v>
      </c>
      <c r="M465" s="1735">
        <f t="shared" si="119"/>
        <v>0</v>
      </c>
      <c r="N465" s="1730"/>
      <c r="O465" s="1730"/>
      <c r="P465" s="1730"/>
      <c r="Q465" s="1730"/>
      <c r="R465" s="1730"/>
      <c r="S465" s="1730"/>
      <c r="T465" s="1730"/>
      <c r="U465" s="1730"/>
      <c r="V465" s="1730"/>
      <c r="W465" s="1730"/>
      <c r="X465" s="1903">
        <f t="shared" si="115"/>
        <v>0</v>
      </c>
      <c r="Y465" s="1733">
        <f t="shared" si="120"/>
        <v>0</v>
      </c>
      <c r="Z465" s="528"/>
      <c r="AA465" s="1620"/>
      <c r="AB465" s="1616"/>
      <c r="AC465" s="1616"/>
      <c r="AD465" s="1616"/>
      <c r="AE465" s="1616"/>
      <c r="AF465" s="1587"/>
      <c r="AG465" s="1587"/>
      <c r="AH465" s="1587"/>
      <c r="AI465" s="1587"/>
      <c r="AJ465" s="1587"/>
      <c r="AK465" s="1589"/>
      <c r="AL465" s="1590"/>
      <c r="AM465" s="1590"/>
      <c r="AN465" s="1590"/>
      <c r="AO465" s="1597"/>
      <c r="AP465" s="1607"/>
      <c r="AQ465" s="1581"/>
      <c r="AR465" s="1582"/>
      <c r="AS465" s="1689"/>
      <c r="AT465" s="1721">
        <f t="shared" si="116"/>
        <v>0</v>
      </c>
      <c r="AU465" s="1679">
        <f t="shared" si="117"/>
        <v>0</v>
      </c>
      <c r="AV465" s="935"/>
      <c r="AW465" s="935"/>
      <c r="AX465" s="935"/>
      <c r="AY465" s="722"/>
      <c r="AZ465" s="722"/>
      <c r="BA465" s="722"/>
      <c r="BB465" s="722"/>
      <c r="BC465" s="722"/>
      <c r="BD465" s="722"/>
      <c r="BE465" s="706"/>
      <c r="BF465" s="706"/>
      <c r="BG465" s="694"/>
    </row>
    <row r="466" spans="1:59" ht="15.75" x14ac:dyDescent="0.25">
      <c r="A466" s="1547" t="s">
        <v>587</v>
      </c>
      <c r="B466" s="1557"/>
      <c r="C466" s="1558"/>
      <c r="D466" s="1558"/>
      <c r="E466" s="1559"/>
      <c r="F466" s="1546" t="s">
        <v>587</v>
      </c>
      <c r="G466" s="546"/>
      <c r="H466" s="1555"/>
      <c r="I466" s="1556"/>
      <c r="J466" s="1556"/>
      <c r="K466" s="1543"/>
      <c r="L466" s="1541"/>
      <c r="M466" s="1542"/>
      <c r="N466" s="1543"/>
      <c r="O466" s="1543"/>
      <c r="P466" s="1543"/>
      <c r="Q466" s="1543"/>
      <c r="R466" s="1543"/>
      <c r="S466" s="1543"/>
      <c r="T466" s="1543"/>
      <c r="U466" s="1543"/>
      <c r="V466" s="1543"/>
      <c r="W466" s="1543"/>
      <c r="X466" s="1544"/>
      <c r="Y466" s="1545"/>
      <c r="Z466" s="528"/>
      <c r="AA466" s="1622"/>
      <c r="AB466" s="1623"/>
      <c r="AC466" s="1623"/>
      <c r="AD466" s="1623"/>
      <c r="AE466" s="1623"/>
      <c r="AF466" s="1629"/>
      <c r="AG466" s="1629"/>
      <c r="AH466" s="1629"/>
      <c r="AI466" s="1629"/>
      <c r="AJ466" s="1629"/>
      <c r="AK466" s="1600"/>
      <c r="AL466" s="1601"/>
      <c r="AM466" s="1601"/>
      <c r="AN466" s="1601"/>
      <c r="AO466" s="1602"/>
      <c r="AP466" s="1695"/>
      <c r="AQ466" s="1583"/>
      <c r="AR466" s="1584"/>
      <c r="AS466" s="1724"/>
      <c r="AT466" s="1721">
        <f t="shared" si="116"/>
        <v>0</v>
      </c>
      <c r="AU466" s="1679">
        <f t="shared" si="117"/>
        <v>0</v>
      </c>
      <c r="AV466" s="935"/>
      <c r="AW466" s="935"/>
      <c r="AX466" s="935"/>
      <c r="AY466" s="722"/>
      <c r="AZ466" s="722"/>
      <c r="BA466" s="722"/>
      <c r="BB466" s="722"/>
      <c r="BC466" s="722"/>
      <c r="BD466" s="722"/>
      <c r="BE466" s="706"/>
      <c r="BF466" s="706"/>
      <c r="BG466" s="694"/>
    </row>
    <row r="467" spans="1:59" ht="15.75" x14ac:dyDescent="0.25">
      <c r="A467" s="1883"/>
      <c r="B467" s="1748"/>
      <c r="C467" s="1884"/>
      <c r="D467" s="1884"/>
      <c r="E467" s="1726">
        <f t="shared" ref="E467:E473" si="121">IFERROR(D467/B467,0)</f>
        <v>0</v>
      </c>
      <c r="F467" s="1722"/>
      <c r="G467" s="1727"/>
      <c r="H467" s="1728"/>
      <c r="I467" s="1729"/>
      <c r="J467" s="1729"/>
      <c r="K467" s="1730"/>
      <c r="L467" s="1734">
        <f t="shared" ref="L467:L473" si="122">IFERROR(IF($K$24="VK",K467,K467/H467),0)</f>
        <v>0</v>
      </c>
      <c r="M467" s="1735">
        <f t="shared" ref="M467:M473" si="123">IFERROR(L467*H467,"")</f>
        <v>0</v>
      </c>
      <c r="N467" s="1730"/>
      <c r="O467" s="1730"/>
      <c r="P467" s="1730"/>
      <c r="Q467" s="1730"/>
      <c r="R467" s="1730"/>
      <c r="S467" s="1730"/>
      <c r="T467" s="1730"/>
      <c r="U467" s="1730"/>
      <c r="V467" s="1730"/>
      <c r="W467" s="1730"/>
      <c r="X467" s="1903">
        <f t="shared" si="115"/>
        <v>0</v>
      </c>
      <c r="Y467" s="1733">
        <f t="shared" ref="Y467:Y473" si="124">IF(ISERROR(X467/H467),0,(X467/H467))</f>
        <v>0</v>
      </c>
      <c r="Z467" s="528"/>
      <c r="AA467" s="1698">
        <f>IF(AND($H467&gt;0,$K467&gt;0,'Allgemeine Angaben'!$F$7="4."),($M467+$N467),0)</f>
        <v>0</v>
      </c>
      <c r="AB467" s="1699">
        <f>IF(AND($H467&gt;0,$K467&gt;0,'Allgemeine Angaben'!$F$7="4."),$O467,0)</f>
        <v>0</v>
      </c>
      <c r="AC467" s="1699">
        <f>IF(AND($H467&gt;0,$K467&gt;0,'Allgemeine Angaben'!$F$7="4."),($P467),0)</f>
        <v>0</v>
      </c>
      <c r="AD467" s="1699">
        <f>IF(AND($H467&gt;0,$K467&gt;0,'Allgemeine Angaben'!$F$7="4."),$Q467,0)</f>
        <v>0</v>
      </c>
      <c r="AE467" s="1700">
        <f>(IF(AND($H467&gt;0,$K467&gt;0,'Allgemeine Angaben'!$F$7="4."),(($T467+$U467)/12),0))</f>
        <v>0</v>
      </c>
      <c r="AF467" s="1596"/>
      <c r="AG467" s="1588"/>
      <c r="AH467" s="1588"/>
      <c r="AI467" s="1588"/>
      <c r="AJ467" s="1588"/>
      <c r="AK467" s="1610"/>
      <c r="AL467" s="1590"/>
      <c r="AM467" s="1590"/>
      <c r="AN467" s="1590"/>
      <c r="AO467" s="1597"/>
      <c r="AP467" s="1695">
        <f>IF(AND($H467&gt;0,$K467&gt;0,'Allgemeine Angaben'!$F$7="4."),$H467,0)</f>
        <v>0</v>
      </c>
      <c r="AQ467" s="1581"/>
      <c r="AR467" s="1582"/>
      <c r="AS467" s="1697">
        <f>IF(AND($H467&gt;0,$K467&gt;0,'Allgemeine Angaben'!$F$7="4."),$X467,0)</f>
        <v>0</v>
      </c>
      <c r="AT467" s="1639"/>
      <c r="AU467" s="1640"/>
      <c r="AV467" s="935"/>
      <c r="AW467" s="935"/>
      <c r="AX467" s="935"/>
      <c r="AY467" s="722"/>
      <c r="AZ467" s="722"/>
      <c r="BA467" s="722"/>
      <c r="BB467" s="722"/>
      <c r="BC467" s="722"/>
      <c r="BD467" s="722"/>
      <c r="BE467" s="706"/>
      <c r="BF467" s="706"/>
      <c r="BG467" s="694"/>
    </row>
    <row r="468" spans="1:59" ht="15.75" x14ac:dyDescent="0.25">
      <c r="A468" s="1883"/>
      <c r="B468" s="1748"/>
      <c r="C468" s="1884"/>
      <c r="D468" s="1884"/>
      <c r="E468" s="1726">
        <f t="shared" si="121"/>
        <v>0</v>
      </c>
      <c r="F468" s="1722"/>
      <c r="G468" s="1727"/>
      <c r="H468" s="1728"/>
      <c r="I468" s="1729"/>
      <c r="J468" s="1729"/>
      <c r="K468" s="1730"/>
      <c r="L468" s="1734">
        <f t="shared" si="122"/>
        <v>0</v>
      </c>
      <c r="M468" s="1735">
        <f t="shared" si="123"/>
        <v>0</v>
      </c>
      <c r="N468" s="1730"/>
      <c r="O468" s="1730"/>
      <c r="P468" s="1730"/>
      <c r="Q468" s="1730"/>
      <c r="R468" s="1730"/>
      <c r="S468" s="1730"/>
      <c r="T468" s="1730"/>
      <c r="U468" s="1730"/>
      <c r="V468" s="1730"/>
      <c r="W468" s="1730"/>
      <c r="X468" s="1903">
        <f t="shared" si="115"/>
        <v>0</v>
      </c>
      <c r="Y468" s="1733">
        <f t="shared" si="124"/>
        <v>0</v>
      </c>
      <c r="Z468" s="528"/>
      <c r="AA468" s="1560">
        <f>IF(AND($H468&gt;0,$K468&gt;0,'Allgemeine Angaben'!$F$7="4."),($M468+$N468),0)</f>
        <v>0</v>
      </c>
      <c r="AB468" s="1561">
        <f>IF(AND($H468&gt;0,$K468&gt;0,'Allgemeine Angaben'!$F$7="4."),$O468,0)</f>
        <v>0</v>
      </c>
      <c r="AC468" s="1561">
        <f>IF(AND($H468&gt;0,$K468&gt;0,'Allgemeine Angaben'!$F$7="4."),($P468),0)</f>
        <v>0</v>
      </c>
      <c r="AD468" s="1561">
        <f>IF(AND($H468&gt;0,$K468&gt;0,'Allgemeine Angaben'!$F$7="4."),$Q468,0)</f>
        <v>0</v>
      </c>
      <c r="AE468" s="1585">
        <f>(IF(AND($H468&gt;0,$K468&gt;0,'Allgemeine Angaben'!$F$7="4."),(($T468+$U468)/12),0))</f>
        <v>0</v>
      </c>
      <c r="AF468" s="1596"/>
      <c r="AG468" s="1588"/>
      <c r="AH468" s="1588"/>
      <c r="AI468" s="1588"/>
      <c r="AJ468" s="1588"/>
      <c r="AK468" s="1610"/>
      <c r="AL468" s="1590"/>
      <c r="AM468" s="1590"/>
      <c r="AN468" s="1590"/>
      <c r="AO468" s="1597"/>
      <c r="AP468" s="1695">
        <f>IF(AND($H468&gt;0,$K468&gt;0,'Allgemeine Angaben'!$F$7="4."),$H468,0)</f>
        <v>0</v>
      </c>
      <c r="AQ468" s="1581"/>
      <c r="AR468" s="1582"/>
      <c r="AS468" s="1697">
        <f>IF(AND($H468&gt;0,$K468&gt;0,'Allgemeine Angaben'!$F$7="4."),$X468,0)</f>
        <v>0</v>
      </c>
      <c r="AT468" s="1641"/>
      <c r="AU468" s="1642"/>
      <c r="AV468" s="935"/>
      <c r="AW468" s="935"/>
      <c r="AX468" s="935"/>
      <c r="AY468" s="722"/>
      <c r="AZ468" s="722"/>
      <c r="BA468" s="722"/>
      <c r="BB468" s="722"/>
      <c r="BC468" s="722"/>
      <c r="BD468" s="722"/>
      <c r="BE468" s="706"/>
      <c r="BF468" s="706"/>
      <c r="BG468" s="694"/>
    </row>
    <row r="469" spans="1:59" ht="15.75" x14ac:dyDescent="0.25">
      <c r="A469" s="1883"/>
      <c r="B469" s="1748"/>
      <c r="C469" s="1884"/>
      <c r="D469" s="1884"/>
      <c r="E469" s="1726">
        <f t="shared" si="121"/>
        <v>0</v>
      </c>
      <c r="F469" s="1722"/>
      <c r="G469" s="1727"/>
      <c r="H469" s="1728"/>
      <c r="I469" s="1729"/>
      <c r="J469" s="1729"/>
      <c r="K469" s="1730"/>
      <c r="L469" s="1734">
        <f t="shared" si="122"/>
        <v>0</v>
      </c>
      <c r="M469" s="1735">
        <f t="shared" si="123"/>
        <v>0</v>
      </c>
      <c r="N469" s="1730"/>
      <c r="O469" s="1730"/>
      <c r="P469" s="1730"/>
      <c r="Q469" s="1730"/>
      <c r="R469" s="1730"/>
      <c r="S469" s="1730"/>
      <c r="T469" s="1730"/>
      <c r="U469" s="1730"/>
      <c r="V469" s="1730"/>
      <c r="W469" s="1730"/>
      <c r="X469" s="1903">
        <f t="shared" si="115"/>
        <v>0</v>
      </c>
      <c r="Y469" s="1733">
        <f t="shared" si="124"/>
        <v>0</v>
      </c>
      <c r="Z469" s="528"/>
      <c r="AA469" s="1560">
        <f>IF(AND($H469&gt;0,$K469&gt;0,'Allgemeine Angaben'!$F$7="4."),($M469+$N469),0)</f>
        <v>0</v>
      </c>
      <c r="AB469" s="1561">
        <f>IF(AND($H469&gt;0,$K469&gt;0,'Allgemeine Angaben'!$F$7="4."),$O469,0)</f>
        <v>0</v>
      </c>
      <c r="AC469" s="1561">
        <f>IF(AND($H469&gt;0,$K469&gt;0,'Allgemeine Angaben'!$F$7="4."),($P469),0)</f>
        <v>0</v>
      </c>
      <c r="AD469" s="1561">
        <f>IF(AND($H469&gt;0,$K469&gt;0,'Allgemeine Angaben'!$F$7="4."),$Q469,0)</f>
        <v>0</v>
      </c>
      <c r="AE469" s="1585">
        <f>(IF(AND($H469&gt;0,$K469&gt;0,'Allgemeine Angaben'!$F$7="4."),(($T469+$U469)/12),0))</f>
        <v>0</v>
      </c>
      <c r="AF469" s="1596"/>
      <c r="AG469" s="1588"/>
      <c r="AH469" s="1588"/>
      <c r="AI469" s="1588"/>
      <c r="AJ469" s="1588"/>
      <c r="AK469" s="1610"/>
      <c r="AL469" s="1590"/>
      <c r="AM469" s="1590"/>
      <c r="AN469" s="1590"/>
      <c r="AO469" s="1597"/>
      <c r="AP469" s="1695">
        <f>IF(AND($H469&gt;0,$K469&gt;0,'Allgemeine Angaben'!$F$7="4."),$H469,0)</f>
        <v>0</v>
      </c>
      <c r="AQ469" s="1581"/>
      <c r="AR469" s="1582"/>
      <c r="AS469" s="1697">
        <f>IF(AND($H469&gt;0,$K469&gt;0,'Allgemeine Angaben'!$F$7="4."),$X469,0)</f>
        <v>0</v>
      </c>
      <c r="AT469" s="1641"/>
      <c r="AU469" s="1642"/>
      <c r="AV469" s="935"/>
      <c r="AW469" s="935"/>
      <c r="AX469" s="935"/>
      <c r="AY469" s="722"/>
      <c r="AZ469" s="722"/>
      <c r="BA469" s="722"/>
      <c r="BB469" s="722"/>
      <c r="BC469" s="722"/>
      <c r="BD469" s="722"/>
      <c r="BE469" s="706"/>
      <c r="BF469" s="706"/>
      <c r="BG469" s="694"/>
    </row>
    <row r="470" spans="1:59" ht="15.75" x14ac:dyDescent="0.25">
      <c r="A470" s="1883"/>
      <c r="B470" s="1748"/>
      <c r="C470" s="1884"/>
      <c r="D470" s="1884"/>
      <c r="E470" s="1726">
        <f t="shared" si="121"/>
        <v>0</v>
      </c>
      <c r="F470" s="1722"/>
      <c r="G470" s="1727"/>
      <c r="H470" s="1728"/>
      <c r="I470" s="1729"/>
      <c r="J470" s="1729"/>
      <c r="K470" s="1730"/>
      <c r="L470" s="1734">
        <f t="shared" si="122"/>
        <v>0</v>
      </c>
      <c r="M470" s="1735">
        <f t="shared" si="123"/>
        <v>0</v>
      </c>
      <c r="N470" s="1730"/>
      <c r="O470" s="1730"/>
      <c r="P470" s="1730"/>
      <c r="Q470" s="1730"/>
      <c r="R470" s="1730"/>
      <c r="S470" s="1730"/>
      <c r="T470" s="1730"/>
      <c r="U470" s="1730"/>
      <c r="V470" s="1730"/>
      <c r="W470" s="1730"/>
      <c r="X470" s="1903">
        <f t="shared" si="115"/>
        <v>0</v>
      </c>
      <c r="Y470" s="1733">
        <f t="shared" si="124"/>
        <v>0</v>
      </c>
      <c r="Z470" s="528"/>
      <c r="AA470" s="1560">
        <f>IF(AND($H470&gt;0,$K470&gt;0,'Allgemeine Angaben'!$F$7="4."),($M470+$N470),0)</f>
        <v>0</v>
      </c>
      <c r="AB470" s="1561">
        <f>IF(AND($H470&gt;0,$K470&gt;0,'Allgemeine Angaben'!$F$7="4."),$O470,0)</f>
        <v>0</v>
      </c>
      <c r="AC470" s="1561">
        <f>IF(AND($H470&gt;0,$K470&gt;0,'Allgemeine Angaben'!$F$7="4."),($P470),0)</f>
        <v>0</v>
      </c>
      <c r="AD470" s="1561">
        <f>IF(AND($H470&gt;0,$K470&gt;0,'Allgemeine Angaben'!$F$7="4."),$Q470,0)</f>
        <v>0</v>
      </c>
      <c r="AE470" s="1585">
        <f>(IF(AND($H470&gt;0,$K470&gt;0,'Allgemeine Angaben'!$F$7="4."),(($T470+$U470)/12),0))</f>
        <v>0</v>
      </c>
      <c r="AF470" s="1596"/>
      <c r="AG470" s="1588"/>
      <c r="AH470" s="1588"/>
      <c r="AI470" s="1588"/>
      <c r="AJ470" s="1588"/>
      <c r="AK470" s="1610"/>
      <c r="AL470" s="1590"/>
      <c r="AM470" s="1590"/>
      <c r="AN470" s="1590"/>
      <c r="AO470" s="1597"/>
      <c r="AP470" s="1695">
        <f>IF(AND($H470&gt;0,$K470&gt;0,'Allgemeine Angaben'!$F$7="4."),$H470,0)</f>
        <v>0</v>
      </c>
      <c r="AQ470" s="1581"/>
      <c r="AR470" s="1582"/>
      <c r="AS470" s="1697">
        <f>IF(AND($H470&gt;0,$K470&gt;0,'Allgemeine Angaben'!$F$7="4."),$X470,0)</f>
        <v>0</v>
      </c>
      <c r="AT470" s="1641"/>
      <c r="AU470" s="1642"/>
      <c r="AV470" s="935"/>
      <c r="AW470" s="935"/>
      <c r="AX470" s="935"/>
      <c r="AY470" s="722"/>
      <c r="AZ470" s="722"/>
      <c r="BA470" s="722"/>
      <c r="BB470" s="722"/>
      <c r="BC470" s="722"/>
      <c r="BD470" s="722"/>
      <c r="BE470" s="706"/>
      <c r="BF470" s="706"/>
      <c r="BG470" s="694"/>
    </row>
    <row r="471" spans="1:59" ht="15.75" x14ac:dyDescent="0.25">
      <c r="A471" s="1883"/>
      <c r="B471" s="1748"/>
      <c r="C471" s="1884"/>
      <c r="D471" s="1884"/>
      <c r="E471" s="1726">
        <f t="shared" si="121"/>
        <v>0</v>
      </c>
      <c r="F471" s="1722"/>
      <c r="G471" s="1727"/>
      <c r="H471" s="1728"/>
      <c r="I471" s="1729"/>
      <c r="J471" s="1729"/>
      <c r="K471" s="1730"/>
      <c r="L471" s="1734">
        <f t="shared" si="122"/>
        <v>0</v>
      </c>
      <c r="M471" s="1735">
        <f t="shared" si="123"/>
        <v>0</v>
      </c>
      <c r="N471" s="1730"/>
      <c r="O471" s="1730"/>
      <c r="P471" s="1730"/>
      <c r="Q471" s="1730"/>
      <c r="R471" s="1730"/>
      <c r="S471" s="1730"/>
      <c r="T471" s="1730"/>
      <c r="U471" s="1730"/>
      <c r="V471" s="1730"/>
      <c r="W471" s="1730"/>
      <c r="X471" s="1903">
        <f t="shared" si="115"/>
        <v>0</v>
      </c>
      <c r="Y471" s="1733">
        <f t="shared" si="124"/>
        <v>0</v>
      </c>
      <c r="Z471" s="528"/>
      <c r="AA471" s="1560">
        <f>IF(AND($H471&gt;0,$K471&gt;0,'Allgemeine Angaben'!$F$7="4."),($M471+$N471),0)</f>
        <v>0</v>
      </c>
      <c r="AB471" s="1561">
        <f>IF(AND($H471&gt;0,$K471&gt;0,'Allgemeine Angaben'!$F$7="4."),$O471,0)</f>
        <v>0</v>
      </c>
      <c r="AC471" s="1561">
        <f>IF(AND($H471&gt;0,$K471&gt;0,'Allgemeine Angaben'!$F$7="4."),($P471),0)</f>
        <v>0</v>
      </c>
      <c r="AD471" s="1561">
        <f>IF(AND($H471&gt;0,$K471&gt;0,'Allgemeine Angaben'!$F$7="4."),$Q471,0)</f>
        <v>0</v>
      </c>
      <c r="AE471" s="1585">
        <f>(IF(AND($H471&gt;0,$K471&gt;0,'Allgemeine Angaben'!$F$7="4."),(($T471+$U471)/12),0))</f>
        <v>0</v>
      </c>
      <c r="AF471" s="1596"/>
      <c r="AG471" s="1588"/>
      <c r="AH471" s="1588"/>
      <c r="AI471" s="1588"/>
      <c r="AJ471" s="1588"/>
      <c r="AK471" s="1610"/>
      <c r="AL471" s="1590"/>
      <c r="AM471" s="1590"/>
      <c r="AN471" s="1590"/>
      <c r="AO471" s="1597"/>
      <c r="AP471" s="1695">
        <f>IF(AND($H471&gt;0,$K471&gt;0,'Allgemeine Angaben'!$F$7="4."),$H471,0)</f>
        <v>0</v>
      </c>
      <c r="AQ471" s="1581"/>
      <c r="AR471" s="1582"/>
      <c r="AS471" s="1697">
        <f>IF(AND($H471&gt;0,$K471&gt;0,'Allgemeine Angaben'!$F$7="4."),$X471,0)</f>
        <v>0</v>
      </c>
      <c r="AT471" s="1641"/>
      <c r="AU471" s="1642"/>
      <c r="AV471" s="935"/>
      <c r="AW471" s="935"/>
      <c r="AX471" s="935"/>
      <c r="AY471" s="722"/>
      <c r="AZ471" s="722"/>
      <c r="BA471" s="722"/>
      <c r="BB471" s="722"/>
      <c r="BC471" s="722"/>
      <c r="BD471" s="722"/>
      <c r="BE471" s="706"/>
      <c r="BF471" s="706"/>
      <c r="BG471" s="694"/>
    </row>
    <row r="472" spans="1:59" ht="15.75" x14ac:dyDescent="0.25">
      <c r="A472" s="1883"/>
      <c r="B472" s="1748"/>
      <c r="C472" s="1884"/>
      <c r="D472" s="1884"/>
      <c r="E472" s="1726">
        <f t="shared" si="121"/>
        <v>0</v>
      </c>
      <c r="F472" s="1722"/>
      <c r="G472" s="1727"/>
      <c r="H472" s="1728"/>
      <c r="I472" s="1729"/>
      <c r="J472" s="1729"/>
      <c r="K472" s="1730"/>
      <c r="L472" s="1734">
        <f t="shared" si="122"/>
        <v>0</v>
      </c>
      <c r="M472" s="1735">
        <f t="shared" si="123"/>
        <v>0</v>
      </c>
      <c r="N472" s="1730"/>
      <c r="O472" s="1730"/>
      <c r="P472" s="1730"/>
      <c r="Q472" s="1730"/>
      <c r="R472" s="1730"/>
      <c r="S472" s="1730"/>
      <c r="T472" s="1730"/>
      <c r="U472" s="1730"/>
      <c r="V472" s="1730"/>
      <c r="W472" s="1730"/>
      <c r="X472" s="1903">
        <f t="shared" si="115"/>
        <v>0</v>
      </c>
      <c r="Y472" s="1733">
        <f t="shared" si="124"/>
        <v>0</v>
      </c>
      <c r="Z472" s="528"/>
      <c r="AA472" s="1560">
        <f>IF(AND($H472&gt;0,$K472&gt;0,'Allgemeine Angaben'!$F$7="4."),($M472+$N472),0)</f>
        <v>0</v>
      </c>
      <c r="AB472" s="1561">
        <f>IF(AND($H472&gt;0,$K472&gt;0,'Allgemeine Angaben'!$F$7="4."),$O472,0)</f>
        <v>0</v>
      </c>
      <c r="AC472" s="1561">
        <f>IF(AND($H472&gt;0,$K472&gt;0,'Allgemeine Angaben'!$F$7="4."),($P472),0)</f>
        <v>0</v>
      </c>
      <c r="AD472" s="1561">
        <f>IF(AND($H472&gt;0,$K472&gt;0,'Allgemeine Angaben'!$F$7="4."),$Q472,0)</f>
        <v>0</v>
      </c>
      <c r="AE472" s="1585">
        <f>(IF(AND($H472&gt;0,$K472&gt;0,'Allgemeine Angaben'!$F$7="4."),(($T472+$U472)/12),0))</f>
        <v>0</v>
      </c>
      <c r="AF472" s="1596"/>
      <c r="AG472" s="1588"/>
      <c r="AH472" s="1588"/>
      <c r="AI472" s="1588"/>
      <c r="AJ472" s="1588"/>
      <c r="AK472" s="1610"/>
      <c r="AL472" s="1590"/>
      <c r="AM472" s="1590"/>
      <c r="AN472" s="1590"/>
      <c r="AO472" s="1597"/>
      <c r="AP472" s="1695">
        <f>IF(AND($H472&gt;0,$K472&gt;0,'Allgemeine Angaben'!$F$7="4."),$H472,0)</f>
        <v>0</v>
      </c>
      <c r="AQ472" s="1581"/>
      <c r="AR472" s="1582"/>
      <c r="AS472" s="1697">
        <f>IF(AND($H472&gt;0,$K472&gt;0,'Allgemeine Angaben'!$F$7="4."),$X472,0)</f>
        <v>0</v>
      </c>
      <c r="AT472" s="1641"/>
      <c r="AU472" s="1642"/>
      <c r="AV472" s="935"/>
      <c r="AW472" s="935"/>
      <c r="AX472" s="935"/>
      <c r="AY472" s="722"/>
      <c r="AZ472" s="722"/>
      <c r="BA472" s="722"/>
      <c r="BB472" s="722"/>
      <c r="BC472" s="722"/>
      <c r="BD472" s="722"/>
      <c r="BE472" s="706"/>
      <c r="BF472" s="706"/>
      <c r="BG472" s="694"/>
    </row>
    <row r="473" spans="1:59" ht="15.75" x14ac:dyDescent="0.25">
      <c r="A473" s="1883"/>
      <c r="B473" s="1748"/>
      <c r="C473" s="1884"/>
      <c r="D473" s="1884"/>
      <c r="E473" s="1726">
        <f t="shared" si="121"/>
        <v>0</v>
      </c>
      <c r="F473" s="1722"/>
      <c r="G473" s="1727"/>
      <c r="H473" s="1728"/>
      <c r="I473" s="1729"/>
      <c r="J473" s="1729"/>
      <c r="K473" s="1730"/>
      <c r="L473" s="1734">
        <f t="shared" si="122"/>
        <v>0</v>
      </c>
      <c r="M473" s="1735">
        <f t="shared" si="123"/>
        <v>0</v>
      </c>
      <c r="N473" s="1730"/>
      <c r="O473" s="1730"/>
      <c r="P473" s="1730"/>
      <c r="Q473" s="1730"/>
      <c r="R473" s="1730"/>
      <c r="S473" s="1730"/>
      <c r="T473" s="1730"/>
      <c r="U473" s="1730"/>
      <c r="V473" s="1730"/>
      <c r="W473" s="1730"/>
      <c r="X473" s="1903">
        <f t="shared" si="115"/>
        <v>0</v>
      </c>
      <c r="Y473" s="1733">
        <f t="shared" si="124"/>
        <v>0</v>
      </c>
      <c r="Z473" s="528"/>
      <c r="AA473" s="1560">
        <f>IF(AND($H473&gt;0,$K473&gt;0,'Allgemeine Angaben'!$F$7="4."),($M473+$N473),0)</f>
        <v>0</v>
      </c>
      <c r="AB473" s="1561">
        <f>IF(AND($H473&gt;0,$K473&gt;0,'Allgemeine Angaben'!$F$7="4."),$O473,0)</f>
        <v>0</v>
      </c>
      <c r="AC473" s="1561">
        <f>IF(AND($H473&gt;0,$K473&gt;0,'Allgemeine Angaben'!$F$7="4."),($P473),0)</f>
        <v>0</v>
      </c>
      <c r="AD473" s="1561">
        <f>IF(AND($H473&gt;0,$K473&gt;0,'Allgemeine Angaben'!$F$7="4."),$Q473,0)</f>
        <v>0</v>
      </c>
      <c r="AE473" s="1585">
        <f>(IF(AND($H473&gt;0,$K473&gt;0,'Allgemeine Angaben'!$F$7="4."),(($T473+$U473)/12),0))</f>
        <v>0</v>
      </c>
      <c r="AF473" s="1596"/>
      <c r="AG473" s="1588"/>
      <c r="AH473" s="1588"/>
      <c r="AI473" s="1588"/>
      <c r="AJ473" s="1588"/>
      <c r="AK473" s="1612"/>
      <c r="AL473" s="1590"/>
      <c r="AM473" s="1590"/>
      <c r="AN473" s="1590"/>
      <c r="AO473" s="1597"/>
      <c r="AP473" s="1695">
        <f>IF(AND($H473&gt;0,$K473&gt;0,'Allgemeine Angaben'!$F$7="4."),$H473,0)</f>
        <v>0</v>
      </c>
      <c r="AQ473" s="1581"/>
      <c r="AR473" s="1582"/>
      <c r="AS473" s="1697">
        <f>IF(AND($H473&gt;0,$K473&gt;0,'Allgemeine Angaben'!$F$7="4."),$X473,0)</f>
        <v>0</v>
      </c>
      <c r="AT473" s="1641"/>
      <c r="AU473" s="1642"/>
      <c r="AV473" s="935"/>
      <c r="AW473" s="935"/>
      <c r="AX473" s="935"/>
      <c r="AY473" s="722"/>
      <c r="AZ473" s="722"/>
      <c r="BA473" s="722"/>
      <c r="BB473" s="722"/>
      <c r="BC473" s="722"/>
      <c r="BD473" s="722"/>
      <c r="BE473" s="706"/>
      <c r="BF473" s="706"/>
      <c r="BG473" s="694"/>
    </row>
    <row r="474" spans="1:59" ht="15.75" x14ac:dyDescent="0.25">
      <c r="A474" s="1765" t="str">
        <f>IF('Allgemeine Angaben'!$F$7="4.","Präsenzkräfte mit mind. einjähriger Berufsausbildung","Pflege- und Betreuungskräfte mit mind. einjähriger Berufsausbildung im Funktionsbereich Hauswirtschaft")</f>
        <v>Pflege- und Betreuungskräfte mit mind. einjähriger Berufsausbildung im Funktionsbereich Hauswirtschaft</v>
      </c>
      <c r="B474" s="1077"/>
      <c r="C474" s="1078"/>
      <c r="D474" s="1078"/>
      <c r="E474" s="1078"/>
      <c r="F474" s="1723" t="str">
        <f>IF('Allgemeine Angaben'!$F$7="4.","Präsenzkräfte mit mind. einjähriger Berufsausbildung","Pflege- und Betreuungskräfte mit mind. einjähriger Berufsausbildung im Funktionsbereich Hauswirtschaft")</f>
        <v>Pflege- und Betreuungskräfte mit mind. einjähriger Berufsausbildung im Funktionsbereich Hauswirtschaft</v>
      </c>
      <c r="G474" s="1079"/>
      <c r="H474" s="1080"/>
      <c r="I474" s="1081"/>
      <c r="J474" s="1081"/>
      <c r="K474" s="1082"/>
      <c r="L474" s="1082"/>
      <c r="M474" s="1082"/>
      <c r="N474" s="1082"/>
      <c r="O474" s="1082"/>
      <c r="P474" s="1082"/>
      <c r="Q474" s="1082"/>
      <c r="R474" s="1082"/>
      <c r="S474" s="1082"/>
      <c r="T474" s="1082"/>
      <c r="U474" s="1082"/>
      <c r="V474" s="1082"/>
      <c r="W474" s="1082"/>
      <c r="X474" s="1082"/>
      <c r="Y474" s="1083"/>
      <c r="Z474" s="528"/>
      <c r="AA474" s="1617"/>
      <c r="AB474" s="1618"/>
      <c r="AC474" s="1618"/>
      <c r="AD474" s="1618"/>
      <c r="AE474" s="1618"/>
      <c r="AF474" s="1658"/>
      <c r="AG474" s="1659"/>
      <c r="AH474" s="1659"/>
      <c r="AI474" s="1659"/>
      <c r="AJ474" s="1659"/>
      <c r="AK474" s="1593"/>
      <c r="AL474" s="1594"/>
      <c r="AM474" s="1594"/>
      <c r="AN474" s="1594"/>
      <c r="AO474" s="1594"/>
      <c r="AP474" s="1653"/>
      <c r="AQ474" s="1614"/>
      <c r="AR474" s="1690"/>
      <c r="AS474" s="1646"/>
      <c r="AT474" s="1648"/>
      <c r="AU474" s="1640"/>
      <c r="AV474" s="935"/>
      <c r="AW474" s="935"/>
      <c r="AX474" s="935"/>
      <c r="AY474" s="722"/>
      <c r="AZ474" s="722"/>
      <c r="BA474" s="722"/>
      <c r="BB474" s="722"/>
      <c r="BC474" s="722"/>
      <c r="BD474" s="722"/>
      <c r="BE474" s="706"/>
      <c r="BF474" s="706"/>
      <c r="BG474" s="694"/>
    </row>
    <row r="475" spans="1:59" ht="15.75" x14ac:dyDescent="0.25">
      <c r="A475" s="1883"/>
      <c r="B475" s="1748"/>
      <c r="C475" s="1884"/>
      <c r="D475" s="1884"/>
      <c r="E475" s="1726">
        <f t="shared" si="114"/>
        <v>0</v>
      </c>
      <c r="F475" s="1722"/>
      <c r="G475" s="1727"/>
      <c r="H475" s="1728"/>
      <c r="I475" s="1729"/>
      <c r="J475" s="1729"/>
      <c r="K475" s="1730"/>
      <c r="L475" s="1734">
        <f>IFERROR(IF($K$24="VK",K475,K475/H475),0)</f>
        <v>0</v>
      </c>
      <c r="M475" s="1735">
        <f>IFERROR(L475*H475,"")</f>
        <v>0</v>
      </c>
      <c r="N475" s="1730"/>
      <c r="O475" s="1730"/>
      <c r="P475" s="1730"/>
      <c r="Q475" s="1730"/>
      <c r="R475" s="1730"/>
      <c r="S475" s="1730"/>
      <c r="T475" s="1730"/>
      <c r="U475" s="1730"/>
      <c r="V475" s="1730"/>
      <c r="W475" s="1730"/>
      <c r="X475" s="1903">
        <f t="shared" si="115"/>
        <v>0</v>
      </c>
      <c r="Y475" s="1733">
        <f>IF(ISERROR(X475/H475),0,(X475/H475))</f>
        <v>0</v>
      </c>
      <c r="Z475" s="528"/>
      <c r="AA475" s="1617"/>
      <c r="AB475" s="1618"/>
      <c r="AC475" s="1618"/>
      <c r="AD475" s="1618"/>
      <c r="AE475" s="1619"/>
      <c r="AF475" s="1692">
        <f>(IF(AND($H475&gt;0,$K475&gt;0),($M475+$N475),0))</f>
        <v>0</v>
      </c>
      <c r="AG475" s="1654">
        <f>(IF(AND($H475&gt;0,$K475&gt;0,),$O475,0))</f>
        <v>0</v>
      </c>
      <c r="AH475" s="1654">
        <f>(IF(AND($H475&gt;0,$K475&gt;0),$P475,0))</f>
        <v>0</v>
      </c>
      <c r="AI475" s="1654">
        <f>(IF(AND($H475&gt;0,$K475&gt;0),$Q475,0))</f>
        <v>0</v>
      </c>
      <c r="AJ475" s="1684">
        <f>(IF(AND($H475&gt;0,$K475&gt;0),(($T475+$U475)/12),0))</f>
        <v>0</v>
      </c>
      <c r="AK475" s="1608"/>
      <c r="AL475" s="1594"/>
      <c r="AM475" s="1594"/>
      <c r="AN475" s="1594"/>
      <c r="AO475" s="1594"/>
      <c r="AP475" s="1670"/>
      <c r="AQ475" s="1687">
        <f>IF(AND($H475&gt;0,$K475&gt;0),$H475,0)</f>
        <v>0</v>
      </c>
      <c r="AR475" s="1603"/>
      <c r="AS475" s="1688"/>
      <c r="AT475" s="1663">
        <f>IF(AND($H475&gt;0,$K475&gt;0),$X475,0)</f>
        <v>0</v>
      </c>
      <c r="AU475" s="1666"/>
      <c r="AV475" s="935"/>
      <c r="AW475" s="935"/>
      <c r="AX475" s="935"/>
      <c r="AY475" s="722"/>
      <c r="AZ475" s="722"/>
      <c r="BA475" s="722"/>
      <c r="BB475" s="722"/>
      <c r="BC475" s="722"/>
      <c r="BD475" s="722"/>
      <c r="BE475" s="706"/>
      <c r="BF475" s="706"/>
      <c r="BG475" s="694"/>
    </row>
    <row r="476" spans="1:59" ht="15.75" x14ac:dyDescent="0.25">
      <c r="A476" s="1883"/>
      <c r="B476" s="1748"/>
      <c r="C476" s="1884"/>
      <c r="D476" s="1884"/>
      <c r="E476" s="1726">
        <f t="shared" si="114"/>
        <v>0</v>
      </c>
      <c r="F476" s="1722"/>
      <c r="G476" s="1727"/>
      <c r="H476" s="1728"/>
      <c r="I476" s="1729"/>
      <c r="J476" s="1729"/>
      <c r="K476" s="1730"/>
      <c r="L476" s="1734">
        <f t="shared" ref="L476:L504" si="125">IFERROR(IF($K$24="VK",K476,K476/H476),0)</f>
        <v>0</v>
      </c>
      <c r="M476" s="1735">
        <f t="shared" ref="M476:M504" si="126">IFERROR(L476*H476,"")</f>
        <v>0</v>
      </c>
      <c r="N476" s="1730"/>
      <c r="O476" s="1730"/>
      <c r="P476" s="1730"/>
      <c r="Q476" s="1730"/>
      <c r="R476" s="1730"/>
      <c r="S476" s="1730"/>
      <c r="T476" s="1730"/>
      <c r="U476" s="1730"/>
      <c r="V476" s="1730"/>
      <c r="W476" s="1730"/>
      <c r="X476" s="1903">
        <f t="shared" si="115"/>
        <v>0</v>
      </c>
      <c r="Y476" s="1733">
        <f t="shared" ref="Y476:Y504" si="127">IF(ISERROR(X476/H476),0,(X476/H476))</f>
        <v>0</v>
      </c>
      <c r="Z476" s="528"/>
      <c r="AA476" s="1620"/>
      <c r="AB476" s="1616"/>
      <c r="AC476" s="1616"/>
      <c r="AD476" s="1616"/>
      <c r="AE476" s="1621"/>
      <c r="AF476" s="1692">
        <f t="shared" ref="AF476:AF504" si="128">(IF(AND($H476&gt;0,$K476&gt;0),($M476+$N476),0))</f>
        <v>0</v>
      </c>
      <c r="AG476" s="1654">
        <f t="shared" ref="AG476:AG504" si="129">(IF(AND($H476&gt;0,$K476&gt;0,),$O476,0))</f>
        <v>0</v>
      </c>
      <c r="AH476" s="1654">
        <f t="shared" ref="AH476:AH504" si="130">(IF(AND($H476&gt;0,$K476&gt;0),$P476,0))</f>
        <v>0</v>
      </c>
      <c r="AI476" s="1654">
        <f t="shared" ref="AI476:AI504" si="131">(IF(AND($H476&gt;0,$K476&gt;0),$Q476,0))</f>
        <v>0</v>
      </c>
      <c r="AJ476" s="1684">
        <f t="shared" ref="AJ476:AJ504" si="132">(IF(AND($H476&gt;0,$K476&gt;0),(($T476+$U476)/12),0))</f>
        <v>0</v>
      </c>
      <c r="AK476" s="1610"/>
      <c r="AL476" s="1590"/>
      <c r="AM476" s="1590"/>
      <c r="AN476" s="1590"/>
      <c r="AO476" s="1590"/>
      <c r="AP476" s="1686"/>
      <c r="AQ476" s="1687">
        <f t="shared" ref="AQ476:AQ504" si="133">IF(AND($H476&gt;0,$K476&gt;0),$H476,0)</f>
        <v>0</v>
      </c>
      <c r="AR476" s="1604"/>
      <c r="AS476" s="1689"/>
      <c r="AT476" s="1663">
        <f t="shared" ref="AT476:AT504" si="134">IF(AND($H476&gt;0,$K476&gt;0),$X476,0)</f>
        <v>0</v>
      </c>
      <c r="AU476" s="1667"/>
      <c r="AV476" s="935"/>
      <c r="AW476" s="935"/>
      <c r="AX476" s="935"/>
      <c r="AY476" s="722"/>
      <c r="AZ476" s="722"/>
      <c r="BA476" s="722"/>
      <c r="BB476" s="722"/>
      <c r="BC476" s="722"/>
      <c r="BD476" s="722"/>
      <c r="BE476" s="706"/>
      <c r="BF476" s="706"/>
      <c r="BG476" s="694"/>
    </row>
    <row r="477" spans="1:59" ht="15.75" x14ac:dyDescent="0.25">
      <c r="A477" s="1883"/>
      <c r="B477" s="1748"/>
      <c r="C477" s="1884"/>
      <c r="D477" s="1884"/>
      <c r="E477" s="1726">
        <f t="shared" si="114"/>
        <v>0</v>
      </c>
      <c r="F477" s="1722"/>
      <c r="G477" s="1727"/>
      <c r="H477" s="1728"/>
      <c r="I477" s="1729"/>
      <c r="J477" s="1729"/>
      <c r="K477" s="1730"/>
      <c r="L477" s="1734">
        <f t="shared" si="125"/>
        <v>0</v>
      </c>
      <c r="M477" s="1735">
        <f t="shared" si="126"/>
        <v>0</v>
      </c>
      <c r="N477" s="1730"/>
      <c r="O477" s="1730"/>
      <c r="P477" s="1730"/>
      <c r="Q477" s="1730"/>
      <c r="R477" s="1730"/>
      <c r="S477" s="1730"/>
      <c r="T477" s="1730"/>
      <c r="U477" s="1730"/>
      <c r="V477" s="1730"/>
      <c r="W477" s="1730"/>
      <c r="X477" s="1903">
        <f t="shared" si="115"/>
        <v>0</v>
      </c>
      <c r="Y477" s="1733">
        <f t="shared" si="127"/>
        <v>0</v>
      </c>
      <c r="Z477" s="528"/>
      <c r="AA477" s="1620"/>
      <c r="AB477" s="1616"/>
      <c r="AC477" s="1616"/>
      <c r="AD477" s="1616"/>
      <c r="AE477" s="1621"/>
      <c r="AF477" s="1692">
        <f t="shared" si="128"/>
        <v>0</v>
      </c>
      <c r="AG477" s="1654">
        <f t="shared" si="129"/>
        <v>0</v>
      </c>
      <c r="AH477" s="1654">
        <f t="shared" si="130"/>
        <v>0</v>
      </c>
      <c r="AI477" s="1654">
        <f t="shared" si="131"/>
        <v>0</v>
      </c>
      <c r="AJ477" s="1684">
        <f t="shared" si="132"/>
        <v>0</v>
      </c>
      <c r="AK477" s="1610"/>
      <c r="AL477" s="1590"/>
      <c r="AM477" s="1590"/>
      <c r="AN477" s="1590"/>
      <c r="AO477" s="1590"/>
      <c r="AP477" s="1686"/>
      <c r="AQ477" s="1687">
        <f t="shared" si="133"/>
        <v>0</v>
      </c>
      <c r="AR477" s="1604"/>
      <c r="AS477" s="1689"/>
      <c r="AT477" s="1663">
        <f t="shared" si="134"/>
        <v>0</v>
      </c>
      <c r="AU477" s="1667"/>
      <c r="AV477" s="935"/>
      <c r="AW477" s="935"/>
      <c r="AX477" s="935"/>
      <c r="AY477" s="722"/>
      <c r="AZ477" s="722"/>
      <c r="BA477" s="722"/>
      <c r="BB477" s="722"/>
      <c r="BC477" s="722"/>
      <c r="BD477" s="722"/>
      <c r="BE477" s="706"/>
      <c r="BF477" s="706"/>
      <c r="BG477" s="694"/>
    </row>
    <row r="478" spans="1:59" ht="15.75" x14ac:dyDescent="0.25">
      <c r="A478" s="1883"/>
      <c r="B478" s="1748"/>
      <c r="C478" s="1884"/>
      <c r="D478" s="1884"/>
      <c r="E478" s="1726">
        <f t="shared" si="114"/>
        <v>0</v>
      </c>
      <c r="F478" s="1722"/>
      <c r="G478" s="1727"/>
      <c r="H478" s="1728"/>
      <c r="I478" s="1729"/>
      <c r="J478" s="1729"/>
      <c r="K478" s="1730"/>
      <c r="L478" s="1734">
        <f t="shared" si="125"/>
        <v>0</v>
      </c>
      <c r="M478" s="1735">
        <f t="shared" si="126"/>
        <v>0</v>
      </c>
      <c r="N478" s="1730"/>
      <c r="O478" s="1730"/>
      <c r="P478" s="1730"/>
      <c r="Q478" s="1730"/>
      <c r="R478" s="1730"/>
      <c r="S478" s="1730"/>
      <c r="T478" s="1730"/>
      <c r="U478" s="1730"/>
      <c r="V478" s="1730"/>
      <c r="W478" s="1730"/>
      <c r="X478" s="1903">
        <f t="shared" si="115"/>
        <v>0</v>
      </c>
      <c r="Y478" s="1733">
        <f t="shared" si="127"/>
        <v>0</v>
      </c>
      <c r="Z478" s="528"/>
      <c r="AA478" s="1620"/>
      <c r="AB478" s="1616"/>
      <c r="AC478" s="1616"/>
      <c r="AD478" s="1616"/>
      <c r="AE478" s="1621"/>
      <c r="AF478" s="1692">
        <f t="shared" si="128"/>
        <v>0</v>
      </c>
      <c r="AG478" s="1654">
        <f t="shared" si="129"/>
        <v>0</v>
      </c>
      <c r="AH478" s="1654">
        <f t="shared" si="130"/>
        <v>0</v>
      </c>
      <c r="AI478" s="1654">
        <f t="shared" si="131"/>
        <v>0</v>
      </c>
      <c r="AJ478" s="1684">
        <f t="shared" si="132"/>
        <v>0</v>
      </c>
      <c r="AK478" s="1610"/>
      <c r="AL478" s="1590"/>
      <c r="AM478" s="1590"/>
      <c r="AN478" s="1590"/>
      <c r="AO478" s="1590"/>
      <c r="AP478" s="1686"/>
      <c r="AQ478" s="1687">
        <f t="shared" si="133"/>
        <v>0</v>
      </c>
      <c r="AR478" s="1604"/>
      <c r="AS478" s="1689"/>
      <c r="AT478" s="1663">
        <f t="shared" si="134"/>
        <v>0</v>
      </c>
      <c r="AU478" s="1667"/>
      <c r="AV478" s="935"/>
      <c r="AW478" s="935"/>
      <c r="AX478" s="935"/>
      <c r="AY478" s="722"/>
      <c r="AZ478" s="722"/>
      <c r="BA478" s="722"/>
      <c r="BB478" s="722"/>
      <c r="BC478" s="722"/>
      <c r="BD478" s="722"/>
      <c r="BE478" s="706"/>
      <c r="BF478" s="706"/>
      <c r="BG478" s="694"/>
    </row>
    <row r="479" spans="1:59" ht="15.75" x14ac:dyDescent="0.25">
      <c r="A479" s="1883"/>
      <c r="B479" s="1748"/>
      <c r="C479" s="1884"/>
      <c r="D479" s="1884"/>
      <c r="E479" s="1726">
        <f t="shared" si="114"/>
        <v>0</v>
      </c>
      <c r="F479" s="1722"/>
      <c r="G479" s="1727"/>
      <c r="H479" s="1728"/>
      <c r="I479" s="1729"/>
      <c r="J479" s="1729"/>
      <c r="K479" s="1730"/>
      <c r="L479" s="1734">
        <f t="shared" si="125"/>
        <v>0</v>
      </c>
      <c r="M479" s="1735">
        <f t="shared" si="126"/>
        <v>0</v>
      </c>
      <c r="N479" s="1730"/>
      <c r="O479" s="1730"/>
      <c r="P479" s="1730"/>
      <c r="Q479" s="1730"/>
      <c r="R479" s="1730"/>
      <c r="S479" s="1730"/>
      <c r="T479" s="1730"/>
      <c r="U479" s="1730"/>
      <c r="V479" s="1730"/>
      <c r="W479" s="1730"/>
      <c r="X479" s="1903">
        <f t="shared" si="115"/>
        <v>0</v>
      </c>
      <c r="Y479" s="1733">
        <f t="shared" si="127"/>
        <v>0</v>
      </c>
      <c r="Z479" s="528"/>
      <c r="AA479" s="1620"/>
      <c r="AB479" s="1616"/>
      <c r="AC479" s="1616"/>
      <c r="AD479" s="1616"/>
      <c r="AE479" s="1621"/>
      <c r="AF479" s="1692">
        <f t="shared" si="128"/>
        <v>0</v>
      </c>
      <c r="AG479" s="1654">
        <f t="shared" si="129"/>
        <v>0</v>
      </c>
      <c r="AH479" s="1654">
        <f t="shared" si="130"/>
        <v>0</v>
      </c>
      <c r="AI479" s="1654">
        <f t="shared" si="131"/>
        <v>0</v>
      </c>
      <c r="AJ479" s="1684">
        <f t="shared" si="132"/>
        <v>0</v>
      </c>
      <c r="AK479" s="1610"/>
      <c r="AL479" s="1590"/>
      <c r="AM479" s="1590"/>
      <c r="AN479" s="1590"/>
      <c r="AO479" s="1590"/>
      <c r="AP479" s="1686"/>
      <c r="AQ479" s="1687">
        <f t="shared" si="133"/>
        <v>0</v>
      </c>
      <c r="AR479" s="1604"/>
      <c r="AS479" s="1689"/>
      <c r="AT479" s="1663">
        <f t="shared" si="134"/>
        <v>0</v>
      </c>
      <c r="AU479" s="1667"/>
      <c r="AV479" s="935"/>
      <c r="AW479" s="935"/>
      <c r="AX479" s="935"/>
      <c r="AY479" s="722"/>
      <c r="AZ479" s="722"/>
      <c r="BA479" s="722"/>
      <c r="BB479" s="722"/>
      <c r="BC479" s="722"/>
      <c r="BD479" s="722"/>
      <c r="BE479" s="706"/>
      <c r="BF479" s="706"/>
      <c r="BG479" s="694"/>
    </row>
    <row r="480" spans="1:59" ht="15.75" x14ac:dyDescent="0.25">
      <c r="A480" s="1883"/>
      <c r="B480" s="1748"/>
      <c r="C480" s="1884"/>
      <c r="D480" s="1884"/>
      <c r="E480" s="1726">
        <f t="shared" si="114"/>
        <v>0</v>
      </c>
      <c r="F480" s="1722"/>
      <c r="G480" s="1727"/>
      <c r="H480" s="1728"/>
      <c r="I480" s="1729"/>
      <c r="J480" s="1729"/>
      <c r="K480" s="1730"/>
      <c r="L480" s="1734">
        <f t="shared" si="125"/>
        <v>0</v>
      </c>
      <c r="M480" s="1735">
        <f t="shared" si="126"/>
        <v>0</v>
      </c>
      <c r="N480" s="1730"/>
      <c r="O480" s="1730"/>
      <c r="P480" s="1730"/>
      <c r="Q480" s="1730"/>
      <c r="R480" s="1730"/>
      <c r="S480" s="1730"/>
      <c r="T480" s="1730"/>
      <c r="U480" s="1730"/>
      <c r="V480" s="1730"/>
      <c r="W480" s="1730"/>
      <c r="X480" s="1903">
        <f t="shared" si="115"/>
        <v>0</v>
      </c>
      <c r="Y480" s="1733">
        <f t="shared" si="127"/>
        <v>0</v>
      </c>
      <c r="Z480" s="528"/>
      <c r="AA480" s="1620"/>
      <c r="AB480" s="1616"/>
      <c r="AC480" s="1616"/>
      <c r="AD480" s="1616"/>
      <c r="AE480" s="1621"/>
      <c r="AF480" s="1692">
        <f t="shared" si="128"/>
        <v>0</v>
      </c>
      <c r="AG480" s="1654">
        <f t="shared" si="129"/>
        <v>0</v>
      </c>
      <c r="AH480" s="1654">
        <f t="shared" si="130"/>
        <v>0</v>
      </c>
      <c r="AI480" s="1654">
        <f t="shared" si="131"/>
        <v>0</v>
      </c>
      <c r="AJ480" s="1684">
        <f t="shared" si="132"/>
        <v>0</v>
      </c>
      <c r="AK480" s="1610"/>
      <c r="AL480" s="1590"/>
      <c r="AM480" s="1590"/>
      <c r="AN480" s="1590"/>
      <c r="AO480" s="1590"/>
      <c r="AP480" s="1686"/>
      <c r="AQ480" s="1687">
        <f t="shared" si="133"/>
        <v>0</v>
      </c>
      <c r="AR480" s="1604"/>
      <c r="AS480" s="1689"/>
      <c r="AT480" s="1663">
        <f t="shared" si="134"/>
        <v>0</v>
      </c>
      <c r="AU480" s="1667"/>
      <c r="AV480" s="935"/>
      <c r="AW480" s="935"/>
      <c r="AX480" s="935"/>
      <c r="AY480" s="722"/>
      <c r="AZ480" s="722"/>
      <c r="BA480" s="722"/>
      <c r="BB480" s="722"/>
      <c r="BC480" s="722"/>
      <c r="BD480" s="722"/>
      <c r="BE480" s="706"/>
      <c r="BF480" s="706"/>
      <c r="BG480" s="694"/>
    </row>
    <row r="481" spans="1:59" ht="15.75" x14ac:dyDescent="0.25">
      <c r="A481" s="1883"/>
      <c r="B481" s="1748"/>
      <c r="C481" s="1884"/>
      <c r="D481" s="1884"/>
      <c r="E481" s="1726">
        <f t="shared" si="114"/>
        <v>0</v>
      </c>
      <c r="F481" s="1722"/>
      <c r="G481" s="1727"/>
      <c r="H481" s="1728"/>
      <c r="I481" s="1729"/>
      <c r="J481" s="1729"/>
      <c r="K481" s="1730"/>
      <c r="L481" s="1734">
        <f t="shared" si="125"/>
        <v>0</v>
      </c>
      <c r="M481" s="1735">
        <f t="shared" si="126"/>
        <v>0</v>
      </c>
      <c r="N481" s="1730"/>
      <c r="O481" s="1730"/>
      <c r="P481" s="1730"/>
      <c r="Q481" s="1730"/>
      <c r="R481" s="1730"/>
      <c r="S481" s="1730"/>
      <c r="T481" s="1730"/>
      <c r="U481" s="1730"/>
      <c r="V481" s="1730"/>
      <c r="W481" s="1730"/>
      <c r="X481" s="1903">
        <f t="shared" si="115"/>
        <v>0</v>
      </c>
      <c r="Y481" s="1733">
        <f t="shared" si="127"/>
        <v>0</v>
      </c>
      <c r="Z481" s="528"/>
      <c r="AA481" s="1620"/>
      <c r="AB481" s="1616"/>
      <c r="AC481" s="1616"/>
      <c r="AD481" s="1616"/>
      <c r="AE481" s="1621"/>
      <c r="AF481" s="1692">
        <f t="shared" si="128"/>
        <v>0</v>
      </c>
      <c r="AG481" s="1654">
        <f t="shared" si="129"/>
        <v>0</v>
      </c>
      <c r="AH481" s="1654">
        <f t="shared" si="130"/>
        <v>0</v>
      </c>
      <c r="AI481" s="1654">
        <f t="shared" si="131"/>
        <v>0</v>
      </c>
      <c r="AJ481" s="1684">
        <f t="shared" si="132"/>
        <v>0</v>
      </c>
      <c r="AK481" s="1610"/>
      <c r="AL481" s="1590"/>
      <c r="AM481" s="1590"/>
      <c r="AN481" s="1590"/>
      <c r="AO481" s="1590"/>
      <c r="AP481" s="1686"/>
      <c r="AQ481" s="1687">
        <f t="shared" si="133"/>
        <v>0</v>
      </c>
      <c r="AR481" s="1604"/>
      <c r="AS481" s="1689"/>
      <c r="AT481" s="1663">
        <f t="shared" si="134"/>
        <v>0</v>
      </c>
      <c r="AU481" s="1667"/>
      <c r="AV481" s="935"/>
      <c r="AW481" s="935"/>
      <c r="AX481" s="935"/>
      <c r="AY481" s="722"/>
      <c r="AZ481" s="722"/>
      <c r="BA481" s="722"/>
      <c r="BB481" s="722"/>
      <c r="BC481" s="722"/>
      <c r="BD481" s="722"/>
      <c r="BE481" s="706"/>
      <c r="BF481" s="706"/>
      <c r="BG481" s="694"/>
    </row>
    <row r="482" spans="1:59" ht="15.75" x14ac:dyDescent="0.25">
      <c r="A482" s="1883"/>
      <c r="B482" s="1748"/>
      <c r="C482" s="1884"/>
      <c r="D482" s="1884"/>
      <c r="E482" s="1726">
        <f t="shared" si="114"/>
        <v>0</v>
      </c>
      <c r="F482" s="1722"/>
      <c r="G482" s="1727"/>
      <c r="H482" s="1728"/>
      <c r="I482" s="1729"/>
      <c r="J482" s="1729"/>
      <c r="K482" s="1730"/>
      <c r="L482" s="1734">
        <f t="shared" si="125"/>
        <v>0</v>
      </c>
      <c r="M482" s="1735">
        <f t="shared" si="126"/>
        <v>0</v>
      </c>
      <c r="N482" s="1730"/>
      <c r="O482" s="1730"/>
      <c r="P482" s="1730"/>
      <c r="Q482" s="1730"/>
      <c r="R482" s="1730"/>
      <c r="S482" s="1730"/>
      <c r="T482" s="1730"/>
      <c r="U482" s="1730"/>
      <c r="V482" s="1730"/>
      <c r="W482" s="1730"/>
      <c r="X482" s="1903">
        <f t="shared" si="115"/>
        <v>0</v>
      </c>
      <c r="Y482" s="1733">
        <f t="shared" si="127"/>
        <v>0</v>
      </c>
      <c r="Z482" s="528"/>
      <c r="AA482" s="1620"/>
      <c r="AB482" s="1616"/>
      <c r="AC482" s="1616"/>
      <c r="AD482" s="1616"/>
      <c r="AE482" s="1621"/>
      <c r="AF482" s="1692">
        <f t="shared" si="128"/>
        <v>0</v>
      </c>
      <c r="AG482" s="1654">
        <f t="shared" si="129"/>
        <v>0</v>
      </c>
      <c r="AH482" s="1654">
        <f t="shared" si="130"/>
        <v>0</v>
      </c>
      <c r="AI482" s="1654">
        <f t="shared" si="131"/>
        <v>0</v>
      </c>
      <c r="AJ482" s="1684">
        <f t="shared" si="132"/>
        <v>0</v>
      </c>
      <c r="AK482" s="1610"/>
      <c r="AL482" s="1590"/>
      <c r="AM482" s="1590"/>
      <c r="AN482" s="1590"/>
      <c r="AO482" s="1590"/>
      <c r="AP482" s="1686"/>
      <c r="AQ482" s="1687">
        <f t="shared" si="133"/>
        <v>0</v>
      </c>
      <c r="AR482" s="1604"/>
      <c r="AS482" s="1689"/>
      <c r="AT482" s="1663">
        <f t="shared" si="134"/>
        <v>0</v>
      </c>
      <c r="AU482" s="1667"/>
      <c r="AV482" s="935"/>
      <c r="AW482" s="935"/>
      <c r="AX482" s="935"/>
      <c r="AY482" s="722"/>
      <c r="AZ482" s="722"/>
      <c r="BA482" s="722"/>
      <c r="BB482" s="722"/>
      <c r="BC482" s="722"/>
      <c r="BD482" s="722"/>
      <c r="BE482" s="706"/>
      <c r="BF482" s="706"/>
      <c r="BG482" s="694"/>
    </row>
    <row r="483" spans="1:59" ht="15.75" x14ac:dyDescent="0.25">
      <c r="A483" s="1883"/>
      <c r="B483" s="1748"/>
      <c r="C483" s="1884"/>
      <c r="D483" s="1884"/>
      <c r="E483" s="1726">
        <f t="shared" si="114"/>
        <v>0</v>
      </c>
      <c r="F483" s="1722"/>
      <c r="G483" s="1727"/>
      <c r="H483" s="1728"/>
      <c r="I483" s="1729"/>
      <c r="J483" s="1729"/>
      <c r="K483" s="1730"/>
      <c r="L483" s="1734">
        <f t="shared" si="125"/>
        <v>0</v>
      </c>
      <c r="M483" s="1735">
        <f t="shared" si="126"/>
        <v>0</v>
      </c>
      <c r="N483" s="1730"/>
      <c r="O483" s="1730"/>
      <c r="P483" s="1730"/>
      <c r="Q483" s="1730"/>
      <c r="R483" s="1730"/>
      <c r="S483" s="1730"/>
      <c r="T483" s="1730"/>
      <c r="U483" s="1730"/>
      <c r="V483" s="1730"/>
      <c r="W483" s="1730"/>
      <c r="X483" s="1903">
        <f t="shared" si="115"/>
        <v>0</v>
      </c>
      <c r="Y483" s="1733">
        <f t="shared" si="127"/>
        <v>0</v>
      </c>
      <c r="Z483" s="528"/>
      <c r="AA483" s="1620"/>
      <c r="AB483" s="1616"/>
      <c r="AC483" s="1616"/>
      <c r="AD483" s="1616"/>
      <c r="AE483" s="1621"/>
      <c r="AF483" s="1692">
        <f t="shared" si="128"/>
        <v>0</v>
      </c>
      <c r="AG483" s="1654">
        <f t="shared" si="129"/>
        <v>0</v>
      </c>
      <c r="AH483" s="1654">
        <f t="shared" si="130"/>
        <v>0</v>
      </c>
      <c r="AI483" s="1654">
        <f t="shared" si="131"/>
        <v>0</v>
      </c>
      <c r="AJ483" s="1684">
        <f t="shared" si="132"/>
        <v>0</v>
      </c>
      <c r="AK483" s="1610"/>
      <c r="AL483" s="1590"/>
      <c r="AM483" s="1590"/>
      <c r="AN483" s="1590"/>
      <c r="AO483" s="1590"/>
      <c r="AP483" s="1686"/>
      <c r="AQ483" s="1687">
        <f t="shared" si="133"/>
        <v>0</v>
      </c>
      <c r="AR483" s="1604"/>
      <c r="AS483" s="1689"/>
      <c r="AT483" s="1663">
        <f t="shared" si="134"/>
        <v>0</v>
      </c>
      <c r="AU483" s="1667"/>
      <c r="AV483" s="935"/>
      <c r="AW483" s="935"/>
      <c r="AX483" s="935"/>
      <c r="AY483" s="722"/>
      <c r="AZ483" s="722"/>
      <c r="BA483" s="722"/>
      <c r="BB483" s="722"/>
      <c r="BC483" s="722"/>
      <c r="BD483" s="722"/>
      <c r="BE483" s="706"/>
      <c r="BF483" s="706"/>
      <c r="BG483" s="694"/>
    </row>
    <row r="484" spans="1:59" ht="15.75" x14ac:dyDescent="0.25">
      <c r="A484" s="1883"/>
      <c r="B484" s="1748"/>
      <c r="C484" s="1884"/>
      <c r="D484" s="1884"/>
      <c r="E484" s="1726">
        <f t="shared" si="114"/>
        <v>0</v>
      </c>
      <c r="F484" s="1722"/>
      <c r="G484" s="1727"/>
      <c r="H484" s="1728"/>
      <c r="I484" s="1729"/>
      <c r="J484" s="1729"/>
      <c r="K484" s="1730"/>
      <c r="L484" s="1734">
        <f t="shared" si="125"/>
        <v>0</v>
      </c>
      <c r="M484" s="1735">
        <f t="shared" si="126"/>
        <v>0</v>
      </c>
      <c r="N484" s="1730"/>
      <c r="O484" s="1730"/>
      <c r="P484" s="1730"/>
      <c r="Q484" s="1730"/>
      <c r="R484" s="1730"/>
      <c r="S484" s="1730"/>
      <c r="T484" s="1730"/>
      <c r="U484" s="1730"/>
      <c r="V484" s="1730"/>
      <c r="W484" s="1730"/>
      <c r="X484" s="1903">
        <f t="shared" si="115"/>
        <v>0</v>
      </c>
      <c r="Y484" s="1733">
        <f t="shared" si="127"/>
        <v>0</v>
      </c>
      <c r="Z484" s="528"/>
      <c r="AA484" s="1620"/>
      <c r="AB484" s="1616"/>
      <c r="AC484" s="1616"/>
      <c r="AD484" s="1616"/>
      <c r="AE484" s="1621"/>
      <c r="AF484" s="1692">
        <f t="shared" si="128"/>
        <v>0</v>
      </c>
      <c r="AG484" s="1654">
        <f t="shared" si="129"/>
        <v>0</v>
      </c>
      <c r="AH484" s="1654">
        <f t="shared" si="130"/>
        <v>0</v>
      </c>
      <c r="AI484" s="1654">
        <f t="shared" si="131"/>
        <v>0</v>
      </c>
      <c r="AJ484" s="1684">
        <f t="shared" si="132"/>
        <v>0</v>
      </c>
      <c r="AK484" s="1610"/>
      <c r="AL484" s="1590"/>
      <c r="AM484" s="1590"/>
      <c r="AN484" s="1590"/>
      <c r="AO484" s="1590"/>
      <c r="AP484" s="1686"/>
      <c r="AQ484" s="1687">
        <f t="shared" si="133"/>
        <v>0</v>
      </c>
      <c r="AR484" s="1604"/>
      <c r="AS484" s="1689"/>
      <c r="AT484" s="1663">
        <f t="shared" si="134"/>
        <v>0</v>
      </c>
      <c r="AU484" s="1667"/>
      <c r="AV484" s="935"/>
      <c r="AW484" s="935"/>
      <c r="AX484" s="935"/>
      <c r="AY484" s="722"/>
      <c r="AZ484" s="722"/>
      <c r="BA484" s="722"/>
      <c r="BB484" s="722"/>
      <c r="BC484" s="722"/>
      <c r="BD484" s="722"/>
      <c r="BE484" s="706"/>
      <c r="BF484" s="706"/>
      <c r="BG484" s="694"/>
    </row>
    <row r="485" spans="1:59" ht="15.75" x14ac:dyDescent="0.25">
      <c r="A485" s="1883"/>
      <c r="B485" s="1748"/>
      <c r="C485" s="1884"/>
      <c r="D485" s="1884"/>
      <c r="E485" s="1726">
        <f t="shared" si="114"/>
        <v>0</v>
      </c>
      <c r="F485" s="1722"/>
      <c r="G485" s="1727"/>
      <c r="H485" s="1728"/>
      <c r="I485" s="1729"/>
      <c r="J485" s="1729"/>
      <c r="K485" s="1730"/>
      <c r="L485" s="1734">
        <f t="shared" si="125"/>
        <v>0</v>
      </c>
      <c r="M485" s="1735">
        <f t="shared" si="126"/>
        <v>0</v>
      </c>
      <c r="N485" s="1730"/>
      <c r="O485" s="1730"/>
      <c r="P485" s="1730"/>
      <c r="Q485" s="1730"/>
      <c r="R485" s="1730"/>
      <c r="S485" s="1730"/>
      <c r="T485" s="1730"/>
      <c r="U485" s="1730"/>
      <c r="V485" s="1730"/>
      <c r="W485" s="1730"/>
      <c r="X485" s="1903">
        <f t="shared" si="115"/>
        <v>0</v>
      </c>
      <c r="Y485" s="1733">
        <f t="shared" si="127"/>
        <v>0</v>
      </c>
      <c r="Z485" s="528"/>
      <c r="AA485" s="1620"/>
      <c r="AB485" s="1616"/>
      <c r="AC485" s="1616"/>
      <c r="AD485" s="1616"/>
      <c r="AE485" s="1621"/>
      <c r="AF485" s="1692">
        <f t="shared" si="128"/>
        <v>0</v>
      </c>
      <c r="AG485" s="1654">
        <f t="shared" si="129"/>
        <v>0</v>
      </c>
      <c r="AH485" s="1654">
        <f t="shared" si="130"/>
        <v>0</v>
      </c>
      <c r="AI485" s="1654">
        <f t="shared" si="131"/>
        <v>0</v>
      </c>
      <c r="AJ485" s="1684">
        <f t="shared" si="132"/>
        <v>0</v>
      </c>
      <c r="AK485" s="1610"/>
      <c r="AL485" s="1590"/>
      <c r="AM485" s="1590"/>
      <c r="AN485" s="1590"/>
      <c r="AO485" s="1590"/>
      <c r="AP485" s="1686"/>
      <c r="AQ485" s="1687">
        <f t="shared" si="133"/>
        <v>0</v>
      </c>
      <c r="AR485" s="1604"/>
      <c r="AS485" s="1689"/>
      <c r="AT485" s="1663">
        <f t="shared" si="134"/>
        <v>0</v>
      </c>
      <c r="AU485" s="1667"/>
      <c r="AV485" s="935"/>
      <c r="AW485" s="935"/>
      <c r="AX485" s="935"/>
      <c r="AY485" s="722"/>
      <c r="AZ485" s="722"/>
      <c r="BA485" s="722"/>
      <c r="BB485" s="722"/>
      <c r="BC485" s="722"/>
      <c r="BD485" s="722"/>
      <c r="BE485" s="706"/>
      <c r="BF485" s="706"/>
      <c r="BG485" s="694"/>
    </row>
    <row r="486" spans="1:59" ht="15.75" x14ac:dyDescent="0.25">
      <c r="A486" s="1883"/>
      <c r="B486" s="1748"/>
      <c r="C486" s="1884"/>
      <c r="D486" s="1884"/>
      <c r="E486" s="1726">
        <f t="shared" si="114"/>
        <v>0</v>
      </c>
      <c r="F486" s="1722"/>
      <c r="G486" s="1727"/>
      <c r="H486" s="1728"/>
      <c r="I486" s="1729"/>
      <c r="J486" s="1729"/>
      <c r="K486" s="1730"/>
      <c r="L486" s="1734">
        <f t="shared" si="125"/>
        <v>0</v>
      </c>
      <c r="M486" s="1735">
        <f t="shared" si="126"/>
        <v>0</v>
      </c>
      <c r="N486" s="1730"/>
      <c r="O486" s="1730"/>
      <c r="P486" s="1730"/>
      <c r="Q486" s="1730"/>
      <c r="R486" s="1730"/>
      <c r="S486" s="1730"/>
      <c r="T486" s="1730"/>
      <c r="U486" s="1730"/>
      <c r="V486" s="1730"/>
      <c r="W486" s="1730"/>
      <c r="X486" s="1903">
        <f t="shared" si="115"/>
        <v>0</v>
      </c>
      <c r="Y486" s="1733">
        <f t="shared" si="127"/>
        <v>0</v>
      </c>
      <c r="Z486" s="528"/>
      <c r="AA486" s="1620"/>
      <c r="AB486" s="1616"/>
      <c r="AC486" s="1616"/>
      <c r="AD486" s="1616"/>
      <c r="AE486" s="1621"/>
      <c r="AF486" s="1692">
        <f t="shared" si="128"/>
        <v>0</v>
      </c>
      <c r="AG486" s="1654">
        <f t="shared" si="129"/>
        <v>0</v>
      </c>
      <c r="AH486" s="1654">
        <f t="shared" si="130"/>
        <v>0</v>
      </c>
      <c r="AI486" s="1654">
        <f t="shared" si="131"/>
        <v>0</v>
      </c>
      <c r="AJ486" s="1684">
        <f t="shared" si="132"/>
        <v>0</v>
      </c>
      <c r="AK486" s="1610"/>
      <c r="AL486" s="1590"/>
      <c r="AM486" s="1590"/>
      <c r="AN486" s="1590"/>
      <c r="AO486" s="1590"/>
      <c r="AP486" s="1686"/>
      <c r="AQ486" s="1687">
        <f t="shared" si="133"/>
        <v>0</v>
      </c>
      <c r="AR486" s="1604"/>
      <c r="AS486" s="1689"/>
      <c r="AT486" s="1663">
        <f t="shared" si="134"/>
        <v>0</v>
      </c>
      <c r="AU486" s="1667"/>
      <c r="AV486" s="935"/>
      <c r="AW486" s="935"/>
      <c r="AX486" s="935"/>
      <c r="AY486" s="722"/>
      <c r="AZ486" s="722"/>
      <c r="BA486" s="722"/>
      <c r="BB486" s="722"/>
      <c r="BC486" s="722"/>
      <c r="BD486" s="722"/>
      <c r="BE486" s="706"/>
      <c r="BF486" s="706"/>
      <c r="BG486" s="694"/>
    </row>
    <row r="487" spans="1:59" ht="15.75" x14ac:dyDescent="0.25">
      <c r="A487" s="1883"/>
      <c r="B487" s="1748"/>
      <c r="C487" s="1884"/>
      <c r="D487" s="1884"/>
      <c r="E487" s="1726">
        <f t="shared" si="114"/>
        <v>0</v>
      </c>
      <c r="F487" s="1722"/>
      <c r="G487" s="1727"/>
      <c r="H487" s="1728"/>
      <c r="I487" s="1729"/>
      <c r="J487" s="1729"/>
      <c r="K487" s="1730"/>
      <c r="L487" s="1734">
        <f t="shared" si="125"/>
        <v>0</v>
      </c>
      <c r="M487" s="1735">
        <f t="shared" si="126"/>
        <v>0</v>
      </c>
      <c r="N487" s="1730"/>
      <c r="O487" s="1730"/>
      <c r="P487" s="1730"/>
      <c r="Q487" s="1730"/>
      <c r="R487" s="1730"/>
      <c r="S487" s="1730"/>
      <c r="T487" s="1730"/>
      <c r="U487" s="1730"/>
      <c r="V487" s="1730"/>
      <c r="W487" s="1730"/>
      <c r="X487" s="1903">
        <f t="shared" si="115"/>
        <v>0</v>
      </c>
      <c r="Y487" s="1733">
        <f t="shared" si="127"/>
        <v>0</v>
      </c>
      <c r="Z487" s="528"/>
      <c r="AA487" s="1620"/>
      <c r="AB487" s="1616"/>
      <c r="AC487" s="1616"/>
      <c r="AD487" s="1616"/>
      <c r="AE487" s="1621"/>
      <c r="AF487" s="1692">
        <f t="shared" si="128"/>
        <v>0</v>
      </c>
      <c r="AG487" s="1654">
        <f t="shared" si="129"/>
        <v>0</v>
      </c>
      <c r="AH487" s="1654">
        <f t="shared" si="130"/>
        <v>0</v>
      </c>
      <c r="AI487" s="1654">
        <f t="shared" si="131"/>
        <v>0</v>
      </c>
      <c r="AJ487" s="1684">
        <f t="shared" si="132"/>
        <v>0</v>
      </c>
      <c r="AK487" s="1610"/>
      <c r="AL487" s="1590"/>
      <c r="AM487" s="1590"/>
      <c r="AN487" s="1590"/>
      <c r="AO487" s="1590"/>
      <c r="AP487" s="1686"/>
      <c r="AQ487" s="1687">
        <f t="shared" si="133"/>
        <v>0</v>
      </c>
      <c r="AR487" s="1604"/>
      <c r="AS487" s="1689"/>
      <c r="AT487" s="1663">
        <f t="shared" si="134"/>
        <v>0</v>
      </c>
      <c r="AU487" s="1667"/>
      <c r="AV487" s="935"/>
      <c r="AW487" s="935"/>
      <c r="AX487" s="935"/>
      <c r="AY487" s="722"/>
      <c r="AZ487" s="722"/>
      <c r="BA487" s="722"/>
      <c r="BB487" s="722"/>
      <c r="BC487" s="722"/>
      <c r="BD487" s="722"/>
      <c r="BE487" s="706"/>
      <c r="BF487" s="706"/>
      <c r="BG487" s="694"/>
    </row>
    <row r="488" spans="1:59" ht="15.75" x14ac:dyDescent="0.25">
      <c r="A488" s="1883"/>
      <c r="B488" s="1748"/>
      <c r="C488" s="1884"/>
      <c r="D488" s="1884"/>
      <c r="E488" s="1726">
        <f t="shared" si="114"/>
        <v>0</v>
      </c>
      <c r="F488" s="1722"/>
      <c r="G488" s="1727"/>
      <c r="H488" s="1728"/>
      <c r="I488" s="1729"/>
      <c r="J488" s="1729"/>
      <c r="K488" s="1730"/>
      <c r="L488" s="1734">
        <f t="shared" si="125"/>
        <v>0</v>
      </c>
      <c r="M488" s="1735">
        <f t="shared" si="126"/>
        <v>0</v>
      </c>
      <c r="N488" s="1730"/>
      <c r="O488" s="1730"/>
      <c r="P488" s="1730"/>
      <c r="Q488" s="1730"/>
      <c r="R488" s="1730"/>
      <c r="S488" s="1730"/>
      <c r="T488" s="1730"/>
      <c r="U488" s="1730"/>
      <c r="V488" s="1730"/>
      <c r="W488" s="1730"/>
      <c r="X488" s="1903">
        <f t="shared" si="115"/>
        <v>0</v>
      </c>
      <c r="Y488" s="1733">
        <f t="shared" si="127"/>
        <v>0</v>
      </c>
      <c r="Z488" s="528"/>
      <c r="AA488" s="1620"/>
      <c r="AB488" s="1616"/>
      <c r="AC488" s="1616"/>
      <c r="AD488" s="1616"/>
      <c r="AE488" s="1621"/>
      <c r="AF488" s="1692">
        <f t="shared" si="128"/>
        <v>0</v>
      </c>
      <c r="AG488" s="1654">
        <f t="shared" si="129"/>
        <v>0</v>
      </c>
      <c r="AH488" s="1654">
        <f t="shared" si="130"/>
        <v>0</v>
      </c>
      <c r="AI488" s="1654">
        <f t="shared" si="131"/>
        <v>0</v>
      </c>
      <c r="AJ488" s="1684">
        <f t="shared" si="132"/>
        <v>0</v>
      </c>
      <c r="AK488" s="1610"/>
      <c r="AL488" s="1590"/>
      <c r="AM488" s="1590"/>
      <c r="AN488" s="1590"/>
      <c r="AO488" s="1590"/>
      <c r="AP488" s="1686"/>
      <c r="AQ488" s="1687">
        <f t="shared" si="133"/>
        <v>0</v>
      </c>
      <c r="AR488" s="1604"/>
      <c r="AS488" s="1689"/>
      <c r="AT488" s="1663">
        <f t="shared" si="134"/>
        <v>0</v>
      </c>
      <c r="AU488" s="1667"/>
      <c r="AV488" s="935"/>
      <c r="AW488" s="935"/>
      <c r="AX488" s="935"/>
      <c r="AY488" s="722"/>
      <c r="AZ488" s="722"/>
      <c r="BA488" s="722"/>
      <c r="BB488" s="722"/>
      <c r="BC488" s="722"/>
      <c r="BD488" s="722"/>
      <c r="BE488" s="706"/>
      <c r="BF488" s="706"/>
      <c r="BG488" s="694"/>
    </row>
    <row r="489" spans="1:59" ht="15.75" x14ac:dyDescent="0.25">
      <c r="A489" s="1883"/>
      <c r="B489" s="1748"/>
      <c r="C489" s="1884"/>
      <c r="D489" s="1884"/>
      <c r="E489" s="1726">
        <f t="shared" si="114"/>
        <v>0</v>
      </c>
      <c r="F489" s="1722"/>
      <c r="G489" s="1727"/>
      <c r="H489" s="1728"/>
      <c r="I489" s="1729"/>
      <c r="J489" s="1729"/>
      <c r="K489" s="1730"/>
      <c r="L489" s="1734">
        <f t="shared" si="125"/>
        <v>0</v>
      </c>
      <c r="M489" s="1735">
        <f t="shared" si="126"/>
        <v>0</v>
      </c>
      <c r="N489" s="1730"/>
      <c r="O489" s="1730"/>
      <c r="P489" s="1730"/>
      <c r="Q489" s="1730"/>
      <c r="R489" s="1730"/>
      <c r="S489" s="1730"/>
      <c r="T489" s="1730"/>
      <c r="U489" s="1730"/>
      <c r="V489" s="1730"/>
      <c r="W489" s="1730"/>
      <c r="X489" s="1903">
        <f t="shared" si="115"/>
        <v>0</v>
      </c>
      <c r="Y489" s="1733">
        <f t="shared" si="127"/>
        <v>0</v>
      </c>
      <c r="Z489" s="528"/>
      <c r="AA489" s="1620"/>
      <c r="AB489" s="1616"/>
      <c r="AC489" s="1616"/>
      <c r="AD489" s="1616"/>
      <c r="AE489" s="1621"/>
      <c r="AF489" s="1692">
        <f t="shared" si="128"/>
        <v>0</v>
      </c>
      <c r="AG489" s="1654">
        <f t="shared" si="129"/>
        <v>0</v>
      </c>
      <c r="AH489" s="1654">
        <f t="shared" si="130"/>
        <v>0</v>
      </c>
      <c r="AI489" s="1654">
        <f t="shared" si="131"/>
        <v>0</v>
      </c>
      <c r="AJ489" s="1684">
        <f t="shared" si="132"/>
        <v>0</v>
      </c>
      <c r="AK489" s="1610"/>
      <c r="AL489" s="1590"/>
      <c r="AM489" s="1590"/>
      <c r="AN489" s="1590"/>
      <c r="AO489" s="1590"/>
      <c r="AP489" s="1686"/>
      <c r="AQ489" s="1687">
        <f t="shared" si="133"/>
        <v>0</v>
      </c>
      <c r="AR489" s="1604"/>
      <c r="AS489" s="1689"/>
      <c r="AT489" s="1663">
        <f t="shared" si="134"/>
        <v>0</v>
      </c>
      <c r="AU489" s="1667"/>
      <c r="AV489" s="935"/>
      <c r="AW489" s="935"/>
      <c r="AX489" s="935"/>
      <c r="AY489" s="722"/>
      <c r="AZ489" s="722"/>
      <c r="BA489" s="722"/>
      <c r="BB489" s="722"/>
      <c r="BC489" s="722"/>
      <c r="BD489" s="722"/>
      <c r="BE489" s="706"/>
      <c r="BF489" s="706"/>
      <c r="BG489" s="694"/>
    </row>
    <row r="490" spans="1:59" ht="15.75" x14ac:dyDescent="0.25">
      <c r="A490" s="1883"/>
      <c r="B490" s="1748"/>
      <c r="C490" s="1884"/>
      <c r="D490" s="1884"/>
      <c r="E490" s="1726">
        <f t="shared" si="114"/>
        <v>0</v>
      </c>
      <c r="F490" s="1722"/>
      <c r="G490" s="1727"/>
      <c r="H490" s="1728"/>
      <c r="I490" s="1729"/>
      <c r="J490" s="1729"/>
      <c r="K490" s="1730"/>
      <c r="L490" s="1734">
        <f t="shared" si="125"/>
        <v>0</v>
      </c>
      <c r="M490" s="1735">
        <f t="shared" si="126"/>
        <v>0</v>
      </c>
      <c r="N490" s="1730"/>
      <c r="O490" s="1730"/>
      <c r="P490" s="1730"/>
      <c r="Q490" s="1730"/>
      <c r="R490" s="1730"/>
      <c r="S490" s="1730"/>
      <c r="T490" s="1730"/>
      <c r="U490" s="1730"/>
      <c r="V490" s="1730"/>
      <c r="W490" s="1730"/>
      <c r="X490" s="1903">
        <f t="shared" si="115"/>
        <v>0</v>
      </c>
      <c r="Y490" s="1733">
        <f t="shared" si="127"/>
        <v>0</v>
      </c>
      <c r="Z490" s="528"/>
      <c r="AA490" s="1620"/>
      <c r="AB490" s="1616"/>
      <c r="AC490" s="1616"/>
      <c r="AD490" s="1616"/>
      <c r="AE490" s="1621"/>
      <c r="AF490" s="1692">
        <f t="shared" si="128"/>
        <v>0</v>
      </c>
      <c r="AG490" s="1654">
        <f t="shared" si="129"/>
        <v>0</v>
      </c>
      <c r="AH490" s="1654">
        <f t="shared" si="130"/>
        <v>0</v>
      </c>
      <c r="AI490" s="1654">
        <f t="shared" si="131"/>
        <v>0</v>
      </c>
      <c r="AJ490" s="1684">
        <f t="shared" si="132"/>
        <v>0</v>
      </c>
      <c r="AK490" s="1610"/>
      <c r="AL490" s="1590"/>
      <c r="AM490" s="1590"/>
      <c r="AN490" s="1590"/>
      <c r="AO490" s="1590"/>
      <c r="AP490" s="1686"/>
      <c r="AQ490" s="1687">
        <f t="shared" si="133"/>
        <v>0</v>
      </c>
      <c r="AR490" s="1604"/>
      <c r="AS490" s="1689"/>
      <c r="AT490" s="1663">
        <f t="shared" si="134"/>
        <v>0</v>
      </c>
      <c r="AU490" s="1667"/>
      <c r="AV490" s="935"/>
      <c r="AW490" s="935"/>
      <c r="AX490" s="935"/>
      <c r="AY490" s="722"/>
      <c r="AZ490" s="722"/>
      <c r="BA490" s="722"/>
      <c r="BB490" s="722"/>
      <c r="BC490" s="722"/>
      <c r="BD490" s="722"/>
      <c r="BE490" s="706"/>
      <c r="BF490" s="706"/>
      <c r="BG490" s="694"/>
    </row>
    <row r="491" spans="1:59" ht="15.75" x14ac:dyDescent="0.25">
      <c r="A491" s="1883"/>
      <c r="B491" s="1748"/>
      <c r="C491" s="1884"/>
      <c r="D491" s="1884"/>
      <c r="E491" s="1726">
        <f t="shared" si="114"/>
        <v>0</v>
      </c>
      <c r="F491" s="1722"/>
      <c r="G491" s="1727"/>
      <c r="H491" s="1728"/>
      <c r="I491" s="1729"/>
      <c r="J491" s="1729"/>
      <c r="K491" s="1730"/>
      <c r="L491" s="1734">
        <f t="shared" si="125"/>
        <v>0</v>
      </c>
      <c r="M491" s="1735">
        <f t="shared" si="126"/>
        <v>0</v>
      </c>
      <c r="N491" s="1730"/>
      <c r="O491" s="1730"/>
      <c r="P491" s="1730"/>
      <c r="Q491" s="1730"/>
      <c r="R491" s="1730"/>
      <c r="S491" s="1730"/>
      <c r="T491" s="1730"/>
      <c r="U491" s="1730"/>
      <c r="V491" s="1730"/>
      <c r="W491" s="1730"/>
      <c r="X491" s="1903">
        <f t="shared" si="115"/>
        <v>0</v>
      </c>
      <c r="Y491" s="1733">
        <f t="shared" si="127"/>
        <v>0</v>
      </c>
      <c r="Z491" s="528"/>
      <c r="AA491" s="1620"/>
      <c r="AB491" s="1616"/>
      <c r="AC491" s="1616"/>
      <c r="AD491" s="1616"/>
      <c r="AE491" s="1621"/>
      <c r="AF491" s="1692">
        <f t="shared" si="128"/>
        <v>0</v>
      </c>
      <c r="AG491" s="1654">
        <f t="shared" si="129"/>
        <v>0</v>
      </c>
      <c r="AH491" s="1654">
        <f t="shared" si="130"/>
        <v>0</v>
      </c>
      <c r="AI491" s="1654">
        <f t="shared" si="131"/>
        <v>0</v>
      </c>
      <c r="AJ491" s="1684">
        <f t="shared" si="132"/>
        <v>0</v>
      </c>
      <c r="AK491" s="1610"/>
      <c r="AL491" s="1590"/>
      <c r="AM491" s="1590"/>
      <c r="AN491" s="1590"/>
      <c r="AO491" s="1590"/>
      <c r="AP491" s="1686"/>
      <c r="AQ491" s="1687">
        <f t="shared" si="133"/>
        <v>0</v>
      </c>
      <c r="AR491" s="1604"/>
      <c r="AS491" s="1689"/>
      <c r="AT491" s="1663">
        <f t="shared" si="134"/>
        <v>0</v>
      </c>
      <c r="AU491" s="1667"/>
      <c r="AV491" s="935"/>
      <c r="AW491" s="935"/>
      <c r="AX491" s="935"/>
      <c r="AY491" s="722"/>
      <c r="AZ491" s="722"/>
      <c r="BA491" s="722"/>
      <c r="BB491" s="722"/>
      <c r="BC491" s="722"/>
      <c r="BD491" s="722"/>
      <c r="BE491" s="706"/>
      <c r="BF491" s="706"/>
      <c r="BG491" s="694"/>
    </row>
    <row r="492" spans="1:59" ht="15.75" x14ac:dyDescent="0.25">
      <c r="A492" s="1883"/>
      <c r="B492" s="1748"/>
      <c r="C492" s="1884"/>
      <c r="D492" s="1884"/>
      <c r="E492" s="1726">
        <f t="shared" si="114"/>
        <v>0</v>
      </c>
      <c r="F492" s="1722"/>
      <c r="G492" s="1727"/>
      <c r="H492" s="1728"/>
      <c r="I492" s="1729"/>
      <c r="J492" s="1729"/>
      <c r="K492" s="1730"/>
      <c r="L492" s="1734">
        <f t="shared" si="125"/>
        <v>0</v>
      </c>
      <c r="M492" s="1735">
        <f t="shared" si="126"/>
        <v>0</v>
      </c>
      <c r="N492" s="1730"/>
      <c r="O492" s="1730"/>
      <c r="P492" s="1730"/>
      <c r="Q492" s="1730"/>
      <c r="R492" s="1730"/>
      <c r="S492" s="1730"/>
      <c r="T492" s="1730"/>
      <c r="U492" s="1730"/>
      <c r="V492" s="1730"/>
      <c r="W492" s="1730"/>
      <c r="X492" s="1903">
        <f t="shared" si="115"/>
        <v>0</v>
      </c>
      <c r="Y492" s="1733">
        <f t="shared" si="127"/>
        <v>0</v>
      </c>
      <c r="Z492" s="528"/>
      <c r="AA492" s="1620"/>
      <c r="AB492" s="1616"/>
      <c r="AC492" s="1616"/>
      <c r="AD492" s="1616"/>
      <c r="AE492" s="1621"/>
      <c r="AF492" s="1692">
        <f t="shared" si="128"/>
        <v>0</v>
      </c>
      <c r="AG492" s="1654">
        <f t="shared" si="129"/>
        <v>0</v>
      </c>
      <c r="AH492" s="1654">
        <f t="shared" si="130"/>
        <v>0</v>
      </c>
      <c r="AI492" s="1654">
        <f t="shared" si="131"/>
        <v>0</v>
      </c>
      <c r="AJ492" s="1684">
        <f t="shared" si="132"/>
        <v>0</v>
      </c>
      <c r="AK492" s="1610"/>
      <c r="AL492" s="1590"/>
      <c r="AM492" s="1590"/>
      <c r="AN492" s="1590"/>
      <c r="AO492" s="1590"/>
      <c r="AP492" s="1686"/>
      <c r="AQ492" s="1687">
        <f t="shared" si="133"/>
        <v>0</v>
      </c>
      <c r="AR492" s="1604"/>
      <c r="AS492" s="1689"/>
      <c r="AT492" s="1663">
        <f t="shared" si="134"/>
        <v>0</v>
      </c>
      <c r="AU492" s="1667"/>
      <c r="AV492" s="935"/>
      <c r="AW492" s="935"/>
      <c r="AX492" s="935"/>
      <c r="AY492" s="722"/>
      <c r="AZ492" s="722"/>
      <c r="BA492" s="722"/>
      <c r="BB492" s="722"/>
      <c r="BC492" s="722"/>
      <c r="BD492" s="722"/>
      <c r="BE492" s="706"/>
      <c r="BF492" s="706"/>
      <c r="BG492" s="694"/>
    </row>
    <row r="493" spans="1:59" ht="15.75" x14ac:dyDescent="0.25">
      <c r="A493" s="1883"/>
      <c r="B493" s="1748"/>
      <c r="C493" s="1884"/>
      <c r="D493" s="1884"/>
      <c r="E493" s="1726">
        <f t="shared" si="114"/>
        <v>0</v>
      </c>
      <c r="F493" s="1722"/>
      <c r="G493" s="1727"/>
      <c r="H493" s="1728"/>
      <c r="I493" s="1729"/>
      <c r="J493" s="1729"/>
      <c r="K493" s="1730"/>
      <c r="L493" s="1734">
        <f t="shared" si="125"/>
        <v>0</v>
      </c>
      <c r="M493" s="1735">
        <f t="shared" si="126"/>
        <v>0</v>
      </c>
      <c r="N493" s="1730"/>
      <c r="O493" s="1730"/>
      <c r="P493" s="1730"/>
      <c r="Q493" s="1730"/>
      <c r="R493" s="1730"/>
      <c r="S493" s="1730"/>
      <c r="T493" s="1730"/>
      <c r="U493" s="1730"/>
      <c r="V493" s="1730"/>
      <c r="W493" s="1730"/>
      <c r="X493" s="1903">
        <f t="shared" si="115"/>
        <v>0</v>
      </c>
      <c r="Y493" s="1733">
        <f t="shared" si="127"/>
        <v>0</v>
      </c>
      <c r="Z493" s="528"/>
      <c r="AA493" s="1620"/>
      <c r="AB493" s="1616"/>
      <c r="AC493" s="1616"/>
      <c r="AD493" s="1616"/>
      <c r="AE493" s="1621"/>
      <c r="AF493" s="1692">
        <f t="shared" si="128"/>
        <v>0</v>
      </c>
      <c r="AG493" s="1654">
        <f t="shared" si="129"/>
        <v>0</v>
      </c>
      <c r="AH493" s="1654">
        <f t="shared" si="130"/>
        <v>0</v>
      </c>
      <c r="AI493" s="1654">
        <f t="shared" si="131"/>
        <v>0</v>
      </c>
      <c r="AJ493" s="1684">
        <f t="shared" si="132"/>
        <v>0</v>
      </c>
      <c r="AK493" s="1610"/>
      <c r="AL493" s="1590"/>
      <c r="AM493" s="1590"/>
      <c r="AN493" s="1590"/>
      <c r="AO493" s="1590"/>
      <c r="AP493" s="1686"/>
      <c r="AQ493" s="1687">
        <f t="shared" si="133"/>
        <v>0</v>
      </c>
      <c r="AR493" s="1604"/>
      <c r="AS493" s="1689"/>
      <c r="AT493" s="1663">
        <f t="shared" si="134"/>
        <v>0</v>
      </c>
      <c r="AU493" s="1667"/>
      <c r="AV493" s="935"/>
      <c r="AW493" s="935"/>
      <c r="AX493" s="935"/>
      <c r="AY493" s="722"/>
      <c r="AZ493" s="722"/>
      <c r="BA493" s="722"/>
      <c r="BB493" s="722"/>
      <c r="BC493" s="722"/>
      <c r="BD493" s="722"/>
      <c r="BE493" s="706"/>
      <c r="BF493" s="706"/>
      <c r="BG493" s="694"/>
    </row>
    <row r="494" spans="1:59" ht="15.75" x14ac:dyDescent="0.25">
      <c r="A494" s="1883"/>
      <c r="B494" s="1748"/>
      <c r="C494" s="1884"/>
      <c r="D494" s="1884"/>
      <c r="E494" s="1726">
        <f t="shared" si="114"/>
        <v>0</v>
      </c>
      <c r="F494" s="1722"/>
      <c r="G494" s="1727"/>
      <c r="H494" s="1728"/>
      <c r="I494" s="1729"/>
      <c r="J494" s="1729"/>
      <c r="K494" s="1730"/>
      <c r="L494" s="1734">
        <f t="shared" si="125"/>
        <v>0</v>
      </c>
      <c r="M494" s="1735">
        <f t="shared" si="126"/>
        <v>0</v>
      </c>
      <c r="N494" s="1730"/>
      <c r="O494" s="1730"/>
      <c r="P494" s="1730"/>
      <c r="Q494" s="1730"/>
      <c r="R494" s="1730"/>
      <c r="S494" s="1730"/>
      <c r="T494" s="1730"/>
      <c r="U494" s="1730"/>
      <c r="V494" s="1730"/>
      <c r="W494" s="1730"/>
      <c r="X494" s="1903">
        <f t="shared" si="115"/>
        <v>0</v>
      </c>
      <c r="Y494" s="1733">
        <f t="shared" si="127"/>
        <v>0</v>
      </c>
      <c r="Z494" s="528"/>
      <c r="AA494" s="1620"/>
      <c r="AB494" s="1616"/>
      <c r="AC494" s="1616"/>
      <c r="AD494" s="1616"/>
      <c r="AE494" s="1621"/>
      <c r="AF494" s="1692">
        <f t="shared" si="128"/>
        <v>0</v>
      </c>
      <c r="AG494" s="1654">
        <f t="shared" si="129"/>
        <v>0</v>
      </c>
      <c r="AH494" s="1654">
        <f t="shared" si="130"/>
        <v>0</v>
      </c>
      <c r="AI494" s="1654">
        <f t="shared" si="131"/>
        <v>0</v>
      </c>
      <c r="AJ494" s="1684">
        <f t="shared" si="132"/>
        <v>0</v>
      </c>
      <c r="AK494" s="1610"/>
      <c r="AL494" s="1590"/>
      <c r="AM494" s="1590"/>
      <c r="AN494" s="1590"/>
      <c r="AO494" s="1590"/>
      <c r="AP494" s="1686"/>
      <c r="AQ494" s="1687">
        <f t="shared" si="133"/>
        <v>0</v>
      </c>
      <c r="AR494" s="1604"/>
      <c r="AS494" s="1689"/>
      <c r="AT494" s="1663">
        <f t="shared" si="134"/>
        <v>0</v>
      </c>
      <c r="AU494" s="1667"/>
      <c r="AV494" s="935"/>
      <c r="AW494" s="935"/>
      <c r="AX494" s="935"/>
      <c r="AY494" s="722"/>
      <c r="AZ494" s="722"/>
      <c r="BA494" s="722"/>
      <c r="BB494" s="722"/>
      <c r="BC494" s="722"/>
      <c r="BD494" s="722"/>
      <c r="BE494" s="706"/>
      <c r="BF494" s="706"/>
      <c r="BG494" s="694"/>
    </row>
    <row r="495" spans="1:59" ht="15.75" x14ac:dyDescent="0.25">
      <c r="A495" s="1883"/>
      <c r="B495" s="1748"/>
      <c r="C495" s="1884"/>
      <c r="D495" s="1884"/>
      <c r="E495" s="1726">
        <f t="shared" si="114"/>
        <v>0</v>
      </c>
      <c r="F495" s="1722"/>
      <c r="G495" s="1727"/>
      <c r="H495" s="1728"/>
      <c r="I495" s="1729"/>
      <c r="J495" s="1729"/>
      <c r="K495" s="1730"/>
      <c r="L495" s="1734">
        <f t="shared" si="125"/>
        <v>0</v>
      </c>
      <c r="M495" s="1735">
        <f t="shared" si="126"/>
        <v>0</v>
      </c>
      <c r="N495" s="1730"/>
      <c r="O495" s="1730"/>
      <c r="P495" s="1730"/>
      <c r="Q495" s="1730"/>
      <c r="R495" s="1730"/>
      <c r="S495" s="1730"/>
      <c r="T495" s="1730"/>
      <c r="U495" s="1730"/>
      <c r="V495" s="1730"/>
      <c r="W495" s="1730"/>
      <c r="X495" s="1903">
        <f t="shared" si="115"/>
        <v>0</v>
      </c>
      <c r="Y495" s="1733">
        <f t="shared" si="127"/>
        <v>0</v>
      </c>
      <c r="Z495" s="528"/>
      <c r="AA495" s="1620"/>
      <c r="AB495" s="1616"/>
      <c r="AC495" s="1616"/>
      <c r="AD495" s="1616"/>
      <c r="AE495" s="1621"/>
      <c r="AF495" s="1692">
        <f t="shared" si="128"/>
        <v>0</v>
      </c>
      <c r="AG495" s="1654">
        <f t="shared" si="129"/>
        <v>0</v>
      </c>
      <c r="AH495" s="1654">
        <f t="shared" si="130"/>
        <v>0</v>
      </c>
      <c r="AI495" s="1654">
        <f t="shared" si="131"/>
        <v>0</v>
      </c>
      <c r="AJ495" s="1684">
        <f t="shared" si="132"/>
        <v>0</v>
      </c>
      <c r="AK495" s="1610"/>
      <c r="AL495" s="1590"/>
      <c r="AM495" s="1590"/>
      <c r="AN495" s="1590"/>
      <c r="AO495" s="1590"/>
      <c r="AP495" s="1686"/>
      <c r="AQ495" s="1687">
        <f t="shared" si="133"/>
        <v>0</v>
      </c>
      <c r="AR495" s="1604"/>
      <c r="AS495" s="1689"/>
      <c r="AT495" s="1663">
        <f t="shared" si="134"/>
        <v>0</v>
      </c>
      <c r="AU495" s="1667"/>
      <c r="AV495" s="935"/>
      <c r="AW495" s="935"/>
      <c r="AX495" s="935"/>
      <c r="AY495" s="722"/>
      <c r="AZ495" s="722"/>
      <c r="BA495" s="722"/>
      <c r="BB495" s="722"/>
      <c r="BC495" s="722"/>
      <c r="BD495" s="722"/>
      <c r="BE495" s="706"/>
      <c r="BF495" s="706"/>
      <c r="BG495" s="694"/>
    </row>
    <row r="496" spans="1:59" ht="15.75" x14ac:dyDescent="0.25">
      <c r="A496" s="1883"/>
      <c r="B496" s="1748"/>
      <c r="C496" s="1884"/>
      <c r="D496" s="1884"/>
      <c r="E496" s="1726">
        <f t="shared" si="114"/>
        <v>0</v>
      </c>
      <c r="F496" s="1722"/>
      <c r="G496" s="1727"/>
      <c r="H496" s="1728"/>
      <c r="I496" s="1729"/>
      <c r="J496" s="1729"/>
      <c r="K496" s="1730"/>
      <c r="L496" s="1734">
        <f t="shared" si="125"/>
        <v>0</v>
      </c>
      <c r="M496" s="1735">
        <f t="shared" si="126"/>
        <v>0</v>
      </c>
      <c r="N496" s="1730"/>
      <c r="O496" s="1730"/>
      <c r="P496" s="1730"/>
      <c r="Q496" s="1730"/>
      <c r="R496" s="1730"/>
      <c r="S496" s="1730"/>
      <c r="T496" s="1730"/>
      <c r="U496" s="1730"/>
      <c r="V496" s="1730"/>
      <c r="W496" s="1730"/>
      <c r="X496" s="1903">
        <f t="shared" si="115"/>
        <v>0</v>
      </c>
      <c r="Y496" s="1733">
        <f t="shared" si="127"/>
        <v>0</v>
      </c>
      <c r="Z496" s="528"/>
      <c r="AA496" s="1620"/>
      <c r="AB496" s="1616"/>
      <c r="AC496" s="1616"/>
      <c r="AD496" s="1616"/>
      <c r="AE496" s="1621"/>
      <c r="AF496" s="1692">
        <f t="shared" si="128"/>
        <v>0</v>
      </c>
      <c r="AG496" s="1654">
        <f t="shared" si="129"/>
        <v>0</v>
      </c>
      <c r="AH496" s="1654">
        <f t="shared" si="130"/>
        <v>0</v>
      </c>
      <c r="AI496" s="1654">
        <f t="shared" si="131"/>
        <v>0</v>
      </c>
      <c r="AJ496" s="1684">
        <f t="shared" si="132"/>
        <v>0</v>
      </c>
      <c r="AK496" s="1610"/>
      <c r="AL496" s="1590"/>
      <c r="AM496" s="1590"/>
      <c r="AN496" s="1590"/>
      <c r="AO496" s="1590"/>
      <c r="AP496" s="1686"/>
      <c r="AQ496" s="1687">
        <f t="shared" si="133"/>
        <v>0</v>
      </c>
      <c r="AR496" s="1604"/>
      <c r="AS496" s="1689"/>
      <c r="AT496" s="1663">
        <f t="shared" si="134"/>
        <v>0</v>
      </c>
      <c r="AU496" s="1667"/>
      <c r="AV496" s="935"/>
      <c r="AW496" s="935"/>
      <c r="AX496" s="935"/>
      <c r="AY496" s="722"/>
      <c r="AZ496" s="722"/>
      <c r="BA496" s="722"/>
      <c r="BB496" s="722"/>
      <c r="BC496" s="722"/>
      <c r="BD496" s="722"/>
      <c r="BE496" s="706"/>
      <c r="BF496" s="706"/>
      <c r="BG496" s="694"/>
    </row>
    <row r="497" spans="1:59" ht="15.75" x14ac:dyDescent="0.25">
      <c r="A497" s="1883"/>
      <c r="B497" s="1748"/>
      <c r="C497" s="1884"/>
      <c r="D497" s="1884"/>
      <c r="E497" s="1726">
        <f t="shared" si="114"/>
        <v>0</v>
      </c>
      <c r="F497" s="1722"/>
      <c r="G497" s="1727"/>
      <c r="H497" s="1728"/>
      <c r="I497" s="1729"/>
      <c r="J497" s="1729"/>
      <c r="K497" s="1730"/>
      <c r="L497" s="1734">
        <f t="shared" si="125"/>
        <v>0</v>
      </c>
      <c r="M497" s="1735">
        <f t="shared" si="126"/>
        <v>0</v>
      </c>
      <c r="N497" s="1730"/>
      <c r="O497" s="1730"/>
      <c r="P497" s="1730"/>
      <c r="Q497" s="1730"/>
      <c r="R497" s="1730"/>
      <c r="S497" s="1730"/>
      <c r="T497" s="1730"/>
      <c r="U497" s="1730"/>
      <c r="V497" s="1730"/>
      <c r="W497" s="1730"/>
      <c r="X497" s="1903">
        <f t="shared" si="115"/>
        <v>0</v>
      </c>
      <c r="Y497" s="1733">
        <f t="shared" si="127"/>
        <v>0</v>
      </c>
      <c r="Z497" s="528"/>
      <c r="AA497" s="1620"/>
      <c r="AB497" s="1616"/>
      <c r="AC497" s="1616"/>
      <c r="AD497" s="1616"/>
      <c r="AE497" s="1621"/>
      <c r="AF497" s="1692">
        <f t="shared" si="128"/>
        <v>0</v>
      </c>
      <c r="AG497" s="1654">
        <f t="shared" si="129"/>
        <v>0</v>
      </c>
      <c r="AH497" s="1654">
        <f t="shared" si="130"/>
        <v>0</v>
      </c>
      <c r="AI497" s="1654">
        <f t="shared" si="131"/>
        <v>0</v>
      </c>
      <c r="AJ497" s="1684">
        <f t="shared" si="132"/>
        <v>0</v>
      </c>
      <c r="AK497" s="1610"/>
      <c r="AL497" s="1590"/>
      <c r="AM497" s="1590"/>
      <c r="AN497" s="1590"/>
      <c r="AO497" s="1590"/>
      <c r="AP497" s="1686"/>
      <c r="AQ497" s="1687">
        <f t="shared" si="133"/>
        <v>0</v>
      </c>
      <c r="AR497" s="1604"/>
      <c r="AS497" s="1689"/>
      <c r="AT497" s="1663">
        <f t="shared" si="134"/>
        <v>0</v>
      </c>
      <c r="AU497" s="1667"/>
      <c r="AV497" s="935"/>
      <c r="AW497" s="935"/>
      <c r="AX497" s="935"/>
      <c r="AY497" s="722"/>
      <c r="AZ497" s="722"/>
      <c r="BA497" s="722"/>
      <c r="BB497" s="722"/>
      <c r="BC497" s="722"/>
      <c r="BD497" s="722"/>
      <c r="BE497" s="706"/>
      <c r="BF497" s="706"/>
      <c r="BG497" s="694"/>
    </row>
    <row r="498" spans="1:59" ht="15.75" x14ac:dyDescent="0.25">
      <c r="A498" s="1883"/>
      <c r="B498" s="1748"/>
      <c r="C498" s="1884"/>
      <c r="D498" s="1884"/>
      <c r="E498" s="1726">
        <f t="shared" si="114"/>
        <v>0</v>
      </c>
      <c r="F498" s="1722"/>
      <c r="G498" s="1727"/>
      <c r="H498" s="1728"/>
      <c r="I498" s="1729"/>
      <c r="J498" s="1729"/>
      <c r="K498" s="1730"/>
      <c r="L498" s="1734">
        <f t="shared" si="125"/>
        <v>0</v>
      </c>
      <c r="M498" s="1735">
        <f t="shared" si="126"/>
        <v>0</v>
      </c>
      <c r="N498" s="1730"/>
      <c r="O498" s="1730"/>
      <c r="P498" s="1730"/>
      <c r="Q498" s="1730"/>
      <c r="R498" s="1730"/>
      <c r="S498" s="1730"/>
      <c r="T498" s="1730"/>
      <c r="U498" s="1730"/>
      <c r="V498" s="1730"/>
      <c r="W498" s="1730"/>
      <c r="X498" s="1903">
        <f t="shared" si="115"/>
        <v>0</v>
      </c>
      <c r="Y498" s="1733">
        <f t="shared" si="127"/>
        <v>0</v>
      </c>
      <c r="Z498" s="528"/>
      <c r="AA498" s="1620"/>
      <c r="AB498" s="1616"/>
      <c r="AC498" s="1616"/>
      <c r="AD498" s="1616"/>
      <c r="AE498" s="1621"/>
      <c r="AF498" s="1692">
        <f t="shared" si="128"/>
        <v>0</v>
      </c>
      <c r="AG498" s="1654">
        <f t="shared" si="129"/>
        <v>0</v>
      </c>
      <c r="AH498" s="1654">
        <f t="shared" si="130"/>
        <v>0</v>
      </c>
      <c r="AI498" s="1654">
        <f t="shared" si="131"/>
        <v>0</v>
      </c>
      <c r="AJ498" s="1684">
        <f t="shared" si="132"/>
        <v>0</v>
      </c>
      <c r="AK498" s="1610"/>
      <c r="AL498" s="1590"/>
      <c r="AM498" s="1590"/>
      <c r="AN498" s="1590"/>
      <c r="AO498" s="1590"/>
      <c r="AP498" s="1686"/>
      <c r="AQ498" s="1687">
        <f t="shared" si="133"/>
        <v>0</v>
      </c>
      <c r="AR498" s="1604"/>
      <c r="AS498" s="1689"/>
      <c r="AT498" s="1663">
        <f t="shared" si="134"/>
        <v>0</v>
      </c>
      <c r="AU498" s="1667"/>
      <c r="AV498" s="935"/>
      <c r="AW498" s="935"/>
      <c r="AX498" s="935"/>
      <c r="AY498" s="722"/>
      <c r="AZ498" s="722"/>
      <c r="BA498" s="722"/>
      <c r="BB498" s="722"/>
      <c r="BC498" s="722"/>
      <c r="BD498" s="722"/>
      <c r="BE498" s="706"/>
      <c r="BF498" s="706"/>
      <c r="BG498" s="694"/>
    </row>
    <row r="499" spans="1:59" ht="15.75" x14ac:dyDescent="0.25">
      <c r="A499" s="1883"/>
      <c r="B499" s="1748"/>
      <c r="C499" s="1884"/>
      <c r="D499" s="1884"/>
      <c r="E499" s="1726">
        <f t="shared" si="114"/>
        <v>0</v>
      </c>
      <c r="F499" s="1722"/>
      <c r="G499" s="1727"/>
      <c r="H499" s="1728"/>
      <c r="I499" s="1729"/>
      <c r="J499" s="1729"/>
      <c r="K499" s="1730"/>
      <c r="L499" s="1734">
        <f t="shared" si="125"/>
        <v>0</v>
      </c>
      <c r="M499" s="1735">
        <f t="shared" si="126"/>
        <v>0</v>
      </c>
      <c r="N499" s="1730"/>
      <c r="O499" s="1730"/>
      <c r="P499" s="1730"/>
      <c r="Q499" s="1730"/>
      <c r="R499" s="1730"/>
      <c r="S499" s="1730"/>
      <c r="T499" s="1730"/>
      <c r="U499" s="1730"/>
      <c r="V499" s="1730"/>
      <c r="W499" s="1730"/>
      <c r="X499" s="1903">
        <f t="shared" si="115"/>
        <v>0</v>
      </c>
      <c r="Y499" s="1733">
        <f t="shared" si="127"/>
        <v>0</v>
      </c>
      <c r="Z499" s="528"/>
      <c r="AA499" s="1620"/>
      <c r="AB499" s="1616"/>
      <c r="AC499" s="1616"/>
      <c r="AD499" s="1616"/>
      <c r="AE499" s="1621"/>
      <c r="AF499" s="1692">
        <f t="shared" si="128"/>
        <v>0</v>
      </c>
      <c r="AG499" s="1654">
        <f t="shared" si="129"/>
        <v>0</v>
      </c>
      <c r="AH499" s="1654">
        <f t="shared" si="130"/>
        <v>0</v>
      </c>
      <c r="AI499" s="1654">
        <f t="shared" si="131"/>
        <v>0</v>
      </c>
      <c r="AJ499" s="1684">
        <f t="shared" si="132"/>
        <v>0</v>
      </c>
      <c r="AK499" s="1610"/>
      <c r="AL499" s="1590"/>
      <c r="AM499" s="1590"/>
      <c r="AN499" s="1590"/>
      <c r="AO499" s="1590"/>
      <c r="AP499" s="1686"/>
      <c r="AQ499" s="1687">
        <f t="shared" si="133"/>
        <v>0</v>
      </c>
      <c r="AR499" s="1604"/>
      <c r="AS499" s="1689"/>
      <c r="AT499" s="1663">
        <f t="shared" si="134"/>
        <v>0</v>
      </c>
      <c r="AU499" s="1667"/>
      <c r="AV499" s="935"/>
      <c r="AW499" s="935"/>
      <c r="AX499" s="935"/>
      <c r="AY499" s="722"/>
      <c r="AZ499" s="722"/>
      <c r="BA499" s="722"/>
      <c r="BB499" s="722"/>
      <c r="BC499" s="722"/>
      <c r="BD499" s="722"/>
      <c r="BE499" s="706"/>
      <c r="BF499" s="706"/>
      <c r="BG499" s="694"/>
    </row>
    <row r="500" spans="1:59" ht="15.75" x14ac:dyDescent="0.25">
      <c r="A500" s="1883"/>
      <c r="B500" s="1748"/>
      <c r="C500" s="1884"/>
      <c r="D500" s="1884"/>
      <c r="E500" s="1726">
        <f t="shared" si="114"/>
        <v>0</v>
      </c>
      <c r="F500" s="1722"/>
      <c r="G500" s="1727"/>
      <c r="H500" s="1728"/>
      <c r="I500" s="1729"/>
      <c r="J500" s="1729"/>
      <c r="K500" s="1730"/>
      <c r="L500" s="1734">
        <f t="shared" si="125"/>
        <v>0</v>
      </c>
      <c r="M500" s="1735">
        <f t="shared" si="126"/>
        <v>0</v>
      </c>
      <c r="N500" s="1730"/>
      <c r="O500" s="1730"/>
      <c r="P500" s="1730"/>
      <c r="Q500" s="1730"/>
      <c r="R500" s="1730"/>
      <c r="S500" s="1730"/>
      <c r="T500" s="1730"/>
      <c r="U500" s="1730"/>
      <c r="V500" s="1730"/>
      <c r="W500" s="1730"/>
      <c r="X500" s="1903">
        <f t="shared" si="115"/>
        <v>0</v>
      </c>
      <c r="Y500" s="1733">
        <f t="shared" si="127"/>
        <v>0</v>
      </c>
      <c r="Z500" s="528"/>
      <c r="AA500" s="1620"/>
      <c r="AB500" s="1616"/>
      <c r="AC500" s="1616"/>
      <c r="AD500" s="1616"/>
      <c r="AE500" s="1621"/>
      <c r="AF500" s="1692">
        <f t="shared" si="128"/>
        <v>0</v>
      </c>
      <c r="AG500" s="1654">
        <f t="shared" si="129"/>
        <v>0</v>
      </c>
      <c r="AH500" s="1654">
        <f t="shared" si="130"/>
        <v>0</v>
      </c>
      <c r="AI500" s="1654">
        <f t="shared" si="131"/>
        <v>0</v>
      </c>
      <c r="AJ500" s="1684">
        <f t="shared" si="132"/>
        <v>0</v>
      </c>
      <c r="AK500" s="1610"/>
      <c r="AL500" s="1590"/>
      <c r="AM500" s="1590"/>
      <c r="AN500" s="1590"/>
      <c r="AO500" s="1590"/>
      <c r="AP500" s="1686"/>
      <c r="AQ500" s="1687">
        <f t="shared" si="133"/>
        <v>0</v>
      </c>
      <c r="AR500" s="1604"/>
      <c r="AS500" s="1689"/>
      <c r="AT500" s="1663">
        <f t="shared" si="134"/>
        <v>0</v>
      </c>
      <c r="AU500" s="1667"/>
      <c r="AV500" s="935"/>
      <c r="AW500" s="935"/>
      <c r="AX500" s="935"/>
      <c r="AY500" s="722"/>
      <c r="AZ500" s="722"/>
      <c r="BA500" s="722"/>
      <c r="BB500" s="722"/>
      <c r="BC500" s="722"/>
      <c r="BD500" s="722"/>
      <c r="BE500" s="706"/>
      <c r="BF500" s="706"/>
      <c r="BG500" s="694"/>
    </row>
    <row r="501" spans="1:59" ht="15.75" x14ac:dyDescent="0.25">
      <c r="A501" s="1883"/>
      <c r="B501" s="1748"/>
      <c r="C501" s="1884"/>
      <c r="D501" s="1884"/>
      <c r="E501" s="1726">
        <f t="shared" si="114"/>
        <v>0</v>
      </c>
      <c r="F501" s="1722"/>
      <c r="G501" s="1727"/>
      <c r="H501" s="1728"/>
      <c r="I501" s="1729"/>
      <c r="J501" s="1729"/>
      <c r="K501" s="1730"/>
      <c r="L501" s="1734">
        <f t="shared" si="125"/>
        <v>0</v>
      </c>
      <c r="M501" s="1735">
        <f t="shared" si="126"/>
        <v>0</v>
      </c>
      <c r="N501" s="1730"/>
      <c r="O501" s="1730"/>
      <c r="P501" s="1730"/>
      <c r="Q501" s="1730"/>
      <c r="R501" s="1730"/>
      <c r="S501" s="1730"/>
      <c r="T501" s="1730"/>
      <c r="U501" s="1730"/>
      <c r="V501" s="1730"/>
      <c r="W501" s="1730"/>
      <c r="X501" s="1903">
        <f t="shared" si="115"/>
        <v>0</v>
      </c>
      <c r="Y501" s="1733">
        <f t="shared" si="127"/>
        <v>0</v>
      </c>
      <c r="Z501" s="528"/>
      <c r="AA501" s="1620"/>
      <c r="AB501" s="1616"/>
      <c r="AC501" s="1616"/>
      <c r="AD501" s="1616"/>
      <c r="AE501" s="1621"/>
      <c r="AF501" s="1692">
        <f t="shared" si="128"/>
        <v>0</v>
      </c>
      <c r="AG501" s="1654">
        <f t="shared" si="129"/>
        <v>0</v>
      </c>
      <c r="AH501" s="1654">
        <f t="shared" si="130"/>
        <v>0</v>
      </c>
      <c r="AI501" s="1654">
        <f t="shared" si="131"/>
        <v>0</v>
      </c>
      <c r="AJ501" s="1684">
        <f t="shared" si="132"/>
        <v>0</v>
      </c>
      <c r="AK501" s="1610"/>
      <c r="AL501" s="1590"/>
      <c r="AM501" s="1590"/>
      <c r="AN501" s="1590"/>
      <c r="AO501" s="1590"/>
      <c r="AP501" s="1686"/>
      <c r="AQ501" s="1687">
        <f t="shared" si="133"/>
        <v>0</v>
      </c>
      <c r="AR501" s="1604"/>
      <c r="AS501" s="1689"/>
      <c r="AT501" s="1663">
        <f t="shared" si="134"/>
        <v>0</v>
      </c>
      <c r="AU501" s="1667"/>
      <c r="AV501" s="935"/>
      <c r="AW501" s="935"/>
      <c r="AX501" s="935"/>
      <c r="AY501" s="722"/>
      <c r="AZ501" s="722"/>
      <c r="BA501" s="722"/>
      <c r="BB501" s="722"/>
      <c r="BC501" s="722"/>
      <c r="BD501" s="722"/>
      <c r="BE501" s="706"/>
      <c r="BF501" s="706"/>
      <c r="BG501" s="694"/>
    </row>
    <row r="502" spans="1:59" ht="15.75" x14ac:dyDescent="0.25">
      <c r="A502" s="1883"/>
      <c r="B502" s="1748"/>
      <c r="C502" s="1884"/>
      <c r="D502" s="1884"/>
      <c r="E502" s="1726">
        <f t="shared" si="114"/>
        <v>0</v>
      </c>
      <c r="F502" s="1722"/>
      <c r="G502" s="1727"/>
      <c r="H502" s="1728"/>
      <c r="I502" s="1729"/>
      <c r="J502" s="1729"/>
      <c r="K502" s="1730"/>
      <c r="L502" s="1734">
        <f t="shared" si="125"/>
        <v>0</v>
      </c>
      <c r="M502" s="1735">
        <f t="shared" si="126"/>
        <v>0</v>
      </c>
      <c r="N502" s="1730"/>
      <c r="O502" s="1730"/>
      <c r="P502" s="1730"/>
      <c r="Q502" s="1730"/>
      <c r="R502" s="1730"/>
      <c r="S502" s="1730"/>
      <c r="T502" s="1730"/>
      <c r="U502" s="1730"/>
      <c r="V502" s="1730"/>
      <c r="W502" s="1730"/>
      <c r="X502" s="1903">
        <f t="shared" ref="X502:X535" si="135">IF(AND(H502&gt;0,F502&lt;&gt;"GfB"),(SUM(M502:P502,R502,V502,Q502)*12+(T502+U502))*(100+$P$17+$P$18)%+((S502+W502)*12),IF(AND(H502&gt;0,F502="GfB"),(SUM(M502:P502,R502,V502,Q502)*12+(T502+U502))*(100+$P$20+$P$18)%+((S502+W502)*12),0))</f>
        <v>0</v>
      </c>
      <c r="Y502" s="1733">
        <f t="shared" si="127"/>
        <v>0</v>
      </c>
      <c r="Z502" s="528"/>
      <c r="AA502" s="1620"/>
      <c r="AB502" s="1616"/>
      <c r="AC502" s="1616"/>
      <c r="AD502" s="1616"/>
      <c r="AE502" s="1621"/>
      <c r="AF502" s="1692">
        <f t="shared" si="128"/>
        <v>0</v>
      </c>
      <c r="AG502" s="1654">
        <f t="shared" si="129"/>
        <v>0</v>
      </c>
      <c r="AH502" s="1654">
        <f t="shared" si="130"/>
        <v>0</v>
      </c>
      <c r="AI502" s="1654">
        <f t="shared" si="131"/>
        <v>0</v>
      </c>
      <c r="AJ502" s="1684">
        <f t="shared" si="132"/>
        <v>0</v>
      </c>
      <c r="AK502" s="1610"/>
      <c r="AL502" s="1590"/>
      <c r="AM502" s="1590"/>
      <c r="AN502" s="1590"/>
      <c r="AO502" s="1590"/>
      <c r="AP502" s="1686"/>
      <c r="AQ502" s="1687">
        <f t="shared" si="133"/>
        <v>0</v>
      </c>
      <c r="AR502" s="1604"/>
      <c r="AS502" s="1689"/>
      <c r="AT502" s="1663">
        <f t="shared" si="134"/>
        <v>0</v>
      </c>
      <c r="AU502" s="1667"/>
      <c r="AV502" s="935"/>
      <c r="AW502" s="935"/>
      <c r="AX502" s="935"/>
      <c r="AY502" s="722"/>
      <c r="AZ502" s="722"/>
      <c r="BA502" s="722"/>
      <c r="BB502" s="722"/>
      <c r="BC502" s="722"/>
      <c r="BD502" s="722"/>
      <c r="BE502" s="706"/>
      <c r="BF502" s="706"/>
      <c r="BG502" s="694"/>
    </row>
    <row r="503" spans="1:59" ht="15.75" x14ac:dyDescent="0.25">
      <c r="A503" s="1883"/>
      <c r="B503" s="1748"/>
      <c r="C503" s="1884"/>
      <c r="D503" s="1884"/>
      <c r="E503" s="1726">
        <f t="shared" si="114"/>
        <v>0</v>
      </c>
      <c r="F503" s="1722"/>
      <c r="G503" s="1727"/>
      <c r="H503" s="1728"/>
      <c r="I503" s="1729"/>
      <c r="J503" s="1729"/>
      <c r="K503" s="1730"/>
      <c r="L503" s="1734">
        <f t="shared" si="125"/>
        <v>0</v>
      </c>
      <c r="M503" s="1735">
        <f t="shared" si="126"/>
        <v>0</v>
      </c>
      <c r="N503" s="1730"/>
      <c r="O503" s="1730"/>
      <c r="P503" s="1730"/>
      <c r="Q503" s="1730"/>
      <c r="R503" s="1730"/>
      <c r="S503" s="1730"/>
      <c r="T503" s="1730"/>
      <c r="U503" s="1730"/>
      <c r="V503" s="1730"/>
      <c r="W503" s="1730"/>
      <c r="X503" s="1903">
        <f t="shared" si="135"/>
        <v>0</v>
      </c>
      <c r="Y503" s="1733">
        <f t="shared" si="127"/>
        <v>0</v>
      </c>
      <c r="Z503" s="528"/>
      <c r="AA503" s="1620"/>
      <c r="AB503" s="1616"/>
      <c r="AC503" s="1616"/>
      <c r="AD503" s="1616"/>
      <c r="AE503" s="1621"/>
      <c r="AF503" s="1692">
        <f t="shared" si="128"/>
        <v>0</v>
      </c>
      <c r="AG503" s="1654">
        <f t="shared" si="129"/>
        <v>0</v>
      </c>
      <c r="AH503" s="1654">
        <f t="shared" si="130"/>
        <v>0</v>
      </c>
      <c r="AI503" s="1654">
        <f t="shared" si="131"/>
        <v>0</v>
      </c>
      <c r="AJ503" s="1684">
        <f t="shared" si="132"/>
        <v>0</v>
      </c>
      <c r="AK503" s="1610"/>
      <c r="AL503" s="1590"/>
      <c r="AM503" s="1590"/>
      <c r="AN503" s="1590"/>
      <c r="AO503" s="1590"/>
      <c r="AP503" s="1686"/>
      <c r="AQ503" s="1687">
        <f t="shared" si="133"/>
        <v>0</v>
      </c>
      <c r="AR503" s="1604"/>
      <c r="AS503" s="1689"/>
      <c r="AT503" s="1663">
        <f t="shared" si="134"/>
        <v>0</v>
      </c>
      <c r="AU503" s="1667"/>
      <c r="AV503" s="935"/>
      <c r="AW503" s="935"/>
      <c r="AX503" s="935"/>
      <c r="AY503" s="722"/>
      <c r="AZ503" s="722"/>
      <c r="BA503" s="722"/>
      <c r="BB503" s="722"/>
      <c r="BC503" s="722"/>
      <c r="BD503" s="722"/>
      <c r="BE503" s="706"/>
      <c r="BF503" s="706"/>
      <c r="BG503" s="694"/>
    </row>
    <row r="504" spans="1:59" ht="15.75" x14ac:dyDescent="0.25">
      <c r="A504" s="1883"/>
      <c r="B504" s="1748"/>
      <c r="C504" s="1884"/>
      <c r="D504" s="1884"/>
      <c r="E504" s="1726">
        <f t="shared" si="114"/>
        <v>0</v>
      </c>
      <c r="F504" s="1722"/>
      <c r="G504" s="1727"/>
      <c r="H504" s="1728"/>
      <c r="I504" s="1729"/>
      <c r="J504" s="1729"/>
      <c r="K504" s="1730"/>
      <c r="L504" s="1734">
        <f t="shared" si="125"/>
        <v>0</v>
      </c>
      <c r="M504" s="1735">
        <f t="shared" si="126"/>
        <v>0</v>
      </c>
      <c r="N504" s="1730"/>
      <c r="O504" s="1730"/>
      <c r="P504" s="1730"/>
      <c r="Q504" s="1730"/>
      <c r="R504" s="1730"/>
      <c r="S504" s="1730"/>
      <c r="T504" s="1730"/>
      <c r="U504" s="1730"/>
      <c r="V504" s="1730"/>
      <c r="W504" s="1730"/>
      <c r="X504" s="1903">
        <f t="shared" si="135"/>
        <v>0</v>
      </c>
      <c r="Y504" s="1733">
        <f t="shared" si="127"/>
        <v>0</v>
      </c>
      <c r="Z504" s="528"/>
      <c r="AA504" s="1622"/>
      <c r="AB504" s="1623"/>
      <c r="AC504" s="1623"/>
      <c r="AD504" s="1623"/>
      <c r="AE504" s="1624"/>
      <c r="AF504" s="1692">
        <f t="shared" si="128"/>
        <v>0</v>
      </c>
      <c r="AG504" s="1654">
        <f t="shared" si="129"/>
        <v>0</v>
      </c>
      <c r="AH504" s="1654">
        <f t="shared" si="130"/>
        <v>0</v>
      </c>
      <c r="AI504" s="1654">
        <f t="shared" si="131"/>
        <v>0</v>
      </c>
      <c r="AJ504" s="1684">
        <f t="shared" si="132"/>
        <v>0</v>
      </c>
      <c r="AK504" s="1612"/>
      <c r="AL504" s="1601"/>
      <c r="AM504" s="1601"/>
      <c r="AN504" s="1601"/>
      <c r="AO504" s="1601"/>
      <c r="AP504" s="1655"/>
      <c r="AQ504" s="1687">
        <f t="shared" si="133"/>
        <v>0</v>
      </c>
      <c r="AR504" s="1605"/>
      <c r="AS504" s="1689"/>
      <c r="AT504" s="1663">
        <f t="shared" si="134"/>
        <v>0</v>
      </c>
      <c r="AU504" s="1667"/>
      <c r="AV504" s="935"/>
      <c r="AW504" s="935"/>
      <c r="AX504" s="935"/>
      <c r="AY504" s="722"/>
      <c r="AZ504" s="722"/>
      <c r="BA504" s="722"/>
      <c r="BB504" s="722"/>
      <c r="BC504" s="722"/>
      <c r="BD504" s="722"/>
      <c r="BE504" s="706"/>
      <c r="BF504" s="706"/>
      <c r="BG504" s="694"/>
    </row>
    <row r="505" spans="1:59" ht="15.75" x14ac:dyDescent="0.25">
      <c r="A505" s="1765" t="str">
        <f>IF('Allgemeine Angaben'!$F$7="4.","Präsenzkräfte ohne mind. einjähriger Berufsausbildung","Pflege- und Betreuungskräfte ohne mind. einjähriger Berufsausbildung im Funktionsbereich Hauswirtschaft")</f>
        <v>Pflege- und Betreuungskräfte ohne mind. einjähriger Berufsausbildung im Funktionsbereich Hauswirtschaft</v>
      </c>
      <c r="B505" s="1077"/>
      <c r="C505" s="1078"/>
      <c r="D505" s="1078"/>
      <c r="E505" s="1078"/>
      <c r="F505" s="1723" t="str">
        <f>IF('Allgemeine Angaben'!$F$7="4.","Präsenzkräfte ohne mind. einjähriger Berufsausbildung","Pflege- und Betreuungskräfte ohne mind. einjähriger Berufsausbildung im Funktionsbereich Hauswirtschaft")</f>
        <v>Pflege- und Betreuungskräfte ohne mind. einjähriger Berufsausbildung im Funktionsbereich Hauswirtschaft</v>
      </c>
      <c r="G505" s="1079"/>
      <c r="H505" s="1080"/>
      <c r="I505" s="1081"/>
      <c r="J505" s="1081"/>
      <c r="K505" s="1082"/>
      <c r="L505" s="1082"/>
      <c r="M505" s="1082"/>
      <c r="N505" s="1082"/>
      <c r="O505" s="1082"/>
      <c r="P505" s="1082"/>
      <c r="Q505" s="1082"/>
      <c r="R505" s="1082"/>
      <c r="S505" s="1082"/>
      <c r="T505" s="1082"/>
      <c r="U505" s="1082"/>
      <c r="V505" s="1082"/>
      <c r="W505" s="1082"/>
      <c r="X505" s="1082"/>
      <c r="Y505" s="1083"/>
      <c r="Z505" s="528"/>
      <c r="AA505" s="1620"/>
      <c r="AB505" s="1616"/>
      <c r="AC505" s="1616"/>
      <c r="AD505" s="1616"/>
      <c r="AE505" s="1616"/>
      <c r="AF505" s="1626"/>
      <c r="AG505" s="1592"/>
      <c r="AH505" s="1592"/>
      <c r="AI505" s="1592"/>
      <c r="AJ505" s="1592"/>
      <c r="AK505" s="1600"/>
      <c r="AL505" s="1601"/>
      <c r="AM505" s="1601"/>
      <c r="AN505" s="1601"/>
      <c r="AO505" s="1601"/>
      <c r="AP505" s="1607"/>
      <c r="AQ505" s="1681"/>
      <c r="AR505" s="1691"/>
      <c r="AS505" s="1646"/>
      <c r="AT505" s="1672"/>
      <c r="AU505" s="1649"/>
      <c r="AV505" s="935"/>
      <c r="AW505" s="935"/>
      <c r="AX505" s="935"/>
      <c r="AY505" s="722"/>
      <c r="AZ505" s="722"/>
      <c r="BA505" s="722"/>
      <c r="BB505" s="722"/>
      <c r="BC505" s="722"/>
      <c r="BD505" s="722"/>
      <c r="BE505" s="706"/>
      <c r="BF505" s="706"/>
      <c r="BG505" s="694"/>
    </row>
    <row r="506" spans="1:59" ht="15.75" x14ac:dyDescent="0.25">
      <c r="A506" s="1883"/>
      <c r="B506" s="1748"/>
      <c r="C506" s="1884"/>
      <c r="D506" s="1884"/>
      <c r="E506" s="1726">
        <f t="shared" si="114"/>
        <v>0</v>
      </c>
      <c r="F506" s="1722"/>
      <c r="G506" s="1727"/>
      <c r="H506" s="1728"/>
      <c r="I506" s="1729"/>
      <c r="J506" s="1729"/>
      <c r="K506" s="1730"/>
      <c r="L506" s="1734">
        <f>IFERROR(IF($K$24="VK",K506,K506/H506),0)</f>
        <v>0</v>
      </c>
      <c r="M506" s="1735">
        <f>IFERROR(L506*H506,"")</f>
        <v>0</v>
      </c>
      <c r="N506" s="1730"/>
      <c r="O506" s="1730"/>
      <c r="P506" s="1730"/>
      <c r="Q506" s="1730"/>
      <c r="R506" s="1730"/>
      <c r="S506" s="1730"/>
      <c r="T506" s="1730"/>
      <c r="U506" s="1730"/>
      <c r="V506" s="1730"/>
      <c r="W506" s="1730"/>
      <c r="X506" s="1903">
        <f t="shared" si="135"/>
        <v>0</v>
      </c>
      <c r="Y506" s="1733">
        <f>IF(ISERROR(X506/H506),0,(X506/H506))</f>
        <v>0</v>
      </c>
      <c r="Z506" s="528"/>
      <c r="AA506" s="1617"/>
      <c r="AB506" s="1618"/>
      <c r="AC506" s="1618"/>
      <c r="AD506" s="1618"/>
      <c r="AE506" s="1618"/>
      <c r="AF506" s="1626"/>
      <c r="AG506" s="1592"/>
      <c r="AH506" s="1592"/>
      <c r="AI506" s="1592"/>
      <c r="AJ506" s="1627"/>
      <c r="AK506" s="1694">
        <f>(IF(AND($H506&gt;0,$K506&gt;0),($M506+$N506),0))</f>
        <v>0</v>
      </c>
      <c r="AL506" s="1682">
        <f>(IF(AND($H506&gt;0,$K506&gt;0),$O506,0))</f>
        <v>0</v>
      </c>
      <c r="AM506" s="1682">
        <f>(IF(AND($H506&gt;0,$K506&gt;0),$P506,0))</f>
        <v>0</v>
      </c>
      <c r="AN506" s="1682">
        <f>(IF(AND($H506&gt;0,$K506&gt;0),$Q506,0))</f>
        <v>0</v>
      </c>
      <c r="AO506" s="1683">
        <f>(IF(AND($H506&gt;0,$K506&gt;0),(($T506+$U506)/12),0))</f>
        <v>0</v>
      </c>
      <c r="AP506" s="1632"/>
      <c r="AQ506" s="1633"/>
      <c r="AR506" s="1680">
        <f>IF(AND($H506&gt;0,$K506&gt;0),$H506,0)</f>
        <v>0</v>
      </c>
      <c r="AS506" s="1673"/>
      <c r="AT506" s="1674"/>
      <c r="AU506" s="1679">
        <f>IF(AND($H506&gt;0,$K506&gt;0),$X506,0)</f>
        <v>0</v>
      </c>
      <c r="AV506" s="935"/>
      <c r="AW506" s="935"/>
      <c r="AX506" s="935"/>
      <c r="AY506" s="722"/>
      <c r="AZ506" s="722"/>
      <c r="BA506" s="722"/>
      <c r="BB506" s="722"/>
      <c r="BC506" s="722"/>
      <c r="BD506" s="722"/>
      <c r="BE506" s="706"/>
      <c r="BF506" s="706"/>
      <c r="BG506" s="694"/>
    </row>
    <row r="507" spans="1:59" ht="15.75" x14ac:dyDescent="0.25">
      <c r="A507" s="1883"/>
      <c r="B507" s="1748"/>
      <c r="C507" s="1884"/>
      <c r="D507" s="1884"/>
      <c r="E507" s="1726">
        <f t="shared" si="114"/>
        <v>0</v>
      </c>
      <c r="F507" s="1722"/>
      <c r="G507" s="1727"/>
      <c r="H507" s="1728"/>
      <c r="I507" s="1729"/>
      <c r="J507" s="1729"/>
      <c r="K507" s="1730"/>
      <c r="L507" s="1734">
        <f>IFERROR(IF($K$24="VK",K507,K507/H507),0)</f>
        <v>0</v>
      </c>
      <c r="M507" s="1735">
        <f>IFERROR(L507*H507,"")</f>
        <v>0</v>
      </c>
      <c r="N507" s="1730"/>
      <c r="O507" s="1730"/>
      <c r="P507" s="1730"/>
      <c r="Q507" s="1730"/>
      <c r="R507" s="1730"/>
      <c r="S507" s="1730"/>
      <c r="T507" s="1730"/>
      <c r="U507" s="1730"/>
      <c r="V507" s="1730"/>
      <c r="W507" s="1730"/>
      <c r="X507" s="1903">
        <f t="shared" si="135"/>
        <v>0</v>
      </c>
      <c r="Y507" s="1733">
        <f t="shared" ref="Y507:Y535" si="136">IF(ISERROR(X507/H507),0,(X507/H507))</f>
        <v>0</v>
      </c>
      <c r="Z507" s="528"/>
      <c r="AA507" s="1620"/>
      <c r="AB507" s="1616"/>
      <c r="AC507" s="1616"/>
      <c r="AD507" s="1616"/>
      <c r="AE507" s="1616"/>
      <c r="AF507" s="1587"/>
      <c r="AG507" s="1588"/>
      <c r="AH507" s="1588"/>
      <c r="AI507" s="1588"/>
      <c r="AJ507" s="1628"/>
      <c r="AK507" s="1694">
        <f t="shared" ref="AK507:AK535" si="137">(IF(AND($H507&gt;0,$K507&gt;0),($M507+$N507),0))</f>
        <v>0</v>
      </c>
      <c r="AL507" s="1682">
        <f t="shared" ref="AL507:AL535" si="138">(IF(AND($H507&gt;0,$K507&gt;0),$O507,0))</f>
        <v>0</v>
      </c>
      <c r="AM507" s="1682">
        <f t="shared" ref="AM507:AM535" si="139">(IF(AND($H507&gt;0,$K507&gt;0),$P507,0))</f>
        <v>0</v>
      </c>
      <c r="AN507" s="1682">
        <f t="shared" ref="AN507:AN535" si="140">(IF(AND($H507&gt;0,$K507&gt;0),$Q507,0))</f>
        <v>0</v>
      </c>
      <c r="AO507" s="1683">
        <f t="shared" ref="AO507:AO535" si="141">(IF(AND($H507&gt;0,$K507&gt;0),(($T507+$U507)/12),0))</f>
        <v>0</v>
      </c>
      <c r="AP507" s="1634"/>
      <c r="AQ507" s="1635"/>
      <c r="AR507" s="1680">
        <f t="shared" ref="AR507:AR535" si="142">IF(AND($H507&gt;0,$K507&gt;0),$H507,0)</f>
        <v>0</v>
      </c>
      <c r="AS507" s="1675"/>
      <c r="AT507" s="1676"/>
      <c r="AU507" s="1679">
        <f t="shared" ref="AU507:AU535" si="143">IF(AND($H507&gt;0,$K507&gt;0),$X507,0)</f>
        <v>0</v>
      </c>
      <c r="AV507" s="935"/>
      <c r="AW507" s="935"/>
      <c r="AX507" s="935"/>
      <c r="AY507" s="722"/>
      <c r="AZ507" s="722"/>
      <c r="BA507" s="722"/>
      <c r="BB507" s="722"/>
      <c r="BC507" s="722"/>
      <c r="BD507" s="722"/>
      <c r="BE507" s="706"/>
      <c r="BF507" s="706"/>
      <c r="BG507" s="694"/>
    </row>
    <row r="508" spans="1:59" ht="15.75" x14ac:dyDescent="0.25">
      <c r="A508" s="1883"/>
      <c r="B508" s="1748"/>
      <c r="C508" s="1884"/>
      <c r="D508" s="1884"/>
      <c r="E508" s="1726">
        <f t="shared" si="114"/>
        <v>0</v>
      </c>
      <c r="F508" s="1722"/>
      <c r="G508" s="1727"/>
      <c r="H508" s="1728"/>
      <c r="I508" s="1729"/>
      <c r="J508" s="1729"/>
      <c r="K508" s="1730"/>
      <c r="L508" s="1734">
        <f t="shared" ref="L508:L535" si="144">IFERROR(IF($K$24="VK",K508,K508/H508),0)</f>
        <v>0</v>
      </c>
      <c r="M508" s="1735">
        <f t="shared" ref="M508:M535" si="145">IFERROR(L508*H508,"")</f>
        <v>0</v>
      </c>
      <c r="N508" s="1730"/>
      <c r="O508" s="1730"/>
      <c r="P508" s="1730"/>
      <c r="Q508" s="1730"/>
      <c r="R508" s="1730"/>
      <c r="S508" s="1730"/>
      <c r="T508" s="1730"/>
      <c r="U508" s="1730"/>
      <c r="V508" s="1730"/>
      <c r="W508" s="1730"/>
      <c r="X508" s="1903">
        <f t="shared" si="135"/>
        <v>0</v>
      </c>
      <c r="Y508" s="1733">
        <f t="shared" si="136"/>
        <v>0</v>
      </c>
      <c r="Z508" s="528"/>
      <c r="AA508" s="1620"/>
      <c r="AB508" s="1616"/>
      <c r="AC508" s="1616"/>
      <c r="AD508" s="1616"/>
      <c r="AE508" s="1616"/>
      <c r="AF508" s="1587"/>
      <c r="AG508" s="1588"/>
      <c r="AH508" s="1588"/>
      <c r="AI508" s="1588"/>
      <c r="AJ508" s="1628"/>
      <c r="AK508" s="1694">
        <f t="shared" si="137"/>
        <v>0</v>
      </c>
      <c r="AL508" s="1682">
        <f t="shared" si="138"/>
        <v>0</v>
      </c>
      <c r="AM508" s="1682">
        <f t="shared" si="139"/>
        <v>0</v>
      </c>
      <c r="AN508" s="1682">
        <f t="shared" si="140"/>
        <v>0</v>
      </c>
      <c r="AO508" s="1683">
        <f t="shared" si="141"/>
        <v>0</v>
      </c>
      <c r="AP508" s="1634"/>
      <c r="AQ508" s="1635"/>
      <c r="AR508" s="1680">
        <f t="shared" si="142"/>
        <v>0</v>
      </c>
      <c r="AS508" s="1675"/>
      <c r="AT508" s="1676"/>
      <c r="AU508" s="1679">
        <f t="shared" si="143"/>
        <v>0</v>
      </c>
      <c r="AV508" s="935"/>
      <c r="AW508" s="935"/>
      <c r="AX508" s="935"/>
      <c r="AY508" s="722"/>
      <c r="AZ508" s="722"/>
      <c r="BA508" s="722"/>
      <c r="BB508" s="722"/>
      <c r="BC508" s="722"/>
      <c r="BD508" s="722"/>
      <c r="BE508" s="706"/>
      <c r="BF508" s="706"/>
      <c r="BG508" s="694"/>
    </row>
    <row r="509" spans="1:59" ht="15.75" x14ac:dyDescent="0.25">
      <c r="A509" s="1883"/>
      <c r="B509" s="1748"/>
      <c r="C509" s="1884"/>
      <c r="D509" s="1884"/>
      <c r="E509" s="1726">
        <f t="shared" si="114"/>
        <v>0</v>
      </c>
      <c r="F509" s="1722"/>
      <c r="G509" s="1727"/>
      <c r="H509" s="1728"/>
      <c r="I509" s="1729"/>
      <c r="J509" s="1729"/>
      <c r="K509" s="1730"/>
      <c r="L509" s="1734">
        <f t="shared" si="144"/>
        <v>0</v>
      </c>
      <c r="M509" s="1735">
        <f t="shared" si="145"/>
        <v>0</v>
      </c>
      <c r="N509" s="1730"/>
      <c r="O509" s="1730"/>
      <c r="P509" s="1730"/>
      <c r="Q509" s="1730"/>
      <c r="R509" s="1730"/>
      <c r="S509" s="1730"/>
      <c r="T509" s="1730"/>
      <c r="U509" s="1730"/>
      <c r="V509" s="1730"/>
      <c r="W509" s="1730"/>
      <c r="X509" s="1903">
        <f t="shared" si="135"/>
        <v>0</v>
      </c>
      <c r="Y509" s="1733">
        <f t="shared" si="136"/>
        <v>0</v>
      </c>
      <c r="Z509" s="528"/>
      <c r="AA509" s="1620"/>
      <c r="AB509" s="1616"/>
      <c r="AC509" s="1616"/>
      <c r="AD509" s="1616"/>
      <c r="AE509" s="1616"/>
      <c r="AF509" s="1587"/>
      <c r="AG509" s="1588"/>
      <c r="AH509" s="1588"/>
      <c r="AI509" s="1588"/>
      <c r="AJ509" s="1628"/>
      <c r="AK509" s="1694">
        <f t="shared" si="137"/>
        <v>0</v>
      </c>
      <c r="AL509" s="1682">
        <f t="shared" si="138"/>
        <v>0</v>
      </c>
      <c r="AM509" s="1682">
        <f t="shared" si="139"/>
        <v>0</v>
      </c>
      <c r="AN509" s="1682">
        <f t="shared" si="140"/>
        <v>0</v>
      </c>
      <c r="AO509" s="1683">
        <f t="shared" si="141"/>
        <v>0</v>
      </c>
      <c r="AP509" s="1634"/>
      <c r="AQ509" s="1635"/>
      <c r="AR509" s="1680">
        <f t="shared" si="142"/>
        <v>0</v>
      </c>
      <c r="AS509" s="1675"/>
      <c r="AT509" s="1676"/>
      <c r="AU509" s="1679">
        <f t="shared" si="143"/>
        <v>0</v>
      </c>
      <c r="AV509" s="935"/>
      <c r="AW509" s="935"/>
      <c r="AX509" s="935"/>
      <c r="AY509" s="722"/>
      <c r="AZ509" s="722"/>
      <c r="BA509" s="722"/>
      <c r="BB509" s="722"/>
      <c r="BC509" s="722"/>
      <c r="BD509" s="722"/>
      <c r="BE509" s="706"/>
      <c r="BF509" s="706"/>
      <c r="BG509" s="694"/>
    </row>
    <row r="510" spans="1:59" ht="15.75" x14ac:dyDescent="0.25">
      <c r="A510" s="1883"/>
      <c r="B510" s="1748"/>
      <c r="C510" s="1884"/>
      <c r="D510" s="1884"/>
      <c r="E510" s="1726">
        <f t="shared" si="114"/>
        <v>0</v>
      </c>
      <c r="F510" s="1722"/>
      <c r="G510" s="1727"/>
      <c r="H510" s="1728"/>
      <c r="I510" s="1729"/>
      <c r="J510" s="1729"/>
      <c r="K510" s="1730"/>
      <c r="L510" s="1734">
        <f t="shared" si="144"/>
        <v>0</v>
      </c>
      <c r="M510" s="1735">
        <f t="shared" si="145"/>
        <v>0</v>
      </c>
      <c r="N510" s="1730"/>
      <c r="O510" s="1730"/>
      <c r="P510" s="1730"/>
      <c r="Q510" s="1730"/>
      <c r="R510" s="1730"/>
      <c r="S510" s="1730"/>
      <c r="T510" s="1730"/>
      <c r="U510" s="1730"/>
      <c r="V510" s="1730"/>
      <c r="W510" s="1730"/>
      <c r="X510" s="1903">
        <f t="shared" si="135"/>
        <v>0</v>
      </c>
      <c r="Y510" s="1733">
        <f t="shared" si="136"/>
        <v>0</v>
      </c>
      <c r="Z510" s="528"/>
      <c r="AA510" s="1620"/>
      <c r="AB510" s="1616"/>
      <c r="AC510" s="1616"/>
      <c r="AD510" s="1616"/>
      <c r="AE510" s="1616"/>
      <c r="AF510" s="1587"/>
      <c r="AG510" s="1588"/>
      <c r="AH510" s="1588"/>
      <c r="AI510" s="1588"/>
      <c r="AJ510" s="1628"/>
      <c r="AK510" s="1694">
        <f t="shared" si="137"/>
        <v>0</v>
      </c>
      <c r="AL510" s="1682">
        <f t="shared" si="138"/>
        <v>0</v>
      </c>
      <c r="AM510" s="1682">
        <f t="shared" si="139"/>
        <v>0</v>
      </c>
      <c r="AN510" s="1682">
        <f t="shared" si="140"/>
        <v>0</v>
      </c>
      <c r="AO510" s="1683">
        <f t="shared" si="141"/>
        <v>0</v>
      </c>
      <c r="AP510" s="1634"/>
      <c r="AQ510" s="1635"/>
      <c r="AR510" s="1680">
        <f t="shared" si="142"/>
        <v>0</v>
      </c>
      <c r="AS510" s="1675"/>
      <c r="AT510" s="1676"/>
      <c r="AU510" s="1679">
        <f t="shared" si="143"/>
        <v>0</v>
      </c>
      <c r="AV510" s="935"/>
      <c r="AW510" s="935"/>
      <c r="AX510" s="935"/>
      <c r="AY510" s="722"/>
      <c r="AZ510" s="722"/>
      <c r="BA510" s="722"/>
      <c r="BB510" s="722"/>
      <c r="BC510" s="722"/>
      <c r="BD510" s="722"/>
      <c r="BE510" s="706"/>
      <c r="BF510" s="706"/>
      <c r="BG510" s="694"/>
    </row>
    <row r="511" spans="1:59" ht="15.75" x14ac:dyDescent="0.25">
      <c r="A511" s="1883"/>
      <c r="B511" s="1748"/>
      <c r="C511" s="1884"/>
      <c r="D511" s="1884"/>
      <c r="E511" s="1726">
        <f t="shared" si="114"/>
        <v>0</v>
      </c>
      <c r="F511" s="1722"/>
      <c r="G511" s="1727"/>
      <c r="H511" s="1728"/>
      <c r="I511" s="1729"/>
      <c r="J511" s="1729"/>
      <c r="K511" s="1730"/>
      <c r="L511" s="1734">
        <f t="shared" si="144"/>
        <v>0</v>
      </c>
      <c r="M511" s="1735">
        <f t="shared" si="145"/>
        <v>0</v>
      </c>
      <c r="N511" s="1730"/>
      <c r="O511" s="1730"/>
      <c r="P511" s="1730"/>
      <c r="Q511" s="1730"/>
      <c r="R511" s="1730"/>
      <c r="S511" s="1730"/>
      <c r="T511" s="1730"/>
      <c r="U511" s="1730"/>
      <c r="V511" s="1730"/>
      <c r="W511" s="1730"/>
      <c r="X511" s="1903">
        <f t="shared" si="135"/>
        <v>0</v>
      </c>
      <c r="Y511" s="1733">
        <f t="shared" si="136"/>
        <v>0</v>
      </c>
      <c r="Z511" s="528"/>
      <c r="AA511" s="1620"/>
      <c r="AB511" s="1616"/>
      <c r="AC511" s="1616"/>
      <c r="AD511" s="1616"/>
      <c r="AE511" s="1616"/>
      <c r="AF511" s="1587"/>
      <c r="AG511" s="1588"/>
      <c r="AH511" s="1588"/>
      <c r="AI511" s="1588"/>
      <c r="AJ511" s="1628"/>
      <c r="AK511" s="1694">
        <f t="shared" si="137"/>
        <v>0</v>
      </c>
      <c r="AL511" s="1682">
        <f t="shared" si="138"/>
        <v>0</v>
      </c>
      <c r="AM511" s="1682">
        <f t="shared" si="139"/>
        <v>0</v>
      </c>
      <c r="AN511" s="1682">
        <f t="shared" si="140"/>
        <v>0</v>
      </c>
      <c r="AO511" s="1683">
        <f t="shared" si="141"/>
        <v>0</v>
      </c>
      <c r="AP511" s="1634"/>
      <c r="AQ511" s="1635"/>
      <c r="AR511" s="1680">
        <f t="shared" si="142"/>
        <v>0</v>
      </c>
      <c r="AS511" s="1675"/>
      <c r="AT511" s="1676"/>
      <c r="AU511" s="1679">
        <f t="shared" si="143"/>
        <v>0</v>
      </c>
      <c r="AV511" s="935"/>
      <c r="AW511" s="935"/>
      <c r="AX511" s="935"/>
      <c r="AY511" s="722"/>
      <c r="AZ511" s="722"/>
      <c r="BA511" s="722"/>
      <c r="BB511" s="722"/>
      <c r="BC511" s="722"/>
      <c r="BD511" s="722"/>
      <c r="BE511" s="706"/>
      <c r="BF511" s="706"/>
      <c r="BG511" s="694"/>
    </row>
    <row r="512" spans="1:59" ht="15.75" x14ac:dyDescent="0.25">
      <c r="A512" s="1883"/>
      <c r="B512" s="1748"/>
      <c r="C512" s="1884"/>
      <c r="D512" s="1884"/>
      <c r="E512" s="1726">
        <f t="shared" si="114"/>
        <v>0</v>
      </c>
      <c r="F512" s="1722"/>
      <c r="G512" s="1727"/>
      <c r="H512" s="1728"/>
      <c r="I512" s="1729"/>
      <c r="J512" s="1729"/>
      <c r="K512" s="1730"/>
      <c r="L512" s="1734">
        <f t="shared" si="144"/>
        <v>0</v>
      </c>
      <c r="M512" s="1735">
        <f t="shared" si="145"/>
        <v>0</v>
      </c>
      <c r="N512" s="1730"/>
      <c r="O512" s="1730"/>
      <c r="P512" s="1730"/>
      <c r="Q512" s="1730"/>
      <c r="R512" s="1730"/>
      <c r="S512" s="1730"/>
      <c r="T512" s="1730"/>
      <c r="U512" s="1730"/>
      <c r="V512" s="1730"/>
      <c r="W512" s="1730"/>
      <c r="X512" s="1903">
        <f t="shared" si="135"/>
        <v>0</v>
      </c>
      <c r="Y512" s="1733">
        <f t="shared" si="136"/>
        <v>0</v>
      </c>
      <c r="Z512" s="528"/>
      <c r="AA512" s="1620"/>
      <c r="AB512" s="1616"/>
      <c r="AC512" s="1616"/>
      <c r="AD512" s="1616"/>
      <c r="AE512" s="1616"/>
      <c r="AF512" s="1587"/>
      <c r="AG512" s="1588"/>
      <c r="AH512" s="1588"/>
      <c r="AI512" s="1588"/>
      <c r="AJ512" s="1628"/>
      <c r="AK512" s="1694">
        <f t="shared" si="137"/>
        <v>0</v>
      </c>
      <c r="AL512" s="1682">
        <f t="shared" si="138"/>
        <v>0</v>
      </c>
      <c r="AM512" s="1682">
        <f t="shared" si="139"/>
        <v>0</v>
      </c>
      <c r="AN512" s="1682">
        <f t="shared" si="140"/>
        <v>0</v>
      </c>
      <c r="AO512" s="1683">
        <f t="shared" si="141"/>
        <v>0</v>
      </c>
      <c r="AP512" s="1634"/>
      <c r="AQ512" s="1635"/>
      <c r="AR512" s="1680">
        <f t="shared" si="142"/>
        <v>0</v>
      </c>
      <c r="AS512" s="1675"/>
      <c r="AT512" s="1676"/>
      <c r="AU512" s="1679">
        <f t="shared" si="143"/>
        <v>0</v>
      </c>
      <c r="AV512" s="935"/>
      <c r="AW512" s="935"/>
      <c r="AX512" s="935"/>
      <c r="AY512" s="722"/>
      <c r="AZ512" s="722"/>
      <c r="BA512" s="722"/>
      <c r="BB512" s="722"/>
      <c r="BC512" s="722"/>
      <c r="BD512" s="722"/>
      <c r="BE512" s="706"/>
      <c r="BF512" s="706"/>
      <c r="BG512" s="694"/>
    </row>
    <row r="513" spans="1:59" ht="15.75" x14ac:dyDescent="0.25">
      <c r="A513" s="1883"/>
      <c r="B513" s="1748"/>
      <c r="C513" s="1884"/>
      <c r="D513" s="1884"/>
      <c r="E513" s="1726">
        <f t="shared" si="114"/>
        <v>0</v>
      </c>
      <c r="F513" s="1722"/>
      <c r="G513" s="1727"/>
      <c r="H513" s="1728"/>
      <c r="I513" s="1729"/>
      <c r="J513" s="1729"/>
      <c r="K513" s="1730"/>
      <c r="L513" s="1734">
        <f t="shared" si="144"/>
        <v>0</v>
      </c>
      <c r="M513" s="1735">
        <f t="shared" si="145"/>
        <v>0</v>
      </c>
      <c r="N513" s="1730"/>
      <c r="O513" s="1730"/>
      <c r="P513" s="1730"/>
      <c r="Q513" s="1730"/>
      <c r="R513" s="1730"/>
      <c r="S513" s="1730"/>
      <c r="T513" s="1730"/>
      <c r="U513" s="1730"/>
      <c r="V513" s="1730"/>
      <c r="W513" s="1730"/>
      <c r="X513" s="1903">
        <f t="shared" si="135"/>
        <v>0</v>
      </c>
      <c r="Y513" s="1733">
        <f t="shared" si="136"/>
        <v>0</v>
      </c>
      <c r="Z513" s="528"/>
      <c r="AA513" s="1620"/>
      <c r="AB513" s="1616"/>
      <c r="AC513" s="1616"/>
      <c r="AD513" s="1616"/>
      <c r="AE513" s="1616"/>
      <c r="AF513" s="1587"/>
      <c r="AG513" s="1588"/>
      <c r="AH513" s="1588"/>
      <c r="AI513" s="1588"/>
      <c r="AJ513" s="1628"/>
      <c r="AK513" s="1694">
        <f t="shared" si="137"/>
        <v>0</v>
      </c>
      <c r="AL513" s="1682">
        <f t="shared" si="138"/>
        <v>0</v>
      </c>
      <c r="AM513" s="1682">
        <f t="shared" si="139"/>
        <v>0</v>
      </c>
      <c r="AN513" s="1682">
        <f t="shared" si="140"/>
        <v>0</v>
      </c>
      <c r="AO513" s="1683">
        <f t="shared" si="141"/>
        <v>0</v>
      </c>
      <c r="AP513" s="1634"/>
      <c r="AQ513" s="1635"/>
      <c r="AR513" s="1680">
        <f t="shared" si="142"/>
        <v>0</v>
      </c>
      <c r="AS513" s="1675"/>
      <c r="AT513" s="1676"/>
      <c r="AU513" s="1679">
        <f t="shared" si="143"/>
        <v>0</v>
      </c>
      <c r="AV513" s="935"/>
      <c r="AW513" s="935"/>
      <c r="AX513" s="935"/>
      <c r="AY513" s="722"/>
      <c r="AZ513" s="722"/>
      <c r="BA513" s="722"/>
      <c r="BB513" s="722"/>
      <c r="BC513" s="722"/>
      <c r="BD513" s="722"/>
      <c r="BE513" s="706"/>
      <c r="BF513" s="706"/>
      <c r="BG513" s="694"/>
    </row>
    <row r="514" spans="1:59" ht="15.75" x14ac:dyDescent="0.25">
      <c r="A514" s="1883"/>
      <c r="B514" s="1748"/>
      <c r="C514" s="1884"/>
      <c r="D514" s="1884"/>
      <c r="E514" s="1726">
        <f t="shared" si="114"/>
        <v>0</v>
      </c>
      <c r="F514" s="1722"/>
      <c r="G514" s="1727"/>
      <c r="H514" s="1728"/>
      <c r="I514" s="1729"/>
      <c r="J514" s="1729"/>
      <c r="K514" s="1730"/>
      <c r="L514" s="1734">
        <f t="shared" si="144"/>
        <v>0</v>
      </c>
      <c r="M514" s="1735">
        <f t="shared" si="145"/>
        <v>0</v>
      </c>
      <c r="N514" s="1730"/>
      <c r="O514" s="1730"/>
      <c r="P514" s="1730"/>
      <c r="Q514" s="1730"/>
      <c r="R514" s="1730"/>
      <c r="S514" s="1730"/>
      <c r="T514" s="1730"/>
      <c r="U514" s="1730"/>
      <c r="V514" s="1730"/>
      <c r="W514" s="1730"/>
      <c r="X514" s="1903">
        <f t="shared" si="135"/>
        <v>0</v>
      </c>
      <c r="Y514" s="1733">
        <f t="shared" si="136"/>
        <v>0</v>
      </c>
      <c r="Z514" s="528"/>
      <c r="AA514" s="1620"/>
      <c r="AB514" s="1616"/>
      <c r="AC514" s="1616"/>
      <c r="AD514" s="1616"/>
      <c r="AE514" s="1616"/>
      <c r="AF514" s="1587"/>
      <c r="AG514" s="1588"/>
      <c r="AH514" s="1588"/>
      <c r="AI514" s="1588"/>
      <c r="AJ514" s="1628"/>
      <c r="AK514" s="1694">
        <f t="shared" si="137"/>
        <v>0</v>
      </c>
      <c r="AL514" s="1682">
        <f t="shared" si="138"/>
        <v>0</v>
      </c>
      <c r="AM514" s="1682">
        <f t="shared" si="139"/>
        <v>0</v>
      </c>
      <c r="AN514" s="1682">
        <f t="shared" si="140"/>
        <v>0</v>
      </c>
      <c r="AO514" s="1683">
        <f t="shared" si="141"/>
        <v>0</v>
      </c>
      <c r="AP514" s="1634"/>
      <c r="AQ514" s="1635"/>
      <c r="AR514" s="1680">
        <f t="shared" si="142"/>
        <v>0</v>
      </c>
      <c r="AS514" s="1675"/>
      <c r="AT514" s="1676"/>
      <c r="AU514" s="1679">
        <f t="shared" si="143"/>
        <v>0</v>
      </c>
      <c r="AV514" s="935"/>
      <c r="AW514" s="935"/>
      <c r="AX514" s="935"/>
      <c r="AY514" s="722"/>
      <c r="AZ514" s="722"/>
      <c r="BA514" s="722"/>
      <c r="BB514" s="722"/>
      <c r="BC514" s="722"/>
      <c r="BD514" s="722"/>
      <c r="BE514" s="706"/>
      <c r="BF514" s="706"/>
      <c r="BG514" s="694"/>
    </row>
    <row r="515" spans="1:59" ht="15.75" x14ac:dyDescent="0.25">
      <c r="A515" s="1883"/>
      <c r="B515" s="1748"/>
      <c r="C515" s="1884"/>
      <c r="D515" s="1884"/>
      <c r="E515" s="1726">
        <f t="shared" si="114"/>
        <v>0</v>
      </c>
      <c r="F515" s="1722"/>
      <c r="G515" s="1727"/>
      <c r="H515" s="1728"/>
      <c r="I515" s="1729"/>
      <c r="J515" s="1729"/>
      <c r="K515" s="1730"/>
      <c r="L515" s="1734">
        <f t="shared" si="144"/>
        <v>0</v>
      </c>
      <c r="M515" s="1735">
        <f t="shared" si="145"/>
        <v>0</v>
      </c>
      <c r="N515" s="1730"/>
      <c r="O515" s="1730"/>
      <c r="P515" s="1730"/>
      <c r="Q515" s="1730"/>
      <c r="R515" s="1730"/>
      <c r="S515" s="1730"/>
      <c r="T515" s="1730"/>
      <c r="U515" s="1730"/>
      <c r="V515" s="1730"/>
      <c r="W515" s="1730"/>
      <c r="X515" s="1903">
        <f t="shared" si="135"/>
        <v>0</v>
      </c>
      <c r="Y515" s="1733">
        <f t="shared" si="136"/>
        <v>0</v>
      </c>
      <c r="Z515" s="528"/>
      <c r="AA515" s="1620"/>
      <c r="AB515" s="1616"/>
      <c r="AC515" s="1616"/>
      <c r="AD515" s="1616"/>
      <c r="AE515" s="1616"/>
      <c r="AF515" s="1587"/>
      <c r="AG515" s="1588"/>
      <c r="AH515" s="1588"/>
      <c r="AI515" s="1588"/>
      <c r="AJ515" s="1628"/>
      <c r="AK515" s="1694">
        <f t="shared" si="137"/>
        <v>0</v>
      </c>
      <c r="AL515" s="1682">
        <f t="shared" si="138"/>
        <v>0</v>
      </c>
      <c r="AM515" s="1682">
        <f t="shared" si="139"/>
        <v>0</v>
      </c>
      <c r="AN515" s="1682">
        <f t="shared" si="140"/>
        <v>0</v>
      </c>
      <c r="AO515" s="1683">
        <f t="shared" si="141"/>
        <v>0</v>
      </c>
      <c r="AP515" s="1634"/>
      <c r="AQ515" s="1635"/>
      <c r="AR515" s="1680">
        <f t="shared" si="142"/>
        <v>0</v>
      </c>
      <c r="AS515" s="1675"/>
      <c r="AT515" s="1676"/>
      <c r="AU515" s="1679">
        <f t="shared" si="143"/>
        <v>0</v>
      </c>
      <c r="AV515" s="935"/>
      <c r="AW515" s="935"/>
      <c r="AX515" s="935"/>
      <c r="AY515" s="722"/>
      <c r="AZ515" s="722"/>
      <c r="BA515" s="722"/>
      <c r="BB515" s="722"/>
      <c r="BC515" s="722"/>
      <c r="BD515" s="722"/>
      <c r="BE515" s="706"/>
      <c r="BF515" s="706"/>
      <c r="BG515" s="694"/>
    </row>
    <row r="516" spans="1:59" ht="15.75" x14ac:dyDescent="0.25">
      <c r="A516" s="1883"/>
      <c r="B516" s="1748"/>
      <c r="C516" s="1884"/>
      <c r="D516" s="1884"/>
      <c r="E516" s="1726">
        <f t="shared" si="114"/>
        <v>0</v>
      </c>
      <c r="F516" s="1722"/>
      <c r="G516" s="1727"/>
      <c r="H516" s="1728"/>
      <c r="I516" s="1729"/>
      <c r="J516" s="1729"/>
      <c r="K516" s="1730"/>
      <c r="L516" s="1734">
        <f t="shared" si="144"/>
        <v>0</v>
      </c>
      <c r="M516" s="1735">
        <f t="shared" si="145"/>
        <v>0</v>
      </c>
      <c r="N516" s="1730"/>
      <c r="O516" s="1730"/>
      <c r="P516" s="1730"/>
      <c r="Q516" s="1730"/>
      <c r="R516" s="1730"/>
      <c r="S516" s="1730"/>
      <c r="T516" s="1730"/>
      <c r="U516" s="1730"/>
      <c r="V516" s="1730"/>
      <c r="W516" s="1730"/>
      <c r="X516" s="1903">
        <f t="shared" si="135"/>
        <v>0</v>
      </c>
      <c r="Y516" s="1733">
        <f t="shared" si="136"/>
        <v>0</v>
      </c>
      <c r="Z516" s="528"/>
      <c r="AA516" s="1620"/>
      <c r="AB516" s="1616"/>
      <c r="AC516" s="1616"/>
      <c r="AD516" s="1616"/>
      <c r="AE516" s="1616"/>
      <c r="AF516" s="1587"/>
      <c r="AG516" s="1588"/>
      <c r="AH516" s="1588"/>
      <c r="AI516" s="1588"/>
      <c r="AJ516" s="1628"/>
      <c r="AK516" s="1694">
        <f t="shared" si="137"/>
        <v>0</v>
      </c>
      <c r="AL516" s="1682">
        <f t="shared" si="138"/>
        <v>0</v>
      </c>
      <c r="AM516" s="1682">
        <f t="shared" si="139"/>
        <v>0</v>
      </c>
      <c r="AN516" s="1682">
        <f t="shared" si="140"/>
        <v>0</v>
      </c>
      <c r="AO516" s="1683">
        <f t="shared" si="141"/>
        <v>0</v>
      </c>
      <c r="AP516" s="1634"/>
      <c r="AQ516" s="1635"/>
      <c r="AR516" s="1680">
        <f t="shared" si="142"/>
        <v>0</v>
      </c>
      <c r="AS516" s="1675"/>
      <c r="AT516" s="1676"/>
      <c r="AU516" s="1679">
        <f t="shared" si="143"/>
        <v>0</v>
      </c>
      <c r="AV516" s="935"/>
      <c r="AW516" s="935"/>
      <c r="AX516" s="935"/>
      <c r="AY516" s="722"/>
      <c r="AZ516" s="722"/>
      <c r="BA516" s="722"/>
      <c r="BB516" s="722"/>
      <c r="BC516" s="722"/>
      <c r="BD516" s="722"/>
      <c r="BE516" s="706"/>
      <c r="BF516" s="706"/>
      <c r="BG516" s="694"/>
    </row>
    <row r="517" spans="1:59" ht="15.75" x14ac:dyDescent="0.25">
      <c r="A517" s="1883"/>
      <c r="B517" s="1748"/>
      <c r="C517" s="1884"/>
      <c r="D517" s="1884"/>
      <c r="E517" s="1726">
        <f t="shared" si="114"/>
        <v>0</v>
      </c>
      <c r="F517" s="1722"/>
      <c r="G517" s="1727"/>
      <c r="H517" s="1728"/>
      <c r="I517" s="1729"/>
      <c r="J517" s="1729"/>
      <c r="K517" s="1730"/>
      <c r="L517" s="1734">
        <f t="shared" si="144"/>
        <v>0</v>
      </c>
      <c r="M517" s="1735">
        <f t="shared" si="145"/>
        <v>0</v>
      </c>
      <c r="N517" s="1730"/>
      <c r="O517" s="1730"/>
      <c r="P517" s="1730"/>
      <c r="Q517" s="1730"/>
      <c r="R517" s="1730"/>
      <c r="S517" s="1730"/>
      <c r="T517" s="1730"/>
      <c r="U517" s="1730"/>
      <c r="V517" s="1730"/>
      <c r="W517" s="1730"/>
      <c r="X517" s="1903">
        <f t="shared" si="135"/>
        <v>0</v>
      </c>
      <c r="Y517" s="1733">
        <f t="shared" si="136"/>
        <v>0</v>
      </c>
      <c r="Z517" s="528"/>
      <c r="AA517" s="1620"/>
      <c r="AB517" s="1616"/>
      <c r="AC517" s="1616"/>
      <c r="AD517" s="1616"/>
      <c r="AE517" s="1616"/>
      <c r="AF517" s="1587"/>
      <c r="AG517" s="1588"/>
      <c r="AH517" s="1588"/>
      <c r="AI517" s="1588"/>
      <c r="AJ517" s="1628"/>
      <c r="AK517" s="1694">
        <f t="shared" si="137"/>
        <v>0</v>
      </c>
      <c r="AL517" s="1682">
        <f t="shared" si="138"/>
        <v>0</v>
      </c>
      <c r="AM517" s="1682">
        <f t="shared" si="139"/>
        <v>0</v>
      </c>
      <c r="AN517" s="1682">
        <f t="shared" si="140"/>
        <v>0</v>
      </c>
      <c r="AO517" s="1683">
        <f t="shared" si="141"/>
        <v>0</v>
      </c>
      <c r="AP517" s="1634"/>
      <c r="AQ517" s="1635"/>
      <c r="AR517" s="1680">
        <f t="shared" si="142"/>
        <v>0</v>
      </c>
      <c r="AS517" s="1675"/>
      <c r="AT517" s="1676"/>
      <c r="AU517" s="1679">
        <f t="shared" si="143"/>
        <v>0</v>
      </c>
      <c r="AV517" s="935"/>
      <c r="AW517" s="935"/>
      <c r="AX517" s="935"/>
      <c r="AY517" s="722"/>
      <c r="AZ517" s="722"/>
      <c r="BA517" s="722"/>
      <c r="BB517" s="722"/>
      <c r="BC517" s="722"/>
      <c r="BD517" s="722"/>
      <c r="BE517" s="706"/>
      <c r="BF517" s="706"/>
      <c r="BG517" s="694"/>
    </row>
    <row r="518" spans="1:59" ht="15.75" x14ac:dyDescent="0.25">
      <c r="A518" s="1883"/>
      <c r="B518" s="1748"/>
      <c r="C518" s="1884"/>
      <c r="D518" s="1884"/>
      <c r="E518" s="1726">
        <f t="shared" si="114"/>
        <v>0</v>
      </c>
      <c r="F518" s="1722"/>
      <c r="G518" s="1727"/>
      <c r="H518" s="1728"/>
      <c r="I518" s="1729"/>
      <c r="J518" s="1729"/>
      <c r="K518" s="1730"/>
      <c r="L518" s="1734">
        <f t="shared" si="144"/>
        <v>0</v>
      </c>
      <c r="M518" s="1735">
        <f t="shared" si="145"/>
        <v>0</v>
      </c>
      <c r="N518" s="1730"/>
      <c r="O518" s="1730"/>
      <c r="P518" s="1730"/>
      <c r="Q518" s="1730"/>
      <c r="R518" s="1730"/>
      <c r="S518" s="1730"/>
      <c r="T518" s="1730"/>
      <c r="U518" s="1730"/>
      <c r="V518" s="1730"/>
      <c r="W518" s="1730"/>
      <c r="X518" s="1903">
        <f t="shared" si="135"/>
        <v>0</v>
      </c>
      <c r="Y518" s="1733">
        <f t="shared" si="136"/>
        <v>0</v>
      </c>
      <c r="Z518" s="528"/>
      <c r="AA518" s="1620"/>
      <c r="AB518" s="1616"/>
      <c r="AC518" s="1616"/>
      <c r="AD518" s="1616"/>
      <c r="AE518" s="1616"/>
      <c r="AF518" s="1587"/>
      <c r="AG518" s="1588"/>
      <c r="AH518" s="1588"/>
      <c r="AI518" s="1588"/>
      <c r="AJ518" s="1628"/>
      <c r="AK518" s="1694">
        <f t="shared" si="137"/>
        <v>0</v>
      </c>
      <c r="AL518" s="1682">
        <f t="shared" si="138"/>
        <v>0</v>
      </c>
      <c r="AM518" s="1682">
        <f t="shared" si="139"/>
        <v>0</v>
      </c>
      <c r="AN518" s="1682">
        <f t="shared" si="140"/>
        <v>0</v>
      </c>
      <c r="AO518" s="1683">
        <f t="shared" si="141"/>
        <v>0</v>
      </c>
      <c r="AP518" s="1634"/>
      <c r="AQ518" s="1635"/>
      <c r="AR518" s="1680">
        <f t="shared" si="142"/>
        <v>0</v>
      </c>
      <c r="AS518" s="1675"/>
      <c r="AT518" s="1676"/>
      <c r="AU518" s="1679">
        <f t="shared" si="143"/>
        <v>0</v>
      </c>
      <c r="AV518" s="935"/>
      <c r="AW518" s="935"/>
      <c r="AX518" s="935"/>
      <c r="AY518" s="722"/>
      <c r="AZ518" s="722"/>
      <c r="BA518" s="722"/>
      <c r="BB518" s="722"/>
      <c r="BC518" s="722"/>
      <c r="BD518" s="722"/>
      <c r="BE518" s="706"/>
      <c r="BF518" s="706"/>
      <c r="BG518" s="694"/>
    </row>
    <row r="519" spans="1:59" ht="15.75" x14ac:dyDescent="0.25">
      <c r="A519" s="1883"/>
      <c r="B519" s="1748"/>
      <c r="C519" s="1884"/>
      <c r="D519" s="1884"/>
      <c r="E519" s="1726">
        <f t="shared" si="114"/>
        <v>0</v>
      </c>
      <c r="F519" s="1722"/>
      <c r="G519" s="1727"/>
      <c r="H519" s="1728"/>
      <c r="I519" s="1729"/>
      <c r="J519" s="1729"/>
      <c r="K519" s="1730"/>
      <c r="L519" s="1734">
        <f t="shared" si="144"/>
        <v>0</v>
      </c>
      <c r="M519" s="1735">
        <f t="shared" si="145"/>
        <v>0</v>
      </c>
      <c r="N519" s="1730"/>
      <c r="O519" s="1730"/>
      <c r="P519" s="1730"/>
      <c r="Q519" s="1730"/>
      <c r="R519" s="1730"/>
      <c r="S519" s="1730"/>
      <c r="T519" s="1730"/>
      <c r="U519" s="1730"/>
      <c r="V519" s="1730"/>
      <c r="W519" s="1730"/>
      <c r="X519" s="1903">
        <f t="shared" si="135"/>
        <v>0</v>
      </c>
      <c r="Y519" s="1733">
        <f t="shared" si="136"/>
        <v>0</v>
      </c>
      <c r="Z519" s="528"/>
      <c r="AA519" s="1620"/>
      <c r="AB519" s="1616"/>
      <c r="AC519" s="1616"/>
      <c r="AD519" s="1616"/>
      <c r="AE519" s="1616"/>
      <c r="AF519" s="1587"/>
      <c r="AG519" s="1588"/>
      <c r="AH519" s="1588"/>
      <c r="AI519" s="1588"/>
      <c r="AJ519" s="1628"/>
      <c r="AK519" s="1694">
        <f t="shared" si="137"/>
        <v>0</v>
      </c>
      <c r="AL519" s="1682">
        <f t="shared" si="138"/>
        <v>0</v>
      </c>
      <c r="AM519" s="1682">
        <f t="shared" si="139"/>
        <v>0</v>
      </c>
      <c r="AN519" s="1682">
        <f t="shared" si="140"/>
        <v>0</v>
      </c>
      <c r="AO519" s="1683">
        <f t="shared" si="141"/>
        <v>0</v>
      </c>
      <c r="AP519" s="1634"/>
      <c r="AQ519" s="1635"/>
      <c r="AR519" s="1680">
        <f t="shared" si="142"/>
        <v>0</v>
      </c>
      <c r="AS519" s="1675"/>
      <c r="AT519" s="1676"/>
      <c r="AU519" s="1679">
        <f t="shared" si="143"/>
        <v>0</v>
      </c>
      <c r="AV519" s="935"/>
      <c r="AW519" s="935"/>
      <c r="AX519" s="935"/>
      <c r="AY519" s="722"/>
      <c r="AZ519" s="722"/>
      <c r="BA519" s="722"/>
      <c r="BB519" s="722"/>
      <c r="BC519" s="722"/>
      <c r="BD519" s="722"/>
      <c r="BE519" s="706"/>
      <c r="BF519" s="706"/>
      <c r="BG519" s="694"/>
    </row>
    <row r="520" spans="1:59" ht="15.75" x14ac:dyDescent="0.25">
      <c r="A520" s="1883"/>
      <c r="B520" s="1748"/>
      <c r="C520" s="1884"/>
      <c r="D520" s="1884"/>
      <c r="E520" s="1726">
        <f t="shared" si="114"/>
        <v>0</v>
      </c>
      <c r="F520" s="1722"/>
      <c r="G520" s="1727"/>
      <c r="H520" s="1728"/>
      <c r="I520" s="1729"/>
      <c r="J520" s="1729"/>
      <c r="K520" s="1730"/>
      <c r="L520" s="1734">
        <f t="shared" si="144"/>
        <v>0</v>
      </c>
      <c r="M520" s="1735">
        <f t="shared" si="145"/>
        <v>0</v>
      </c>
      <c r="N520" s="1730"/>
      <c r="O520" s="1730"/>
      <c r="P520" s="1730"/>
      <c r="Q520" s="1730"/>
      <c r="R520" s="1730"/>
      <c r="S520" s="1730"/>
      <c r="T520" s="1730"/>
      <c r="U520" s="1730"/>
      <c r="V520" s="1730"/>
      <c r="W520" s="1730"/>
      <c r="X520" s="1903">
        <f t="shared" si="135"/>
        <v>0</v>
      </c>
      <c r="Y520" s="1733">
        <f t="shared" si="136"/>
        <v>0</v>
      </c>
      <c r="Z520" s="528"/>
      <c r="AA520" s="1620"/>
      <c r="AB520" s="1616"/>
      <c r="AC520" s="1616"/>
      <c r="AD520" s="1616"/>
      <c r="AE520" s="1616"/>
      <c r="AF520" s="1587"/>
      <c r="AG520" s="1588"/>
      <c r="AH520" s="1588"/>
      <c r="AI520" s="1588"/>
      <c r="AJ520" s="1628"/>
      <c r="AK520" s="1694">
        <f t="shared" si="137"/>
        <v>0</v>
      </c>
      <c r="AL520" s="1682">
        <f t="shared" si="138"/>
        <v>0</v>
      </c>
      <c r="AM520" s="1682">
        <f t="shared" si="139"/>
        <v>0</v>
      </c>
      <c r="AN520" s="1682">
        <f t="shared" si="140"/>
        <v>0</v>
      </c>
      <c r="AO520" s="1683">
        <f t="shared" si="141"/>
        <v>0</v>
      </c>
      <c r="AP520" s="1634"/>
      <c r="AQ520" s="1635"/>
      <c r="AR520" s="1680">
        <f t="shared" si="142"/>
        <v>0</v>
      </c>
      <c r="AS520" s="1675"/>
      <c r="AT520" s="1676"/>
      <c r="AU520" s="1679">
        <f t="shared" si="143"/>
        <v>0</v>
      </c>
      <c r="AV520" s="935"/>
      <c r="AW520" s="935"/>
      <c r="AX520" s="935"/>
      <c r="AY520" s="722"/>
      <c r="AZ520" s="722"/>
      <c r="BA520" s="722"/>
      <c r="BB520" s="722"/>
      <c r="BC520" s="722"/>
      <c r="BD520" s="722"/>
      <c r="BE520" s="706"/>
      <c r="BF520" s="706"/>
      <c r="BG520" s="694"/>
    </row>
    <row r="521" spans="1:59" ht="15.75" x14ac:dyDescent="0.25">
      <c r="A521" s="1883"/>
      <c r="B521" s="1748"/>
      <c r="C521" s="1884"/>
      <c r="D521" s="1884"/>
      <c r="E521" s="1726">
        <f t="shared" si="114"/>
        <v>0</v>
      </c>
      <c r="F521" s="1722"/>
      <c r="G521" s="1727"/>
      <c r="H521" s="1728"/>
      <c r="I521" s="1729"/>
      <c r="J521" s="1729"/>
      <c r="K521" s="1730"/>
      <c r="L521" s="1734">
        <f t="shared" si="144"/>
        <v>0</v>
      </c>
      <c r="M521" s="1735">
        <f t="shared" si="145"/>
        <v>0</v>
      </c>
      <c r="N521" s="1730"/>
      <c r="O521" s="1730"/>
      <c r="P521" s="1730"/>
      <c r="Q521" s="1730"/>
      <c r="R521" s="1730"/>
      <c r="S521" s="1730"/>
      <c r="T521" s="1730"/>
      <c r="U521" s="1730"/>
      <c r="V521" s="1730"/>
      <c r="W521" s="1730"/>
      <c r="X521" s="1903">
        <f t="shared" si="135"/>
        <v>0</v>
      </c>
      <c r="Y521" s="1733">
        <f t="shared" si="136"/>
        <v>0</v>
      </c>
      <c r="Z521" s="528"/>
      <c r="AA521" s="1620"/>
      <c r="AB521" s="1616"/>
      <c r="AC521" s="1616"/>
      <c r="AD521" s="1616"/>
      <c r="AE521" s="1616"/>
      <c r="AF521" s="1587"/>
      <c r="AG521" s="1588"/>
      <c r="AH521" s="1588"/>
      <c r="AI521" s="1588"/>
      <c r="AJ521" s="1628"/>
      <c r="AK521" s="1694">
        <f t="shared" si="137"/>
        <v>0</v>
      </c>
      <c r="AL521" s="1682">
        <f t="shared" si="138"/>
        <v>0</v>
      </c>
      <c r="AM521" s="1682">
        <f t="shared" si="139"/>
        <v>0</v>
      </c>
      <c r="AN521" s="1682">
        <f t="shared" si="140"/>
        <v>0</v>
      </c>
      <c r="AO521" s="1683">
        <f t="shared" si="141"/>
        <v>0</v>
      </c>
      <c r="AP521" s="1634"/>
      <c r="AQ521" s="1635"/>
      <c r="AR521" s="1680">
        <f t="shared" si="142"/>
        <v>0</v>
      </c>
      <c r="AS521" s="1675"/>
      <c r="AT521" s="1676"/>
      <c r="AU521" s="1679">
        <f t="shared" si="143"/>
        <v>0</v>
      </c>
      <c r="AV521" s="935"/>
      <c r="AW521" s="935"/>
      <c r="AX521" s="935"/>
      <c r="AY521" s="722"/>
      <c r="AZ521" s="722"/>
      <c r="BA521" s="722"/>
      <c r="BB521" s="722"/>
      <c r="BC521" s="722"/>
      <c r="BD521" s="722"/>
      <c r="BE521" s="706"/>
      <c r="BF521" s="706"/>
      <c r="BG521" s="694"/>
    </row>
    <row r="522" spans="1:59" ht="15.75" x14ac:dyDescent="0.25">
      <c r="A522" s="1883"/>
      <c r="B522" s="1748"/>
      <c r="C522" s="1884"/>
      <c r="D522" s="1884"/>
      <c r="E522" s="1726">
        <f t="shared" si="114"/>
        <v>0</v>
      </c>
      <c r="F522" s="1722"/>
      <c r="G522" s="1727"/>
      <c r="H522" s="1728"/>
      <c r="I522" s="1729"/>
      <c r="J522" s="1729"/>
      <c r="K522" s="1730"/>
      <c r="L522" s="1734">
        <f t="shared" si="144"/>
        <v>0</v>
      </c>
      <c r="M522" s="1735">
        <f t="shared" si="145"/>
        <v>0</v>
      </c>
      <c r="N522" s="1730"/>
      <c r="O522" s="1730"/>
      <c r="P522" s="1730"/>
      <c r="Q522" s="1730"/>
      <c r="R522" s="1730"/>
      <c r="S522" s="1730"/>
      <c r="T522" s="1730"/>
      <c r="U522" s="1730"/>
      <c r="V522" s="1730"/>
      <c r="W522" s="1730"/>
      <c r="X522" s="1903">
        <f t="shared" si="135"/>
        <v>0</v>
      </c>
      <c r="Y522" s="1733">
        <f t="shared" si="136"/>
        <v>0</v>
      </c>
      <c r="Z522" s="528"/>
      <c r="AA522" s="1620"/>
      <c r="AB522" s="1616"/>
      <c r="AC522" s="1616"/>
      <c r="AD522" s="1616"/>
      <c r="AE522" s="1616"/>
      <c r="AF522" s="1587"/>
      <c r="AG522" s="1588"/>
      <c r="AH522" s="1588"/>
      <c r="AI522" s="1588"/>
      <c r="AJ522" s="1628"/>
      <c r="AK522" s="1694">
        <f t="shared" si="137"/>
        <v>0</v>
      </c>
      <c r="AL522" s="1682">
        <f t="shared" si="138"/>
        <v>0</v>
      </c>
      <c r="AM522" s="1682">
        <f t="shared" si="139"/>
        <v>0</v>
      </c>
      <c r="AN522" s="1682">
        <f t="shared" si="140"/>
        <v>0</v>
      </c>
      <c r="AO522" s="1683">
        <f t="shared" si="141"/>
        <v>0</v>
      </c>
      <c r="AP522" s="1634"/>
      <c r="AQ522" s="1635"/>
      <c r="AR522" s="1680">
        <f t="shared" si="142"/>
        <v>0</v>
      </c>
      <c r="AS522" s="1675"/>
      <c r="AT522" s="1676"/>
      <c r="AU522" s="1679">
        <f t="shared" si="143"/>
        <v>0</v>
      </c>
      <c r="AV522" s="935"/>
      <c r="AW522" s="935"/>
      <c r="AX522" s="935"/>
      <c r="AY522" s="722"/>
      <c r="AZ522" s="722"/>
      <c r="BA522" s="722"/>
      <c r="BB522" s="722"/>
      <c r="BC522" s="722"/>
      <c r="BD522" s="722"/>
      <c r="BE522" s="706"/>
      <c r="BF522" s="706"/>
      <c r="BG522" s="694"/>
    </row>
    <row r="523" spans="1:59" ht="15.75" x14ac:dyDescent="0.25">
      <c r="A523" s="1883"/>
      <c r="B523" s="1748"/>
      <c r="C523" s="1884"/>
      <c r="D523" s="1884"/>
      <c r="E523" s="1726">
        <f t="shared" si="114"/>
        <v>0</v>
      </c>
      <c r="F523" s="1722"/>
      <c r="G523" s="1727"/>
      <c r="H523" s="1728"/>
      <c r="I523" s="1729"/>
      <c r="J523" s="1729"/>
      <c r="K523" s="1730"/>
      <c r="L523" s="1734">
        <f t="shared" si="144"/>
        <v>0</v>
      </c>
      <c r="M523" s="1735">
        <f t="shared" si="145"/>
        <v>0</v>
      </c>
      <c r="N523" s="1730"/>
      <c r="O523" s="1730"/>
      <c r="P523" s="1730"/>
      <c r="Q523" s="1730"/>
      <c r="R523" s="1730"/>
      <c r="S523" s="1730"/>
      <c r="T523" s="1730"/>
      <c r="U523" s="1730"/>
      <c r="V523" s="1730"/>
      <c r="W523" s="1730"/>
      <c r="X523" s="1903">
        <f t="shared" si="135"/>
        <v>0</v>
      </c>
      <c r="Y523" s="1733">
        <f t="shared" si="136"/>
        <v>0</v>
      </c>
      <c r="Z523" s="528"/>
      <c r="AA523" s="1620"/>
      <c r="AB523" s="1616"/>
      <c r="AC523" s="1616"/>
      <c r="AD523" s="1616"/>
      <c r="AE523" s="1616"/>
      <c r="AF523" s="1587"/>
      <c r="AG523" s="1588"/>
      <c r="AH523" s="1588"/>
      <c r="AI523" s="1588"/>
      <c r="AJ523" s="1628"/>
      <c r="AK523" s="1694">
        <f t="shared" si="137"/>
        <v>0</v>
      </c>
      <c r="AL523" s="1682">
        <f t="shared" si="138"/>
        <v>0</v>
      </c>
      <c r="AM523" s="1682">
        <f t="shared" si="139"/>
        <v>0</v>
      </c>
      <c r="AN523" s="1682">
        <f t="shared" si="140"/>
        <v>0</v>
      </c>
      <c r="AO523" s="1683">
        <f t="shared" si="141"/>
        <v>0</v>
      </c>
      <c r="AP523" s="1634"/>
      <c r="AQ523" s="1635"/>
      <c r="AR523" s="1680">
        <f t="shared" si="142"/>
        <v>0</v>
      </c>
      <c r="AS523" s="1675"/>
      <c r="AT523" s="1676"/>
      <c r="AU523" s="1679">
        <f t="shared" si="143"/>
        <v>0</v>
      </c>
      <c r="AV523" s="935"/>
      <c r="AW523" s="935"/>
      <c r="AX523" s="935"/>
      <c r="AY523" s="722"/>
      <c r="AZ523" s="722"/>
      <c r="BA523" s="722"/>
      <c r="BB523" s="722"/>
      <c r="BC523" s="722"/>
      <c r="BD523" s="722"/>
      <c r="BE523" s="706"/>
      <c r="BF523" s="706"/>
      <c r="BG523" s="694"/>
    </row>
    <row r="524" spans="1:59" ht="15.75" x14ac:dyDescent="0.25">
      <c r="A524" s="1883"/>
      <c r="B524" s="1748"/>
      <c r="C524" s="1884"/>
      <c r="D524" s="1884"/>
      <c r="E524" s="1726">
        <f t="shared" si="114"/>
        <v>0</v>
      </c>
      <c r="F524" s="1722"/>
      <c r="G524" s="1727"/>
      <c r="H524" s="1728"/>
      <c r="I524" s="1729"/>
      <c r="J524" s="1729"/>
      <c r="K524" s="1730"/>
      <c r="L524" s="1734">
        <f t="shared" si="144"/>
        <v>0</v>
      </c>
      <c r="M524" s="1735">
        <f t="shared" si="145"/>
        <v>0</v>
      </c>
      <c r="N524" s="1730"/>
      <c r="O524" s="1730"/>
      <c r="P524" s="1730"/>
      <c r="Q524" s="1730"/>
      <c r="R524" s="1730"/>
      <c r="S524" s="1730"/>
      <c r="T524" s="1730"/>
      <c r="U524" s="1730"/>
      <c r="V524" s="1730"/>
      <c r="W524" s="1730"/>
      <c r="X524" s="1903">
        <f t="shared" si="135"/>
        <v>0</v>
      </c>
      <c r="Y524" s="1733">
        <f t="shared" si="136"/>
        <v>0</v>
      </c>
      <c r="Z524" s="528"/>
      <c r="AA524" s="1620"/>
      <c r="AB524" s="1616"/>
      <c r="AC524" s="1616"/>
      <c r="AD524" s="1616"/>
      <c r="AE524" s="1616"/>
      <c r="AF524" s="1587"/>
      <c r="AG524" s="1588"/>
      <c r="AH524" s="1588"/>
      <c r="AI524" s="1588"/>
      <c r="AJ524" s="1628"/>
      <c r="AK524" s="1694">
        <f t="shared" si="137"/>
        <v>0</v>
      </c>
      <c r="AL524" s="1682">
        <f t="shared" si="138"/>
        <v>0</v>
      </c>
      <c r="AM524" s="1682">
        <f t="shared" si="139"/>
        <v>0</v>
      </c>
      <c r="AN524" s="1682">
        <f t="shared" si="140"/>
        <v>0</v>
      </c>
      <c r="AO524" s="1683">
        <f t="shared" si="141"/>
        <v>0</v>
      </c>
      <c r="AP524" s="1634"/>
      <c r="AQ524" s="1635"/>
      <c r="AR524" s="1680">
        <f t="shared" si="142"/>
        <v>0</v>
      </c>
      <c r="AS524" s="1675"/>
      <c r="AT524" s="1676"/>
      <c r="AU524" s="1679">
        <f t="shared" si="143"/>
        <v>0</v>
      </c>
      <c r="AV524" s="935"/>
      <c r="AW524" s="935"/>
      <c r="AX524" s="935"/>
      <c r="AY524" s="722"/>
      <c r="AZ524" s="722"/>
      <c r="BA524" s="722"/>
      <c r="BB524" s="722"/>
      <c r="BC524" s="722"/>
      <c r="BD524" s="722"/>
      <c r="BE524" s="706"/>
      <c r="BF524" s="706"/>
      <c r="BG524" s="694"/>
    </row>
    <row r="525" spans="1:59" ht="15.75" x14ac:dyDescent="0.25">
      <c r="A525" s="1883"/>
      <c r="B525" s="1748"/>
      <c r="C525" s="1884"/>
      <c r="D525" s="1884"/>
      <c r="E525" s="1726">
        <f t="shared" si="114"/>
        <v>0</v>
      </c>
      <c r="F525" s="1722"/>
      <c r="G525" s="1727"/>
      <c r="H525" s="1728"/>
      <c r="I525" s="1729"/>
      <c r="J525" s="1729"/>
      <c r="K525" s="1730"/>
      <c r="L525" s="1734">
        <f t="shared" si="144"/>
        <v>0</v>
      </c>
      <c r="M525" s="1735">
        <f t="shared" si="145"/>
        <v>0</v>
      </c>
      <c r="N525" s="1730"/>
      <c r="O525" s="1730"/>
      <c r="P525" s="1730"/>
      <c r="Q525" s="1730"/>
      <c r="R525" s="1730"/>
      <c r="S525" s="1730"/>
      <c r="T525" s="1730"/>
      <c r="U525" s="1730"/>
      <c r="V525" s="1730"/>
      <c r="W525" s="1730"/>
      <c r="X525" s="1903">
        <f t="shared" si="135"/>
        <v>0</v>
      </c>
      <c r="Y525" s="1733">
        <f t="shared" si="136"/>
        <v>0</v>
      </c>
      <c r="Z525" s="528"/>
      <c r="AA525" s="1620"/>
      <c r="AB525" s="1616"/>
      <c r="AC525" s="1616"/>
      <c r="AD525" s="1616"/>
      <c r="AE525" s="1616"/>
      <c r="AF525" s="1587"/>
      <c r="AG525" s="1588"/>
      <c r="AH525" s="1588"/>
      <c r="AI525" s="1588"/>
      <c r="AJ525" s="1628"/>
      <c r="AK525" s="1694">
        <f t="shared" si="137"/>
        <v>0</v>
      </c>
      <c r="AL525" s="1682">
        <f t="shared" si="138"/>
        <v>0</v>
      </c>
      <c r="AM525" s="1682">
        <f t="shared" si="139"/>
        <v>0</v>
      </c>
      <c r="AN525" s="1682">
        <f t="shared" si="140"/>
        <v>0</v>
      </c>
      <c r="AO525" s="1683">
        <f t="shared" si="141"/>
        <v>0</v>
      </c>
      <c r="AP525" s="1634"/>
      <c r="AQ525" s="1635"/>
      <c r="AR525" s="1680">
        <f t="shared" si="142"/>
        <v>0</v>
      </c>
      <c r="AS525" s="1675"/>
      <c r="AT525" s="1676"/>
      <c r="AU525" s="1679">
        <f t="shared" si="143"/>
        <v>0</v>
      </c>
      <c r="AV525" s="935"/>
      <c r="AW525" s="935"/>
      <c r="AX525" s="935"/>
      <c r="AY525" s="722"/>
      <c r="AZ525" s="722"/>
      <c r="BA525" s="722"/>
      <c r="BB525" s="722"/>
      <c r="BC525" s="722"/>
      <c r="BD525" s="722"/>
      <c r="BE525" s="706"/>
      <c r="BF525" s="706"/>
      <c r="BG525" s="694"/>
    </row>
    <row r="526" spans="1:59" ht="15.75" x14ac:dyDescent="0.25">
      <c r="A526" s="1883"/>
      <c r="B526" s="1748"/>
      <c r="C526" s="1884"/>
      <c r="D526" s="1884"/>
      <c r="E526" s="1726">
        <f t="shared" ref="E526:E535" si="146">IFERROR(D526/B526,0)</f>
        <v>0</v>
      </c>
      <c r="F526" s="1722"/>
      <c r="G526" s="1727"/>
      <c r="H526" s="1728"/>
      <c r="I526" s="1729"/>
      <c r="J526" s="1729"/>
      <c r="K526" s="1730"/>
      <c r="L526" s="1734">
        <f t="shared" si="144"/>
        <v>0</v>
      </c>
      <c r="M526" s="1735">
        <f t="shared" si="145"/>
        <v>0</v>
      </c>
      <c r="N526" s="1730"/>
      <c r="O526" s="1730"/>
      <c r="P526" s="1730"/>
      <c r="Q526" s="1730"/>
      <c r="R526" s="1730"/>
      <c r="S526" s="1730"/>
      <c r="T526" s="1730"/>
      <c r="U526" s="1730"/>
      <c r="V526" s="1730"/>
      <c r="W526" s="1730"/>
      <c r="X526" s="1903">
        <f t="shared" si="135"/>
        <v>0</v>
      </c>
      <c r="Y526" s="1733">
        <f t="shared" si="136"/>
        <v>0</v>
      </c>
      <c r="Z526" s="528"/>
      <c r="AA526" s="1620"/>
      <c r="AB526" s="1616"/>
      <c r="AC526" s="1616"/>
      <c r="AD526" s="1616"/>
      <c r="AE526" s="1616"/>
      <c r="AF526" s="1587"/>
      <c r="AG526" s="1588"/>
      <c r="AH526" s="1588"/>
      <c r="AI526" s="1588"/>
      <c r="AJ526" s="1628"/>
      <c r="AK526" s="1694">
        <f t="shared" si="137"/>
        <v>0</v>
      </c>
      <c r="AL526" s="1682">
        <f t="shared" si="138"/>
        <v>0</v>
      </c>
      <c r="AM526" s="1682">
        <f t="shared" si="139"/>
        <v>0</v>
      </c>
      <c r="AN526" s="1682">
        <f t="shared" si="140"/>
        <v>0</v>
      </c>
      <c r="AO526" s="1683">
        <f t="shared" si="141"/>
        <v>0</v>
      </c>
      <c r="AP526" s="1634"/>
      <c r="AQ526" s="1635"/>
      <c r="AR526" s="1680">
        <f t="shared" si="142"/>
        <v>0</v>
      </c>
      <c r="AS526" s="1675"/>
      <c r="AT526" s="1676"/>
      <c r="AU526" s="1679">
        <f t="shared" si="143"/>
        <v>0</v>
      </c>
      <c r="AV526" s="935"/>
      <c r="AW526" s="935"/>
      <c r="AX526" s="935"/>
      <c r="AY526" s="722"/>
      <c r="AZ526" s="722"/>
      <c r="BA526" s="722"/>
      <c r="BB526" s="722"/>
      <c r="BC526" s="722"/>
      <c r="BD526" s="722"/>
      <c r="BE526" s="706"/>
      <c r="BF526" s="706"/>
      <c r="BG526" s="694"/>
    </row>
    <row r="527" spans="1:59" ht="15.75" x14ac:dyDescent="0.25">
      <c r="A527" s="1883"/>
      <c r="B527" s="1748"/>
      <c r="C527" s="1884"/>
      <c r="D527" s="1884"/>
      <c r="E527" s="1726">
        <f t="shared" si="146"/>
        <v>0</v>
      </c>
      <c r="F527" s="1722"/>
      <c r="G527" s="1727"/>
      <c r="H527" s="1728"/>
      <c r="I527" s="1729"/>
      <c r="J527" s="1729"/>
      <c r="K527" s="1730"/>
      <c r="L527" s="1734">
        <f t="shared" si="144"/>
        <v>0</v>
      </c>
      <c r="M527" s="1735">
        <f t="shared" si="145"/>
        <v>0</v>
      </c>
      <c r="N527" s="1730"/>
      <c r="O527" s="1730"/>
      <c r="P527" s="1730"/>
      <c r="Q527" s="1730"/>
      <c r="R527" s="1730"/>
      <c r="S527" s="1730"/>
      <c r="T527" s="1730"/>
      <c r="U527" s="1730"/>
      <c r="V527" s="1730"/>
      <c r="W527" s="1730"/>
      <c r="X527" s="1903">
        <f t="shared" si="135"/>
        <v>0</v>
      </c>
      <c r="Y527" s="1733">
        <f t="shared" si="136"/>
        <v>0</v>
      </c>
      <c r="Z527" s="528"/>
      <c r="AA527" s="1620"/>
      <c r="AB527" s="1616"/>
      <c r="AC527" s="1616"/>
      <c r="AD527" s="1616"/>
      <c r="AE527" s="1616"/>
      <c r="AF527" s="1587"/>
      <c r="AG527" s="1588"/>
      <c r="AH527" s="1588"/>
      <c r="AI527" s="1588"/>
      <c r="AJ527" s="1628"/>
      <c r="AK527" s="1694">
        <f t="shared" si="137"/>
        <v>0</v>
      </c>
      <c r="AL527" s="1682">
        <f t="shared" si="138"/>
        <v>0</v>
      </c>
      <c r="AM527" s="1682">
        <f t="shared" si="139"/>
        <v>0</v>
      </c>
      <c r="AN527" s="1682">
        <f t="shared" si="140"/>
        <v>0</v>
      </c>
      <c r="AO527" s="1683">
        <f t="shared" si="141"/>
        <v>0</v>
      </c>
      <c r="AP527" s="1634"/>
      <c r="AQ527" s="1635"/>
      <c r="AR527" s="1680">
        <f t="shared" si="142"/>
        <v>0</v>
      </c>
      <c r="AS527" s="1675"/>
      <c r="AT527" s="1676"/>
      <c r="AU527" s="1679">
        <f t="shared" si="143"/>
        <v>0</v>
      </c>
      <c r="AV527" s="935"/>
      <c r="AW527" s="935"/>
      <c r="AX527" s="935"/>
      <c r="AY527" s="722"/>
      <c r="AZ527" s="722"/>
      <c r="BA527" s="722"/>
      <c r="BB527" s="722"/>
      <c r="BC527" s="722"/>
      <c r="BD527" s="722"/>
      <c r="BE527" s="706"/>
      <c r="BF527" s="706"/>
      <c r="BG527" s="694"/>
    </row>
    <row r="528" spans="1:59" ht="15.75" x14ac:dyDescent="0.25">
      <c r="A528" s="1883"/>
      <c r="B528" s="1748"/>
      <c r="C528" s="1884"/>
      <c r="D528" s="1884"/>
      <c r="E528" s="1726">
        <f t="shared" si="146"/>
        <v>0</v>
      </c>
      <c r="F528" s="1722"/>
      <c r="G528" s="1727"/>
      <c r="H528" s="1728"/>
      <c r="I528" s="1729"/>
      <c r="J528" s="1729"/>
      <c r="K528" s="1730"/>
      <c r="L528" s="1734">
        <f t="shared" si="144"/>
        <v>0</v>
      </c>
      <c r="M528" s="1735">
        <f t="shared" si="145"/>
        <v>0</v>
      </c>
      <c r="N528" s="1730"/>
      <c r="O528" s="1730"/>
      <c r="P528" s="1730"/>
      <c r="Q528" s="1730"/>
      <c r="R528" s="1730"/>
      <c r="S528" s="1730"/>
      <c r="T528" s="1730"/>
      <c r="U528" s="1730"/>
      <c r="V528" s="1730"/>
      <c r="W528" s="1730"/>
      <c r="X528" s="1903">
        <f t="shared" si="135"/>
        <v>0</v>
      </c>
      <c r="Y528" s="1733">
        <f t="shared" si="136"/>
        <v>0</v>
      </c>
      <c r="Z528" s="528"/>
      <c r="AA528" s="1620"/>
      <c r="AB528" s="1616"/>
      <c r="AC528" s="1616"/>
      <c r="AD528" s="1616"/>
      <c r="AE528" s="1616"/>
      <c r="AF528" s="1587"/>
      <c r="AG528" s="1588"/>
      <c r="AH528" s="1588"/>
      <c r="AI528" s="1588"/>
      <c r="AJ528" s="1628"/>
      <c r="AK528" s="1694">
        <f t="shared" si="137"/>
        <v>0</v>
      </c>
      <c r="AL528" s="1682">
        <f t="shared" si="138"/>
        <v>0</v>
      </c>
      <c r="AM528" s="1682">
        <f t="shared" si="139"/>
        <v>0</v>
      </c>
      <c r="AN528" s="1682">
        <f t="shared" si="140"/>
        <v>0</v>
      </c>
      <c r="AO528" s="1683">
        <f t="shared" si="141"/>
        <v>0</v>
      </c>
      <c r="AP528" s="1634"/>
      <c r="AQ528" s="1635"/>
      <c r="AR528" s="1680">
        <f t="shared" si="142"/>
        <v>0</v>
      </c>
      <c r="AS528" s="1675"/>
      <c r="AT528" s="1676"/>
      <c r="AU528" s="1679">
        <f t="shared" si="143"/>
        <v>0</v>
      </c>
      <c r="AV528" s="935"/>
      <c r="AW528" s="935"/>
      <c r="AX528" s="935"/>
      <c r="AY528" s="722"/>
      <c r="AZ528" s="722"/>
      <c r="BA528" s="722"/>
      <c r="BB528" s="722"/>
      <c r="BC528" s="722"/>
      <c r="BD528" s="722"/>
      <c r="BE528" s="706"/>
      <c r="BF528" s="706"/>
      <c r="BG528" s="694"/>
    </row>
    <row r="529" spans="1:65" ht="15.75" x14ac:dyDescent="0.25">
      <c r="A529" s="1883"/>
      <c r="B529" s="1748"/>
      <c r="C529" s="1884"/>
      <c r="D529" s="1884"/>
      <c r="E529" s="1726">
        <f t="shared" si="146"/>
        <v>0</v>
      </c>
      <c r="F529" s="1722"/>
      <c r="G529" s="1727"/>
      <c r="H529" s="1728"/>
      <c r="I529" s="1729"/>
      <c r="J529" s="1729"/>
      <c r="K529" s="1730"/>
      <c r="L529" s="1734">
        <f t="shared" si="144"/>
        <v>0</v>
      </c>
      <c r="M529" s="1735">
        <f t="shared" si="145"/>
        <v>0</v>
      </c>
      <c r="N529" s="1730"/>
      <c r="O529" s="1730"/>
      <c r="P529" s="1730"/>
      <c r="Q529" s="1730"/>
      <c r="R529" s="1730"/>
      <c r="S529" s="1730"/>
      <c r="T529" s="1730"/>
      <c r="U529" s="1730"/>
      <c r="V529" s="1730"/>
      <c r="W529" s="1730"/>
      <c r="X529" s="1903">
        <f t="shared" si="135"/>
        <v>0</v>
      </c>
      <c r="Y529" s="1733">
        <f t="shared" si="136"/>
        <v>0</v>
      </c>
      <c r="Z529" s="528"/>
      <c r="AA529" s="1620"/>
      <c r="AB529" s="1616"/>
      <c r="AC529" s="1616"/>
      <c r="AD529" s="1616"/>
      <c r="AE529" s="1616"/>
      <c r="AF529" s="1587"/>
      <c r="AG529" s="1588"/>
      <c r="AH529" s="1588"/>
      <c r="AI529" s="1588"/>
      <c r="AJ529" s="1628"/>
      <c r="AK529" s="1694">
        <f t="shared" si="137"/>
        <v>0</v>
      </c>
      <c r="AL529" s="1682">
        <f t="shared" si="138"/>
        <v>0</v>
      </c>
      <c r="AM529" s="1682">
        <f t="shared" si="139"/>
        <v>0</v>
      </c>
      <c r="AN529" s="1682">
        <f t="shared" si="140"/>
        <v>0</v>
      </c>
      <c r="AO529" s="1683">
        <f t="shared" si="141"/>
        <v>0</v>
      </c>
      <c r="AP529" s="1634"/>
      <c r="AQ529" s="1635"/>
      <c r="AR529" s="1680">
        <f t="shared" si="142"/>
        <v>0</v>
      </c>
      <c r="AS529" s="1675"/>
      <c r="AT529" s="1676"/>
      <c r="AU529" s="1679">
        <f t="shared" si="143"/>
        <v>0</v>
      </c>
      <c r="AV529" s="935"/>
      <c r="AW529" s="935"/>
      <c r="AX529" s="935"/>
      <c r="AY529" s="722"/>
      <c r="AZ529" s="722"/>
      <c r="BA529" s="722"/>
      <c r="BB529" s="722"/>
      <c r="BC529" s="722"/>
      <c r="BD529" s="722"/>
      <c r="BE529" s="706"/>
      <c r="BF529" s="706"/>
      <c r="BG529" s="694"/>
    </row>
    <row r="530" spans="1:65" ht="15.75" x14ac:dyDescent="0.25">
      <c r="A530" s="1883"/>
      <c r="B530" s="1748"/>
      <c r="C530" s="1884"/>
      <c r="D530" s="1884"/>
      <c r="E530" s="1726">
        <f t="shared" si="146"/>
        <v>0</v>
      </c>
      <c r="F530" s="1722"/>
      <c r="G530" s="1727"/>
      <c r="H530" s="1728"/>
      <c r="I530" s="1729"/>
      <c r="J530" s="1729"/>
      <c r="K530" s="1730"/>
      <c r="L530" s="1734">
        <f t="shared" si="144"/>
        <v>0</v>
      </c>
      <c r="M530" s="1735">
        <f t="shared" si="145"/>
        <v>0</v>
      </c>
      <c r="N530" s="1730"/>
      <c r="O530" s="1730"/>
      <c r="P530" s="1730"/>
      <c r="Q530" s="1730"/>
      <c r="R530" s="1730"/>
      <c r="S530" s="1730"/>
      <c r="T530" s="1730"/>
      <c r="U530" s="1730"/>
      <c r="V530" s="1730"/>
      <c r="W530" s="1730"/>
      <c r="X530" s="1903">
        <f t="shared" si="135"/>
        <v>0</v>
      </c>
      <c r="Y530" s="1733">
        <f t="shared" si="136"/>
        <v>0</v>
      </c>
      <c r="Z530" s="528"/>
      <c r="AA530" s="1620"/>
      <c r="AB530" s="1616"/>
      <c r="AC530" s="1616"/>
      <c r="AD530" s="1616"/>
      <c r="AE530" s="1616"/>
      <c r="AF530" s="1587"/>
      <c r="AG530" s="1588"/>
      <c r="AH530" s="1588"/>
      <c r="AI530" s="1588"/>
      <c r="AJ530" s="1628"/>
      <c r="AK530" s="1694">
        <f t="shared" si="137"/>
        <v>0</v>
      </c>
      <c r="AL530" s="1682">
        <f t="shared" si="138"/>
        <v>0</v>
      </c>
      <c r="AM530" s="1682">
        <f t="shared" si="139"/>
        <v>0</v>
      </c>
      <c r="AN530" s="1682">
        <f t="shared" si="140"/>
        <v>0</v>
      </c>
      <c r="AO530" s="1683">
        <f t="shared" si="141"/>
        <v>0</v>
      </c>
      <c r="AP530" s="1634"/>
      <c r="AQ530" s="1635"/>
      <c r="AR530" s="1680">
        <f t="shared" si="142"/>
        <v>0</v>
      </c>
      <c r="AS530" s="1675"/>
      <c r="AT530" s="1676"/>
      <c r="AU530" s="1679">
        <f t="shared" si="143"/>
        <v>0</v>
      </c>
      <c r="AV530" s="935"/>
      <c r="AW530" s="935"/>
      <c r="AX530" s="935"/>
      <c r="AY530" s="722"/>
      <c r="AZ530" s="722"/>
      <c r="BA530" s="722"/>
      <c r="BB530" s="722"/>
      <c r="BC530" s="722"/>
      <c r="BD530" s="722"/>
      <c r="BE530" s="706"/>
      <c r="BF530" s="706"/>
      <c r="BG530" s="694"/>
    </row>
    <row r="531" spans="1:65" ht="15.75" x14ac:dyDescent="0.25">
      <c r="A531" s="1883"/>
      <c r="B531" s="1748"/>
      <c r="C531" s="1884"/>
      <c r="D531" s="1884"/>
      <c r="E531" s="1726">
        <f t="shared" si="146"/>
        <v>0</v>
      </c>
      <c r="F531" s="1722"/>
      <c r="G531" s="1727"/>
      <c r="H531" s="1728"/>
      <c r="I531" s="1729"/>
      <c r="J531" s="1729"/>
      <c r="K531" s="1730"/>
      <c r="L531" s="1734">
        <f t="shared" si="144"/>
        <v>0</v>
      </c>
      <c r="M531" s="1735">
        <f t="shared" si="145"/>
        <v>0</v>
      </c>
      <c r="N531" s="1730"/>
      <c r="O531" s="1730"/>
      <c r="P531" s="1730"/>
      <c r="Q531" s="1730"/>
      <c r="R531" s="1730"/>
      <c r="S531" s="1730"/>
      <c r="T531" s="1730"/>
      <c r="U531" s="1730"/>
      <c r="V531" s="1730"/>
      <c r="W531" s="1730"/>
      <c r="X531" s="1903">
        <f t="shared" si="135"/>
        <v>0</v>
      </c>
      <c r="Y531" s="1733">
        <f t="shared" si="136"/>
        <v>0</v>
      </c>
      <c r="Z531" s="528"/>
      <c r="AA531" s="1620"/>
      <c r="AB531" s="1616"/>
      <c r="AC531" s="1616"/>
      <c r="AD531" s="1616"/>
      <c r="AE531" s="1616"/>
      <c r="AF531" s="1587"/>
      <c r="AG531" s="1588"/>
      <c r="AH531" s="1588"/>
      <c r="AI531" s="1588"/>
      <c r="AJ531" s="1628"/>
      <c r="AK531" s="1694">
        <f t="shared" si="137"/>
        <v>0</v>
      </c>
      <c r="AL531" s="1682">
        <f t="shared" si="138"/>
        <v>0</v>
      </c>
      <c r="AM531" s="1682">
        <f t="shared" si="139"/>
        <v>0</v>
      </c>
      <c r="AN531" s="1682">
        <f t="shared" si="140"/>
        <v>0</v>
      </c>
      <c r="AO531" s="1683">
        <f t="shared" si="141"/>
        <v>0</v>
      </c>
      <c r="AP531" s="1634"/>
      <c r="AQ531" s="1635"/>
      <c r="AR531" s="1680">
        <f t="shared" si="142"/>
        <v>0</v>
      </c>
      <c r="AS531" s="1675"/>
      <c r="AT531" s="1676"/>
      <c r="AU531" s="1679">
        <f t="shared" si="143"/>
        <v>0</v>
      </c>
      <c r="AV531" s="935"/>
      <c r="AW531" s="935"/>
      <c r="AX531" s="935"/>
      <c r="AY531" s="722"/>
      <c r="AZ531" s="722"/>
      <c r="BA531" s="722"/>
      <c r="BB531" s="722"/>
      <c r="BC531" s="722"/>
      <c r="BD531" s="722"/>
      <c r="BE531" s="706"/>
      <c r="BF531" s="706"/>
      <c r="BG531" s="694"/>
    </row>
    <row r="532" spans="1:65" ht="15.75" x14ac:dyDescent="0.25">
      <c r="A532" s="1883"/>
      <c r="B532" s="1748"/>
      <c r="C532" s="1884"/>
      <c r="D532" s="1884"/>
      <c r="E532" s="1726">
        <f t="shared" si="146"/>
        <v>0</v>
      </c>
      <c r="F532" s="1722"/>
      <c r="G532" s="1727"/>
      <c r="H532" s="1728"/>
      <c r="I532" s="1729"/>
      <c r="J532" s="1729"/>
      <c r="K532" s="1730"/>
      <c r="L532" s="1734">
        <f t="shared" si="144"/>
        <v>0</v>
      </c>
      <c r="M532" s="1735">
        <f t="shared" si="145"/>
        <v>0</v>
      </c>
      <c r="N532" s="1730"/>
      <c r="O532" s="1730"/>
      <c r="P532" s="1730"/>
      <c r="Q532" s="1730"/>
      <c r="R532" s="1730"/>
      <c r="S532" s="1730"/>
      <c r="T532" s="1730"/>
      <c r="U532" s="1730"/>
      <c r="V532" s="1730"/>
      <c r="W532" s="1730"/>
      <c r="X532" s="1903">
        <f t="shared" si="135"/>
        <v>0</v>
      </c>
      <c r="Y532" s="1733">
        <f t="shared" si="136"/>
        <v>0</v>
      </c>
      <c r="Z532" s="528"/>
      <c r="AA532" s="1620"/>
      <c r="AB532" s="1616"/>
      <c r="AC532" s="1616"/>
      <c r="AD532" s="1616"/>
      <c r="AE532" s="1616"/>
      <c r="AF532" s="1587"/>
      <c r="AG532" s="1588"/>
      <c r="AH532" s="1588"/>
      <c r="AI532" s="1588"/>
      <c r="AJ532" s="1628"/>
      <c r="AK532" s="1694">
        <f t="shared" si="137"/>
        <v>0</v>
      </c>
      <c r="AL532" s="1682">
        <f t="shared" si="138"/>
        <v>0</v>
      </c>
      <c r="AM532" s="1682">
        <f t="shared" si="139"/>
        <v>0</v>
      </c>
      <c r="AN532" s="1682">
        <f t="shared" si="140"/>
        <v>0</v>
      </c>
      <c r="AO532" s="1683">
        <f t="shared" si="141"/>
        <v>0</v>
      </c>
      <c r="AP532" s="1634"/>
      <c r="AQ532" s="1635"/>
      <c r="AR532" s="1680">
        <f t="shared" si="142"/>
        <v>0</v>
      </c>
      <c r="AS532" s="1675"/>
      <c r="AT532" s="1676"/>
      <c r="AU532" s="1679">
        <f t="shared" si="143"/>
        <v>0</v>
      </c>
      <c r="AV532" s="935"/>
      <c r="AW532" s="935"/>
      <c r="AX532" s="935"/>
      <c r="AY532" s="722"/>
      <c r="AZ532" s="722"/>
      <c r="BA532" s="722"/>
      <c r="BB532" s="722"/>
      <c r="BC532" s="722"/>
      <c r="BD532" s="722"/>
      <c r="BE532" s="706"/>
      <c r="BF532" s="706"/>
      <c r="BG532" s="694"/>
    </row>
    <row r="533" spans="1:65" ht="15.75" x14ac:dyDescent="0.25">
      <c r="A533" s="1883"/>
      <c r="B533" s="1748"/>
      <c r="C533" s="1884"/>
      <c r="D533" s="1884"/>
      <c r="E533" s="1726">
        <f t="shared" si="146"/>
        <v>0</v>
      </c>
      <c r="F533" s="1722"/>
      <c r="G533" s="1727"/>
      <c r="H533" s="1728"/>
      <c r="I533" s="1729"/>
      <c r="J533" s="1729"/>
      <c r="K533" s="1730"/>
      <c r="L533" s="1734">
        <f t="shared" si="144"/>
        <v>0</v>
      </c>
      <c r="M533" s="1735">
        <f t="shared" si="145"/>
        <v>0</v>
      </c>
      <c r="N533" s="1730"/>
      <c r="O533" s="1730"/>
      <c r="P533" s="1730"/>
      <c r="Q533" s="1730"/>
      <c r="R533" s="1730"/>
      <c r="S533" s="1730"/>
      <c r="T533" s="1730"/>
      <c r="U533" s="1730"/>
      <c r="V533" s="1730"/>
      <c r="W533" s="1730"/>
      <c r="X533" s="1903">
        <f t="shared" si="135"/>
        <v>0</v>
      </c>
      <c r="Y533" s="1733">
        <f t="shared" si="136"/>
        <v>0</v>
      </c>
      <c r="Z533" s="528"/>
      <c r="AA533" s="1620"/>
      <c r="AB533" s="1616"/>
      <c r="AC533" s="1616"/>
      <c r="AD533" s="1616"/>
      <c r="AE533" s="1616"/>
      <c r="AF533" s="1587"/>
      <c r="AG533" s="1588"/>
      <c r="AH533" s="1588"/>
      <c r="AI533" s="1588"/>
      <c r="AJ533" s="1628"/>
      <c r="AK533" s="1694">
        <f t="shared" si="137"/>
        <v>0</v>
      </c>
      <c r="AL533" s="1682">
        <f t="shared" si="138"/>
        <v>0</v>
      </c>
      <c r="AM533" s="1682">
        <f t="shared" si="139"/>
        <v>0</v>
      </c>
      <c r="AN533" s="1682">
        <f t="shared" si="140"/>
        <v>0</v>
      </c>
      <c r="AO533" s="1683">
        <f t="shared" si="141"/>
        <v>0</v>
      </c>
      <c r="AP533" s="1634"/>
      <c r="AQ533" s="1635"/>
      <c r="AR533" s="1680">
        <f t="shared" si="142"/>
        <v>0</v>
      </c>
      <c r="AS533" s="1675"/>
      <c r="AT533" s="1676"/>
      <c r="AU533" s="1679">
        <f t="shared" si="143"/>
        <v>0</v>
      </c>
      <c r="AV533" s="935"/>
      <c r="AW533" s="935"/>
      <c r="AX533" s="935"/>
      <c r="AY533" s="722"/>
      <c r="AZ533" s="722"/>
      <c r="BA533" s="722"/>
      <c r="BB533" s="722"/>
      <c r="BC533" s="722"/>
      <c r="BD533" s="722"/>
      <c r="BE533" s="706"/>
      <c r="BF533" s="706"/>
      <c r="BG533" s="694"/>
    </row>
    <row r="534" spans="1:65" ht="15.75" x14ac:dyDescent="0.25">
      <c r="A534" s="1883"/>
      <c r="B534" s="1748"/>
      <c r="C534" s="1884"/>
      <c r="D534" s="1884"/>
      <c r="E534" s="1726">
        <f t="shared" si="146"/>
        <v>0</v>
      </c>
      <c r="F534" s="1722"/>
      <c r="G534" s="1727"/>
      <c r="H534" s="1728"/>
      <c r="I534" s="1729"/>
      <c r="J534" s="1729"/>
      <c r="K534" s="1730"/>
      <c r="L534" s="1734">
        <f t="shared" si="144"/>
        <v>0</v>
      </c>
      <c r="M534" s="1735">
        <f t="shared" si="145"/>
        <v>0</v>
      </c>
      <c r="N534" s="1730"/>
      <c r="O534" s="1730"/>
      <c r="P534" s="1730"/>
      <c r="Q534" s="1730"/>
      <c r="R534" s="1730"/>
      <c r="S534" s="1730"/>
      <c r="T534" s="1730"/>
      <c r="U534" s="1730"/>
      <c r="V534" s="1730"/>
      <c r="W534" s="1730"/>
      <c r="X534" s="1903">
        <f t="shared" si="135"/>
        <v>0</v>
      </c>
      <c r="Y534" s="1733">
        <f t="shared" si="136"/>
        <v>0</v>
      </c>
      <c r="Z534" s="528"/>
      <c r="AA534" s="1620"/>
      <c r="AB534" s="1616"/>
      <c r="AC534" s="1616"/>
      <c r="AD534" s="1616"/>
      <c r="AE534" s="1616"/>
      <c r="AF534" s="1587"/>
      <c r="AG534" s="1588"/>
      <c r="AH534" s="1588"/>
      <c r="AI534" s="1588"/>
      <c r="AJ534" s="1628"/>
      <c r="AK534" s="1694">
        <f t="shared" si="137"/>
        <v>0</v>
      </c>
      <c r="AL534" s="1682">
        <f t="shared" si="138"/>
        <v>0</v>
      </c>
      <c r="AM534" s="1682">
        <f t="shared" si="139"/>
        <v>0</v>
      </c>
      <c r="AN534" s="1682">
        <f t="shared" si="140"/>
        <v>0</v>
      </c>
      <c r="AO534" s="1683">
        <f t="shared" si="141"/>
        <v>0</v>
      </c>
      <c r="AP534" s="1634"/>
      <c r="AQ534" s="1635"/>
      <c r="AR534" s="1680">
        <f t="shared" si="142"/>
        <v>0</v>
      </c>
      <c r="AS534" s="1675"/>
      <c r="AT534" s="1676"/>
      <c r="AU534" s="1679">
        <f t="shared" si="143"/>
        <v>0</v>
      </c>
      <c r="AV534" s="935"/>
      <c r="AW534" s="935"/>
      <c r="AX534" s="935"/>
      <c r="AY534" s="722"/>
      <c r="AZ534" s="722"/>
      <c r="BA534" s="722"/>
      <c r="BB534" s="722"/>
      <c r="BC534" s="722"/>
      <c r="BD534" s="722"/>
      <c r="BE534" s="706"/>
      <c r="BF534" s="706"/>
      <c r="BG534" s="694"/>
    </row>
    <row r="535" spans="1:65" ht="16.5" thickBot="1" x14ac:dyDescent="0.3">
      <c r="A535" s="1883"/>
      <c r="B535" s="1748"/>
      <c r="C535" s="1884"/>
      <c r="D535" s="1884"/>
      <c r="E535" s="1726">
        <f t="shared" si="146"/>
        <v>0</v>
      </c>
      <c r="F535" s="1722"/>
      <c r="G535" s="1727"/>
      <c r="H535" s="1728"/>
      <c r="I535" s="1729"/>
      <c r="J535" s="1729"/>
      <c r="K535" s="2105"/>
      <c r="L535" s="1734">
        <f t="shared" si="144"/>
        <v>0</v>
      </c>
      <c r="M535" s="1735">
        <f t="shared" si="145"/>
        <v>0</v>
      </c>
      <c r="N535" s="1730"/>
      <c r="O535" s="1730"/>
      <c r="P535" s="1730"/>
      <c r="Q535" s="1730"/>
      <c r="R535" s="1730"/>
      <c r="S535" s="1730"/>
      <c r="T535" s="1730"/>
      <c r="U535" s="1730"/>
      <c r="V535" s="1730"/>
      <c r="W535" s="1730"/>
      <c r="X535" s="1903">
        <f t="shared" si="135"/>
        <v>0</v>
      </c>
      <c r="Y535" s="1733">
        <f t="shared" si="136"/>
        <v>0</v>
      </c>
      <c r="Z535" s="528"/>
      <c r="AA535" s="1622"/>
      <c r="AB535" s="1623"/>
      <c r="AC535" s="1623"/>
      <c r="AD535" s="1623"/>
      <c r="AE535" s="1623"/>
      <c r="AF535" s="1629"/>
      <c r="AG535" s="1599"/>
      <c r="AH535" s="1599"/>
      <c r="AI535" s="1599"/>
      <c r="AJ535" s="1630"/>
      <c r="AK535" s="1694">
        <f t="shared" si="137"/>
        <v>0</v>
      </c>
      <c r="AL535" s="1682">
        <f t="shared" si="138"/>
        <v>0</v>
      </c>
      <c r="AM535" s="1682">
        <f t="shared" si="139"/>
        <v>0</v>
      </c>
      <c r="AN535" s="1682">
        <f t="shared" si="140"/>
        <v>0</v>
      </c>
      <c r="AO535" s="1683">
        <f t="shared" si="141"/>
        <v>0</v>
      </c>
      <c r="AP535" s="1636"/>
      <c r="AQ535" s="1637"/>
      <c r="AR535" s="1680">
        <f t="shared" si="142"/>
        <v>0</v>
      </c>
      <c r="AS535" s="1677"/>
      <c r="AT535" s="1678"/>
      <c r="AU535" s="1679">
        <f t="shared" si="143"/>
        <v>0</v>
      </c>
      <c r="AV535" s="935"/>
      <c r="AW535" s="935"/>
      <c r="AX535" s="935"/>
      <c r="AY535" s="722"/>
      <c r="AZ535" s="722"/>
      <c r="BA535" s="722"/>
      <c r="BB535" s="722"/>
      <c r="BC535" s="722"/>
      <c r="BD535" s="722"/>
      <c r="BE535" s="706"/>
      <c r="BF535" s="706"/>
      <c r="BG535" s="694"/>
    </row>
    <row r="536" spans="1:65" ht="16.5" thickBot="1" x14ac:dyDescent="0.3">
      <c r="A536" s="479" t="s">
        <v>477</v>
      </c>
      <c r="B536" s="1398">
        <f>SUM(B438:B535)</f>
        <v>0</v>
      </c>
      <c r="C536" s="672">
        <f>IF(ISERROR(SUM(C438:C535)/B536),0,(SUM(C438:C535)/B536))</f>
        <v>0</v>
      </c>
      <c r="D536" s="676">
        <f>SUM(D438:D535)</f>
        <v>0</v>
      </c>
      <c r="E536" s="675">
        <f>IFERROR(D536/B536,0)</f>
        <v>0</v>
      </c>
      <c r="F536" s="479" t="s">
        <v>477</v>
      </c>
      <c r="G536" s="504"/>
      <c r="H536" s="1401">
        <f>SUM(H438:H535)</f>
        <v>0</v>
      </c>
      <c r="I536" s="371"/>
      <c r="J536" s="371"/>
      <c r="K536" s="371"/>
      <c r="L536" s="371"/>
      <c r="M536" s="426">
        <f>IF(ISERROR(SUM(M438:M535)/H536),0,(SUM(M438:M535)/H536))</f>
        <v>0</v>
      </c>
      <c r="N536" s="426">
        <f t="shared" ref="N536:W536" si="147">IF(ISERROR(SUM(N438:N535)/$H$536),0,(SUM(N438:N535)/$H$536))</f>
        <v>0</v>
      </c>
      <c r="O536" s="426">
        <f t="shared" si="147"/>
        <v>0</v>
      </c>
      <c r="P536" s="426">
        <f t="shared" si="147"/>
        <v>0</v>
      </c>
      <c r="Q536" s="426">
        <f t="shared" si="147"/>
        <v>0</v>
      </c>
      <c r="R536" s="426">
        <f t="shared" si="147"/>
        <v>0</v>
      </c>
      <c r="S536" s="426">
        <f t="shared" si="147"/>
        <v>0</v>
      </c>
      <c r="T536" s="426">
        <f t="shared" si="147"/>
        <v>0</v>
      </c>
      <c r="U536" s="426">
        <f t="shared" si="147"/>
        <v>0</v>
      </c>
      <c r="V536" s="426">
        <f t="shared" si="147"/>
        <v>0</v>
      </c>
      <c r="W536" s="426">
        <f t="shared" si="147"/>
        <v>0</v>
      </c>
      <c r="X536" s="427">
        <f>SUM(X438:X535)</f>
        <v>0</v>
      </c>
      <c r="Y536" s="429">
        <f>IFERROR(SUM(X536/H536),0)</f>
        <v>0</v>
      </c>
      <c r="Z536" s="510"/>
      <c r="AA536" s="708"/>
      <c r="AB536" s="708"/>
      <c r="AC536" s="708"/>
      <c r="AD536" s="708"/>
      <c r="AE536" s="708"/>
      <c r="AF536" s="708"/>
      <c r="AG536" s="708"/>
      <c r="AH536" s="708"/>
      <c r="AI536" s="708"/>
      <c r="AJ536" s="708"/>
      <c r="AK536" s="708"/>
      <c r="AL536" s="708"/>
      <c r="AM536" s="708"/>
      <c r="AN536" s="708"/>
      <c r="AO536" s="708"/>
      <c r="AP536" s="1426"/>
      <c r="AQ536" s="1426"/>
      <c r="AR536" s="1426"/>
      <c r="AS536" s="988"/>
      <c r="AT536" s="1007"/>
      <c r="AU536" s="971"/>
      <c r="AV536" s="935"/>
      <c r="AW536" s="935"/>
      <c r="AX536" s="935"/>
      <c r="AY536" s="724"/>
      <c r="AZ536" s="724"/>
      <c r="BA536" s="724"/>
      <c r="BB536" s="724"/>
      <c r="BC536" s="724"/>
      <c r="BD536" s="724"/>
      <c r="BE536" s="708"/>
      <c r="BF536" s="708"/>
      <c r="BG536" s="696"/>
      <c r="BM536" s="602"/>
    </row>
    <row r="537" spans="1:65" s="373" customFormat="1" ht="15.75" x14ac:dyDescent="0.25">
      <c r="A537" s="802"/>
      <c r="B537" s="803"/>
      <c r="C537" s="808"/>
      <c r="D537" s="805"/>
      <c r="E537" s="804"/>
      <c r="F537" s="806"/>
      <c r="G537" s="802"/>
      <c r="H537" s="807"/>
      <c r="I537" s="722"/>
      <c r="J537" s="722"/>
      <c r="K537" s="722"/>
      <c r="L537" s="722"/>
      <c r="M537" s="808"/>
      <c r="N537" s="808"/>
      <c r="O537" s="808"/>
      <c r="P537" s="808"/>
      <c r="Q537" s="808"/>
      <c r="R537" s="808"/>
      <c r="S537" s="808"/>
      <c r="T537" s="808"/>
      <c r="U537" s="808"/>
      <c r="V537" s="808"/>
      <c r="W537" s="808"/>
      <c r="X537" s="809"/>
      <c r="Y537" s="810"/>
      <c r="Z537" s="510"/>
      <c r="AA537" s="708"/>
      <c r="AB537" s="708"/>
      <c r="AC537" s="708"/>
      <c r="AD537" s="708"/>
      <c r="AE537" s="708"/>
      <c r="AF537" s="708"/>
      <c r="AG537" s="708"/>
      <c r="AH537" s="708"/>
      <c r="AI537" s="708"/>
      <c r="AJ537" s="708"/>
      <c r="AK537" s="708"/>
      <c r="AL537" s="708"/>
      <c r="AM537" s="708"/>
      <c r="AN537" s="708"/>
      <c r="AO537" s="708"/>
      <c r="AP537" s="1426"/>
      <c r="AQ537" s="1426"/>
      <c r="AR537" s="1426"/>
      <c r="AS537" s="988"/>
      <c r="AT537" s="1007"/>
      <c r="AU537" s="971"/>
      <c r="AV537" s="935"/>
      <c r="AW537" s="935"/>
      <c r="AX537" s="935"/>
      <c r="AY537" s="724"/>
      <c r="AZ537" s="724"/>
      <c r="BA537" s="724"/>
      <c r="BB537" s="724"/>
      <c r="BC537" s="724"/>
      <c r="BD537" s="724"/>
      <c r="BE537" s="724"/>
      <c r="BF537" s="724"/>
      <c r="BG537" s="811"/>
      <c r="BM537" s="812"/>
    </row>
    <row r="538" spans="1:65" ht="15.75" x14ac:dyDescent="0.25">
      <c r="A538" s="478" t="s">
        <v>478</v>
      </c>
      <c r="F538" s="478" t="s">
        <v>478</v>
      </c>
      <c r="G538" s="239"/>
      <c r="P538" s="2414"/>
      <c r="Q538" s="2414"/>
      <c r="R538" s="2414"/>
      <c r="S538" s="2414"/>
      <c r="T538" s="2414"/>
      <c r="U538" s="2414"/>
      <c r="V538" s="2414"/>
      <c r="W538" s="2414"/>
      <c r="X538" s="2414"/>
      <c r="Y538" s="2415"/>
      <c r="Z538" s="539"/>
      <c r="AA538" s="712"/>
      <c r="AB538" s="712"/>
      <c r="AC538" s="712"/>
      <c r="AD538" s="712"/>
      <c r="AE538" s="712"/>
      <c r="AF538" s="712"/>
      <c r="AG538" s="712"/>
      <c r="AH538" s="712"/>
      <c r="AI538" s="712"/>
      <c r="AJ538" s="712"/>
      <c r="AK538" s="712"/>
      <c r="AL538" s="712"/>
      <c r="AM538" s="712"/>
      <c r="AN538" s="712"/>
      <c r="AO538" s="712"/>
      <c r="AP538" s="1424"/>
      <c r="AQ538" s="1424"/>
      <c r="AR538" s="1424"/>
      <c r="AS538" s="712"/>
      <c r="AT538" s="936"/>
      <c r="AU538" s="969"/>
      <c r="AV538" s="935"/>
      <c r="AW538" s="935"/>
      <c r="AX538" s="935"/>
      <c r="AY538" s="509"/>
      <c r="AZ538" s="509"/>
      <c r="BA538" s="509"/>
      <c r="BB538" s="509"/>
      <c r="BC538" s="509"/>
      <c r="BD538" s="509"/>
      <c r="BE538" s="712"/>
      <c r="BF538" s="712"/>
      <c r="BG538" s="693"/>
    </row>
    <row r="539" spans="1:65" ht="15.75" x14ac:dyDescent="0.25">
      <c r="A539" s="1883"/>
      <c r="B539" s="1748"/>
      <c r="C539" s="1884"/>
      <c r="D539" s="1884"/>
      <c r="E539" s="1726">
        <f t="shared" ref="E539:E568" si="148">IFERROR(D539/B539,0)</f>
        <v>0</v>
      </c>
      <c r="F539" s="1722"/>
      <c r="G539" s="1741"/>
      <c r="H539" s="1728"/>
      <c r="I539" s="1729"/>
      <c r="J539" s="1729"/>
      <c r="K539" s="1730"/>
      <c r="L539" s="1731">
        <f>IFERROR(IF($K$24="VK",K539,K539/H539),0)</f>
        <v>0</v>
      </c>
      <c r="M539" s="1732">
        <f>IFERROR(L539*H539,"")</f>
        <v>0</v>
      </c>
      <c r="N539" s="1730"/>
      <c r="O539" s="1730"/>
      <c r="P539" s="1730"/>
      <c r="Q539" s="1730"/>
      <c r="R539" s="1730"/>
      <c r="S539" s="1730"/>
      <c r="T539" s="1730"/>
      <c r="U539" s="1730"/>
      <c r="V539" s="1730"/>
      <c r="W539" s="1730"/>
      <c r="X539" s="1903">
        <f t="shared" ref="X539:X568" si="149">IF(AND(H539&gt;0,F539&lt;&gt;"GfB"),(SUM(M539:P539,R539,V539,Q539)*12+(T539+U539))*(100+$P$17+$P$18)%+((S539+W539)*12),IF(AND(H539&gt;0,F539="GfB"),(SUM(M539:P539,R539,V539,Q539)*12+(T539+U539))*(100+$P$20+$P$18)%+((S539+W539)*12),0))</f>
        <v>0</v>
      </c>
      <c r="Y539" s="1733">
        <f>IF(ISERROR(X539/H539),0,(X539/H539))</f>
        <v>0</v>
      </c>
      <c r="Z539" s="528"/>
      <c r="AA539" s="1617"/>
      <c r="AB539" s="1618"/>
      <c r="AC539" s="1618"/>
      <c r="AD539" s="1618"/>
      <c r="AE539" s="1618"/>
      <c r="AF539" s="1115">
        <f t="shared" ref="AF539:AF568" si="150">(IF(AND($G539="PK/BK",$H539&gt;0,$K539&gt;0),($M539+$N539),0))</f>
        <v>0</v>
      </c>
      <c r="AG539" s="1116">
        <f>(IF(AND($G539="PK/BK",$H539&gt;0,$K539&gt;0),$O539,0))</f>
        <v>0</v>
      </c>
      <c r="AH539" s="1116">
        <f>(IF(AND($G539="PK/BK",$H539&gt;0,$K539&gt;0),$P539,0))</f>
        <v>0</v>
      </c>
      <c r="AI539" s="1116">
        <f>(IF(AND($G539="PK/BK",$H539&gt;0,$K539&gt;0),$Q539,0))</f>
        <v>0</v>
      </c>
      <c r="AJ539" s="1116">
        <f>(IF(AND($G539="PK/BK",$H539&gt;0,$K539&gt;0),(($T539+$U539)/12),0))</f>
        <v>0</v>
      </c>
      <c r="AK539" s="1564">
        <f>(IF(AND($G539="PK/BK o.",$H539&gt;0,$K539&gt;0),($M539+$N539),0))</f>
        <v>0</v>
      </c>
      <c r="AL539" s="1565">
        <f>(IF(AND($G539="PK/BK o.",$H539&gt;0,$K539&gt;0),$O539,0))</f>
        <v>0</v>
      </c>
      <c r="AM539" s="1565">
        <f>(IF(AND($G539="PK/BK o.",$H539&gt;0,$K539&gt;0),$P539,0))</f>
        <v>0</v>
      </c>
      <c r="AN539" s="1565">
        <f>(IF(AND($G539="PK/BK o.",$H539&gt;0,$K539&gt;0),$Q539,0))</f>
        <v>0</v>
      </c>
      <c r="AO539" s="1631">
        <f>(IF(AND($G539="PK/BK o.",$H539&gt;0,$K539&gt;0),(($T539+$U539)/12),0))</f>
        <v>0</v>
      </c>
      <c r="AP539" s="1670"/>
      <c r="AQ539" s="1719">
        <f>IF(AND($G539="PK/BK",$H539&gt;0,$K539&gt;0),$H539,0)</f>
        <v>0</v>
      </c>
      <c r="AR539" s="1720">
        <f>IF(AND($G539="PK/BK o.",$H539&gt;0,$K539&gt;0),$H539,0)</f>
        <v>0</v>
      </c>
      <c r="AS539" s="1664"/>
      <c r="AT539" s="1721">
        <f>IF(AND($G539="PK/BK",$H539&gt;0,$K539&gt;0),$X539,0)</f>
        <v>0</v>
      </c>
      <c r="AU539" s="1679">
        <f>IF(AND($G539="PK/BK o.",$H539&gt;0,$K539&gt;0),$X539,0)</f>
        <v>0</v>
      </c>
      <c r="AV539" s="935"/>
      <c r="AW539" s="935"/>
      <c r="AX539" s="935"/>
      <c r="AY539" s="722"/>
      <c r="AZ539" s="722"/>
      <c r="BA539" s="722"/>
      <c r="BB539" s="722"/>
      <c r="BC539" s="722"/>
      <c r="BD539" s="722"/>
      <c r="BE539" s="706"/>
      <c r="BF539" s="706"/>
      <c r="BG539" s="694"/>
    </row>
    <row r="540" spans="1:65" ht="15.75" x14ac:dyDescent="0.25">
      <c r="A540" s="1883"/>
      <c r="B540" s="1748"/>
      <c r="C540" s="1884"/>
      <c r="D540" s="1884"/>
      <c r="E540" s="1726">
        <f t="shared" si="148"/>
        <v>0</v>
      </c>
      <c r="F540" s="1722"/>
      <c r="G540" s="1741"/>
      <c r="H540" s="1728"/>
      <c r="I540" s="1729"/>
      <c r="J540" s="1729"/>
      <c r="K540" s="1730"/>
      <c r="L540" s="1734">
        <f>IFERROR(IF($K$24="VK",K540,K540/H540),0)</f>
        <v>0</v>
      </c>
      <c r="M540" s="1735">
        <f>IFERROR(L540*H540,"")</f>
        <v>0</v>
      </c>
      <c r="N540" s="1730"/>
      <c r="O540" s="1730"/>
      <c r="P540" s="1730"/>
      <c r="Q540" s="1730"/>
      <c r="R540" s="1730"/>
      <c r="S540" s="1730"/>
      <c r="T540" s="1730"/>
      <c r="U540" s="1730"/>
      <c r="V540" s="1730"/>
      <c r="W540" s="1730"/>
      <c r="X540" s="1903">
        <f t="shared" si="149"/>
        <v>0</v>
      </c>
      <c r="Y540" s="1733">
        <f t="shared" ref="Y540:Y568" si="151">IF(ISERROR(X540/H540),0,(X540/H540))</f>
        <v>0</v>
      </c>
      <c r="Z540" s="528"/>
      <c r="AA540" s="1620"/>
      <c r="AB540" s="1616"/>
      <c r="AC540" s="1616"/>
      <c r="AD540" s="1616"/>
      <c r="AE540" s="1616"/>
      <c r="AF540" s="1115">
        <f t="shared" si="150"/>
        <v>0</v>
      </c>
      <c r="AG540" s="1116">
        <f t="shared" ref="AG540:AG568" si="152">(IF(AND($G540="PK/BK",$H540&gt;0,$K540&gt;0),$O540,0))</f>
        <v>0</v>
      </c>
      <c r="AH540" s="1116">
        <f t="shared" ref="AH540:AH568" si="153">(IF(AND($G540="PK/BK",$H540&gt;0,$K540&gt;0),$P540,0))</f>
        <v>0</v>
      </c>
      <c r="AI540" s="1116">
        <f t="shared" ref="AI540:AI568" si="154">(IF(AND($G540="PK/BK",$H540&gt;0,$K540&gt;0),$Q540,0))</f>
        <v>0</v>
      </c>
      <c r="AJ540" s="1116">
        <f t="shared" ref="AJ540:AJ568" si="155">(IF(AND($G540="PK/BK",$H540&gt;0,$K540&gt;0),(($T540+$U540)/12),0))</f>
        <v>0</v>
      </c>
      <c r="AK540" s="1564">
        <f t="shared" ref="AK540:AK568" si="156">(IF(AND($G540="PK/BK o.",$H540&gt;0,$K540&gt;0),($M540+$N540),0))</f>
        <v>0</v>
      </c>
      <c r="AL540" s="1565">
        <f t="shared" ref="AL540:AL568" si="157">(IF(AND($G540="PK/BK o.",$H540&gt;0,$K540&gt;0),$O540,0))</f>
        <v>0</v>
      </c>
      <c r="AM540" s="1565">
        <f t="shared" ref="AM540:AM568" si="158">(IF(AND($G540="PK/BK o.",$H540&gt;0,$K540&gt;0),$P540,0))</f>
        <v>0</v>
      </c>
      <c r="AN540" s="1565">
        <f t="shared" ref="AN540:AN568" si="159">(IF(AND($G540="PK/BK o.",$H540&gt;0,$K540&gt;0),$Q540,0))</f>
        <v>0</v>
      </c>
      <c r="AO540" s="1631">
        <f t="shared" ref="AO540:AO568" si="160">(IF(AND($G540="PK/BK o.",$H540&gt;0,$K540&gt;0),(($T540+$U540)/12),0))</f>
        <v>0</v>
      </c>
      <c r="AP540" s="1686"/>
      <c r="AQ540" s="1719">
        <f t="shared" ref="AQ540:AQ568" si="161">IF(AND($G540="PK/BK",$H540&gt;0,$K540&gt;0),$H540,0)</f>
        <v>0</v>
      </c>
      <c r="AR540" s="1720">
        <f t="shared" ref="AR540:AR568" si="162">IF(AND($G540="PK/BK o.",$H540&gt;0,$K540&gt;0),$H540,0)</f>
        <v>0</v>
      </c>
      <c r="AS540" s="1665"/>
      <c r="AT540" s="1721">
        <f t="shared" ref="AT540:AT568" si="163">IF(AND($G540="PK/BK",$H540&gt;0,$K540&gt;0),$X540,0)</f>
        <v>0</v>
      </c>
      <c r="AU540" s="1679">
        <f t="shared" ref="AU540:AU568" si="164">IF(AND($G540="PK/BK o.",$H540&gt;0,$K540&gt;0),$X540,0)</f>
        <v>0</v>
      </c>
      <c r="AV540" s="935"/>
      <c r="AW540" s="935"/>
      <c r="AX540" s="935"/>
      <c r="AY540" s="722"/>
      <c r="AZ540" s="722"/>
      <c r="BA540" s="722"/>
      <c r="BB540" s="722"/>
      <c r="BC540" s="722"/>
      <c r="BD540" s="722"/>
      <c r="BE540" s="706"/>
      <c r="BF540" s="706"/>
      <c r="BG540" s="694"/>
    </row>
    <row r="541" spans="1:65" ht="15.75" x14ac:dyDescent="0.25">
      <c r="A541" s="1883"/>
      <c r="B541" s="1748"/>
      <c r="C541" s="1884"/>
      <c r="D541" s="1884"/>
      <c r="E541" s="1726">
        <f t="shared" si="148"/>
        <v>0</v>
      </c>
      <c r="F541" s="1722"/>
      <c r="G541" s="1741"/>
      <c r="H541" s="1728"/>
      <c r="I541" s="1729"/>
      <c r="J541" s="1729"/>
      <c r="K541" s="1730"/>
      <c r="L541" s="1734">
        <f t="shared" ref="L541:L568" si="165">IFERROR(IF($K$24="VK",K541,K541/H541),0)</f>
        <v>0</v>
      </c>
      <c r="M541" s="1735">
        <f t="shared" ref="M541:M568" si="166">IFERROR(L541*H541,"")</f>
        <v>0</v>
      </c>
      <c r="N541" s="1730"/>
      <c r="O541" s="1730"/>
      <c r="P541" s="1730"/>
      <c r="Q541" s="1730"/>
      <c r="R541" s="1730"/>
      <c r="S541" s="1730"/>
      <c r="T541" s="1730"/>
      <c r="U541" s="1730"/>
      <c r="V541" s="1730"/>
      <c r="W541" s="1730"/>
      <c r="X541" s="1903">
        <f t="shared" si="149"/>
        <v>0</v>
      </c>
      <c r="Y541" s="1733">
        <f t="shared" si="151"/>
        <v>0</v>
      </c>
      <c r="Z541" s="528"/>
      <c r="AA541" s="1620"/>
      <c r="AB541" s="1616"/>
      <c r="AC541" s="1616"/>
      <c r="AD541" s="1616"/>
      <c r="AE541" s="1616"/>
      <c r="AF541" s="1115">
        <f t="shared" si="150"/>
        <v>0</v>
      </c>
      <c r="AG541" s="1116">
        <f t="shared" si="152"/>
        <v>0</v>
      </c>
      <c r="AH541" s="1116">
        <f t="shared" si="153"/>
        <v>0</v>
      </c>
      <c r="AI541" s="1116">
        <f t="shared" si="154"/>
        <v>0</v>
      </c>
      <c r="AJ541" s="1116">
        <f t="shared" si="155"/>
        <v>0</v>
      </c>
      <c r="AK541" s="1564">
        <f t="shared" si="156"/>
        <v>0</v>
      </c>
      <c r="AL541" s="1565">
        <f t="shared" si="157"/>
        <v>0</v>
      </c>
      <c r="AM541" s="1565">
        <f t="shared" si="158"/>
        <v>0</v>
      </c>
      <c r="AN541" s="1565">
        <f t="shared" si="159"/>
        <v>0</v>
      </c>
      <c r="AO541" s="1631">
        <f t="shared" si="160"/>
        <v>0</v>
      </c>
      <c r="AP541" s="1686"/>
      <c r="AQ541" s="1719">
        <f t="shared" si="161"/>
        <v>0</v>
      </c>
      <c r="AR541" s="1720">
        <f t="shared" si="162"/>
        <v>0</v>
      </c>
      <c r="AS541" s="1665"/>
      <c r="AT541" s="1721">
        <f t="shared" si="163"/>
        <v>0</v>
      </c>
      <c r="AU541" s="1679">
        <f t="shared" si="164"/>
        <v>0</v>
      </c>
      <c r="AV541" s="935"/>
      <c r="AW541" s="935"/>
      <c r="AX541" s="935"/>
      <c r="AY541" s="722"/>
      <c r="AZ541" s="722"/>
      <c r="BA541" s="722"/>
      <c r="BB541" s="722"/>
      <c r="BC541" s="722"/>
      <c r="BD541" s="722"/>
      <c r="BE541" s="706"/>
      <c r="BF541" s="706"/>
      <c r="BG541" s="694"/>
    </row>
    <row r="542" spans="1:65" ht="15.75" x14ac:dyDescent="0.25">
      <c r="A542" s="1883"/>
      <c r="B542" s="1748"/>
      <c r="C542" s="1884"/>
      <c r="D542" s="1884"/>
      <c r="E542" s="1726">
        <f t="shared" si="148"/>
        <v>0</v>
      </c>
      <c r="F542" s="1722"/>
      <c r="G542" s="1741"/>
      <c r="H542" s="1728"/>
      <c r="I542" s="1729"/>
      <c r="J542" s="1729"/>
      <c r="K542" s="1730"/>
      <c r="L542" s="1734">
        <f t="shared" si="165"/>
        <v>0</v>
      </c>
      <c r="M542" s="1735">
        <f t="shared" si="166"/>
        <v>0</v>
      </c>
      <c r="N542" s="1730"/>
      <c r="O542" s="1730"/>
      <c r="P542" s="1730"/>
      <c r="Q542" s="1730"/>
      <c r="R542" s="1730"/>
      <c r="S542" s="1730"/>
      <c r="T542" s="1730"/>
      <c r="U542" s="1730"/>
      <c r="V542" s="1730"/>
      <c r="W542" s="1730"/>
      <c r="X542" s="1903">
        <f t="shared" si="149"/>
        <v>0</v>
      </c>
      <c r="Y542" s="1733">
        <f t="shared" si="151"/>
        <v>0</v>
      </c>
      <c r="Z542" s="528"/>
      <c r="AA542" s="1620"/>
      <c r="AB542" s="1616"/>
      <c r="AC542" s="1616"/>
      <c r="AD542" s="1616"/>
      <c r="AE542" s="1616"/>
      <c r="AF542" s="1115">
        <f t="shared" si="150"/>
        <v>0</v>
      </c>
      <c r="AG542" s="1116">
        <f t="shared" si="152"/>
        <v>0</v>
      </c>
      <c r="AH542" s="1116">
        <f t="shared" si="153"/>
        <v>0</v>
      </c>
      <c r="AI542" s="1116">
        <f t="shared" si="154"/>
        <v>0</v>
      </c>
      <c r="AJ542" s="1116">
        <f t="shared" si="155"/>
        <v>0</v>
      </c>
      <c r="AK542" s="1564">
        <f t="shared" si="156"/>
        <v>0</v>
      </c>
      <c r="AL542" s="1565">
        <f t="shared" si="157"/>
        <v>0</v>
      </c>
      <c r="AM542" s="1565">
        <f t="shared" si="158"/>
        <v>0</v>
      </c>
      <c r="AN542" s="1565">
        <f t="shared" si="159"/>
        <v>0</v>
      </c>
      <c r="AO542" s="1631">
        <f t="shared" si="160"/>
        <v>0</v>
      </c>
      <c r="AP542" s="1686"/>
      <c r="AQ542" s="1719">
        <f t="shared" si="161"/>
        <v>0</v>
      </c>
      <c r="AR542" s="1720">
        <f t="shared" si="162"/>
        <v>0</v>
      </c>
      <c r="AS542" s="1665"/>
      <c r="AT542" s="1721">
        <f t="shared" si="163"/>
        <v>0</v>
      </c>
      <c r="AU542" s="1679">
        <f t="shared" si="164"/>
        <v>0</v>
      </c>
      <c r="AV542" s="935"/>
      <c r="AW542" s="935"/>
      <c r="AX542" s="935"/>
      <c r="AY542" s="722"/>
      <c r="AZ542" s="722"/>
      <c r="BA542" s="722"/>
      <c r="BB542" s="722"/>
      <c r="BC542" s="722"/>
      <c r="BD542" s="722"/>
      <c r="BE542" s="706"/>
      <c r="BF542" s="706"/>
      <c r="BG542" s="694"/>
    </row>
    <row r="543" spans="1:65" ht="15.75" x14ac:dyDescent="0.25">
      <c r="A543" s="1883"/>
      <c r="B543" s="1748"/>
      <c r="C543" s="1884"/>
      <c r="D543" s="1884"/>
      <c r="E543" s="1726">
        <f t="shared" si="148"/>
        <v>0</v>
      </c>
      <c r="F543" s="1722"/>
      <c r="G543" s="1741"/>
      <c r="H543" s="1728"/>
      <c r="I543" s="1729"/>
      <c r="J543" s="1729"/>
      <c r="K543" s="1730"/>
      <c r="L543" s="1734">
        <f t="shared" si="165"/>
        <v>0</v>
      </c>
      <c r="M543" s="1735">
        <f t="shared" si="166"/>
        <v>0</v>
      </c>
      <c r="N543" s="1730"/>
      <c r="O543" s="1730"/>
      <c r="P543" s="1730"/>
      <c r="Q543" s="1730"/>
      <c r="R543" s="1730"/>
      <c r="S543" s="1730"/>
      <c r="T543" s="1730"/>
      <c r="U543" s="1730"/>
      <c r="V543" s="1730"/>
      <c r="W543" s="1730"/>
      <c r="X543" s="1903">
        <f t="shared" si="149"/>
        <v>0</v>
      </c>
      <c r="Y543" s="1733">
        <f t="shared" si="151"/>
        <v>0</v>
      </c>
      <c r="Z543" s="528"/>
      <c r="AA543" s="1620"/>
      <c r="AB543" s="1616"/>
      <c r="AC543" s="1616"/>
      <c r="AD543" s="1616"/>
      <c r="AE543" s="1616"/>
      <c r="AF543" s="1115">
        <f t="shared" si="150"/>
        <v>0</v>
      </c>
      <c r="AG543" s="1116">
        <f t="shared" si="152"/>
        <v>0</v>
      </c>
      <c r="AH543" s="1116">
        <f t="shared" si="153"/>
        <v>0</v>
      </c>
      <c r="AI543" s="1116">
        <f t="shared" si="154"/>
        <v>0</v>
      </c>
      <c r="AJ543" s="1116">
        <f t="shared" si="155"/>
        <v>0</v>
      </c>
      <c r="AK543" s="1564">
        <f t="shared" si="156"/>
        <v>0</v>
      </c>
      <c r="AL543" s="1565">
        <f t="shared" si="157"/>
        <v>0</v>
      </c>
      <c r="AM543" s="1565">
        <f t="shared" si="158"/>
        <v>0</v>
      </c>
      <c r="AN543" s="1565">
        <f t="shared" si="159"/>
        <v>0</v>
      </c>
      <c r="AO543" s="1631">
        <f t="shared" si="160"/>
        <v>0</v>
      </c>
      <c r="AP543" s="1686"/>
      <c r="AQ543" s="1719">
        <f t="shared" si="161"/>
        <v>0</v>
      </c>
      <c r="AR543" s="1720">
        <f t="shared" si="162"/>
        <v>0</v>
      </c>
      <c r="AS543" s="1665"/>
      <c r="AT543" s="1721">
        <f t="shared" si="163"/>
        <v>0</v>
      </c>
      <c r="AU543" s="1679">
        <f t="shared" si="164"/>
        <v>0</v>
      </c>
      <c r="AV543" s="935"/>
      <c r="AW543" s="935"/>
      <c r="AX543" s="935"/>
      <c r="AY543" s="722"/>
      <c r="AZ543" s="722"/>
      <c r="BA543" s="722"/>
      <c r="BB543" s="722"/>
      <c r="BC543" s="722"/>
      <c r="BD543" s="722"/>
      <c r="BE543" s="706"/>
      <c r="BF543" s="706"/>
      <c r="BG543" s="694"/>
    </row>
    <row r="544" spans="1:65" ht="15.75" x14ac:dyDescent="0.25">
      <c r="A544" s="1883"/>
      <c r="B544" s="1748"/>
      <c r="C544" s="1884"/>
      <c r="D544" s="1884"/>
      <c r="E544" s="1726">
        <f t="shared" si="148"/>
        <v>0</v>
      </c>
      <c r="F544" s="1722"/>
      <c r="G544" s="1741"/>
      <c r="H544" s="1728"/>
      <c r="I544" s="1729"/>
      <c r="J544" s="1729"/>
      <c r="K544" s="1730"/>
      <c r="L544" s="1734">
        <f t="shared" si="165"/>
        <v>0</v>
      </c>
      <c r="M544" s="1735">
        <f t="shared" si="166"/>
        <v>0</v>
      </c>
      <c r="N544" s="1730"/>
      <c r="O544" s="1730"/>
      <c r="P544" s="1730"/>
      <c r="Q544" s="1730"/>
      <c r="R544" s="1730"/>
      <c r="S544" s="1730"/>
      <c r="T544" s="1730"/>
      <c r="U544" s="1730"/>
      <c r="V544" s="1730"/>
      <c r="W544" s="1730"/>
      <c r="X544" s="1903">
        <f t="shared" si="149"/>
        <v>0</v>
      </c>
      <c r="Y544" s="1733">
        <f t="shared" si="151"/>
        <v>0</v>
      </c>
      <c r="Z544" s="528"/>
      <c r="AA544" s="1620"/>
      <c r="AB544" s="1616"/>
      <c r="AC544" s="1616"/>
      <c r="AD544" s="1616"/>
      <c r="AE544" s="1616"/>
      <c r="AF544" s="1115">
        <f t="shared" si="150"/>
        <v>0</v>
      </c>
      <c r="AG544" s="1116">
        <f t="shared" si="152"/>
        <v>0</v>
      </c>
      <c r="AH544" s="1116">
        <f t="shared" si="153"/>
        <v>0</v>
      </c>
      <c r="AI544" s="1116">
        <f t="shared" si="154"/>
        <v>0</v>
      </c>
      <c r="AJ544" s="1116">
        <f t="shared" si="155"/>
        <v>0</v>
      </c>
      <c r="AK544" s="1564">
        <f t="shared" si="156"/>
        <v>0</v>
      </c>
      <c r="AL544" s="1565">
        <f t="shared" si="157"/>
        <v>0</v>
      </c>
      <c r="AM544" s="1565">
        <f t="shared" si="158"/>
        <v>0</v>
      </c>
      <c r="AN544" s="1565">
        <f t="shared" si="159"/>
        <v>0</v>
      </c>
      <c r="AO544" s="1631">
        <f t="shared" si="160"/>
        <v>0</v>
      </c>
      <c r="AP544" s="1686"/>
      <c r="AQ544" s="1719">
        <f t="shared" si="161"/>
        <v>0</v>
      </c>
      <c r="AR544" s="1720">
        <f t="shared" si="162"/>
        <v>0</v>
      </c>
      <c r="AS544" s="1665"/>
      <c r="AT544" s="1721">
        <f t="shared" si="163"/>
        <v>0</v>
      </c>
      <c r="AU544" s="1679">
        <f t="shared" si="164"/>
        <v>0</v>
      </c>
      <c r="AV544" s="935"/>
      <c r="AW544" s="935"/>
      <c r="AX544" s="935"/>
      <c r="AY544" s="722"/>
      <c r="AZ544" s="722"/>
      <c r="BA544" s="722"/>
      <c r="BB544" s="722"/>
      <c r="BC544" s="722"/>
      <c r="BD544" s="722"/>
      <c r="BE544" s="706"/>
      <c r="BF544" s="706"/>
      <c r="BG544" s="694"/>
    </row>
    <row r="545" spans="1:59" ht="15.75" x14ac:dyDescent="0.25">
      <c r="A545" s="1883"/>
      <c r="B545" s="1748"/>
      <c r="C545" s="1884"/>
      <c r="D545" s="1884"/>
      <c r="E545" s="1726">
        <f t="shared" si="148"/>
        <v>0</v>
      </c>
      <c r="F545" s="1722"/>
      <c r="G545" s="1741"/>
      <c r="H545" s="1728"/>
      <c r="I545" s="1729"/>
      <c r="J545" s="1729"/>
      <c r="K545" s="1730"/>
      <c r="L545" s="1734">
        <f t="shared" si="165"/>
        <v>0</v>
      </c>
      <c r="M545" s="1735">
        <f t="shared" si="166"/>
        <v>0</v>
      </c>
      <c r="N545" s="1730"/>
      <c r="O545" s="1730"/>
      <c r="P545" s="1730"/>
      <c r="Q545" s="1730"/>
      <c r="R545" s="1730"/>
      <c r="S545" s="1730"/>
      <c r="T545" s="1730"/>
      <c r="U545" s="1730"/>
      <c r="V545" s="1730"/>
      <c r="W545" s="1730"/>
      <c r="X545" s="1903">
        <f t="shared" si="149"/>
        <v>0</v>
      </c>
      <c r="Y545" s="1733">
        <f t="shared" si="151"/>
        <v>0</v>
      </c>
      <c r="Z545" s="528"/>
      <c r="AA545" s="1620"/>
      <c r="AB545" s="1616"/>
      <c r="AC545" s="1616"/>
      <c r="AD545" s="1616"/>
      <c r="AE545" s="1616"/>
      <c r="AF545" s="1115">
        <f t="shared" si="150"/>
        <v>0</v>
      </c>
      <c r="AG545" s="1116">
        <f t="shared" si="152"/>
        <v>0</v>
      </c>
      <c r="AH545" s="1116">
        <f t="shared" si="153"/>
        <v>0</v>
      </c>
      <c r="AI545" s="1116">
        <f t="shared" si="154"/>
        <v>0</v>
      </c>
      <c r="AJ545" s="1116">
        <f t="shared" si="155"/>
        <v>0</v>
      </c>
      <c r="AK545" s="1564">
        <f t="shared" si="156"/>
        <v>0</v>
      </c>
      <c r="AL545" s="1565">
        <f t="shared" si="157"/>
        <v>0</v>
      </c>
      <c r="AM545" s="1565">
        <f t="shared" si="158"/>
        <v>0</v>
      </c>
      <c r="AN545" s="1565">
        <f t="shared" si="159"/>
        <v>0</v>
      </c>
      <c r="AO545" s="1631">
        <f t="shared" si="160"/>
        <v>0</v>
      </c>
      <c r="AP545" s="1686"/>
      <c r="AQ545" s="1719">
        <f t="shared" si="161"/>
        <v>0</v>
      </c>
      <c r="AR545" s="1720">
        <f t="shared" si="162"/>
        <v>0</v>
      </c>
      <c r="AS545" s="1665"/>
      <c r="AT545" s="1721">
        <f t="shared" si="163"/>
        <v>0</v>
      </c>
      <c r="AU545" s="1679">
        <f t="shared" si="164"/>
        <v>0</v>
      </c>
      <c r="AV545" s="935"/>
      <c r="AW545" s="935"/>
      <c r="AX545" s="935"/>
      <c r="AY545" s="722"/>
      <c r="AZ545" s="722"/>
      <c r="BA545" s="722"/>
      <c r="BB545" s="722"/>
      <c r="BC545" s="722"/>
      <c r="BD545" s="722"/>
      <c r="BE545" s="706"/>
      <c r="BF545" s="706"/>
      <c r="BG545" s="694"/>
    </row>
    <row r="546" spans="1:59" ht="15.75" x14ac:dyDescent="0.25">
      <c r="A546" s="1883"/>
      <c r="B546" s="1748"/>
      <c r="C546" s="1884"/>
      <c r="D546" s="1884"/>
      <c r="E546" s="1726">
        <f t="shared" si="148"/>
        <v>0</v>
      </c>
      <c r="F546" s="1722"/>
      <c r="G546" s="1741"/>
      <c r="H546" s="1728"/>
      <c r="I546" s="1729"/>
      <c r="J546" s="1729"/>
      <c r="K546" s="1730"/>
      <c r="L546" s="1734">
        <f t="shared" si="165"/>
        <v>0</v>
      </c>
      <c r="M546" s="1735">
        <f t="shared" si="166"/>
        <v>0</v>
      </c>
      <c r="N546" s="1730"/>
      <c r="O546" s="1730"/>
      <c r="P546" s="1730"/>
      <c r="Q546" s="1730"/>
      <c r="R546" s="1730"/>
      <c r="S546" s="1730"/>
      <c r="T546" s="1730"/>
      <c r="U546" s="1730"/>
      <c r="V546" s="1730"/>
      <c r="W546" s="1730"/>
      <c r="X546" s="1903">
        <f t="shared" si="149"/>
        <v>0</v>
      </c>
      <c r="Y546" s="1733">
        <f t="shared" si="151"/>
        <v>0</v>
      </c>
      <c r="Z546" s="528"/>
      <c r="AA546" s="1620"/>
      <c r="AB546" s="1616"/>
      <c r="AC546" s="1616"/>
      <c r="AD546" s="1616"/>
      <c r="AE546" s="1616"/>
      <c r="AF546" s="1115">
        <f t="shared" si="150"/>
        <v>0</v>
      </c>
      <c r="AG546" s="1116">
        <f t="shared" si="152"/>
        <v>0</v>
      </c>
      <c r="AH546" s="1116">
        <f t="shared" si="153"/>
        <v>0</v>
      </c>
      <c r="AI546" s="1116">
        <f t="shared" si="154"/>
        <v>0</v>
      </c>
      <c r="AJ546" s="1116">
        <f t="shared" si="155"/>
        <v>0</v>
      </c>
      <c r="AK546" s="1564">
        <f t="shared" si="156"/>
        <v>0</v>
      </c>
      <c r="AL546" s="1565">
        <f t="shared" si="157"/>
        <v>0</v>
      </c>
      <c r="AM546" s="1565">
        <f t="shared" si="158"/>
        <v>0</v>
      </c>
      <c r="AN546" s="1565">
        <f t="shared" si="159"/>
        <v>0</v>
      </c>
      <c r="AO546" s="1631">
        <f t="shared" si="160"/>
        <v>0</v>
      </c>
      <c r="AP546" s="1686"/>
      <c r="AQ546" s="1719">
        <f t="shared" si="161"/>
        <v>0</v>
      </c>
      <c r="AR546" s="1720">
        <f t="shared" si="162"/>
        <v>0</v>
      </c>
      <c r="AS546" s="1665"/>
      <c r="AT546" s="1721">
        <f t="shared" si="163"/>
        <v>0</v>
      </c>
      <c r="AU546" s="1679">
        <f t="shared" si="164"/>
        <v>0</v>
      </c>
      <c r="AV546" s="935"/>
      <c r="AW546" s="935"/>
      <c r="AX546" s="935"/>
      <c r="AY546" s="722"/>
      <c r="AZ546" s="722"/>
      <c r="BA546" s="722"/>
      <c r="BB546" s="722"/>
      <c r="BC546" s="722"/>
      <c r="BD546" s="722"/>
      <c r="BE546" s="706"/>
      <c r="BF546" s="706"/>
      <c r="BG546" s="694"/>
    </row>
    <row r="547" spans="1:59" ht="15.75" x14ac:dyDescent="0.25">
      <c r="A547" s="1883"/>
      <c r="B547" s="1748"/>
      <c r="C547" s="1884"/>
      <c r="D547" s="1884"/>
      <c r="E547" s="1726">
        <f t="shared" si="148"/>
        <v>0</v>
      </c>
      <c r="F547" s="1722"/>
      <c r="G547" s="1741"/>
      <c r="H547" s="1728"/>
      <c r="I547" s="1729"/>
      <c r="J547" s="1729"/>
      <c r="K547" s="1730"/>
      <c r="L547" s="1734">
        <f t="shared" si="165"/>
        <v>0</v>
      </c>
      <c r="M547" s="1735">
        <f t="shared" si="166"/>
        <v>0</v>
      </c>
      <c r="N547" s="1730"/>
      <c r="O547" s="1730"/>
      <c r="P547" s="1730"/>
      <c r="Q547" s="1730"/>
      <c r="R547" s="1730"/>
      <c r="S547" s="1730"/>
      <c r="T547" s="1730"/>
      <c r="U547" s="1730"/>
      <c r="V547" s="1730"/>
      <c r="W547" s="1730"/>
      <c r="X547" s="1903">
        <f t="shared" si="149"/>
        <v>0</v>
      </c>
      <c r="Y547" s="1733">
        <f t="shared" si="151"/>
        <v>0</v>
      </c>
      <c r="Z547" s="528"/>
      <c r="AA547" s="1620"/>
      <c r="AB547" s="1616"/>
      <c r="AC547" s="1616"/>
      <c r="AD547" s="1616"/>
      <c r="AE547" s="1616"/>
      <c r="AF547" s="1115">
        <f t="shared" si="150"/>
        <v>0</v>
      </c>
      <c r="AG547" s="1116">
        <f t="shared" si="152"/>
        <v>0</v>
      </c>
      <c r="AH547" s="1116">
        <f t="shared" si="153"/>
        <v>0</v>
      </c>
      <c r="AI547" s="1116">
        <f t="shared" si="154"/>
        <v>0</v>
      </c>
      <c r="AJ547" s="1116">
        <f t="shared" si="155"/>
        <v>0</v>
      </c>
      <c r="AK547" s="1564">
        <f t="shared" si="156"/>
        <v>0</v>
      </c>
      <c r="AL547" s="1565">
        <f t="shared" si="157"/>
        <v>0</v>
      </c>
      <c r="AM547" s="1565">
        <f t="shared" si="158"/>
        <v>0</v>
      </c>
      <c r="AN547" s="1565">
        <f t="shared" si="159"/>
        <v>0</v>
      </c>
      <c r="AO547" s="1631">
        <f t="shared" si="160"/>
        <v>0</v>
      </c>
      <c r="AP547" s="1686"/>
      <c r="AQ547" s="1719">
        <f t="shared" si="161"/>
        <v>0</v>
      </c>
      <c r="AR547" s="1720">
        <f t="shared" si="162"/>
        <v>0</v>
      </c>
      <c r="AS547" s="1665"/>
      <c r="AT547" s="1721">
        <f t="shared" si="163"/>
        <v>0</v>
      </c>
      <c r="AU547" s="1679">
        <f t="shared" si="164"/>
        <v>0</v>
      </c>
      <c r="AV547" s="935"/>
      <c r="AW547" s="935"/>
      <c r="AX547" s="935"/>
      <c r="AY547" s="722"/>
      <c r="AZ547" s="722"/>
      <c r="BA547" s="722"/>
      <c r="BB547" s="722"/>
      <c r="BC547" s="722"/>
      <c r="BD547" s="722"/>
      <c r="BE547" s="706"/>
      <c r="BF547" s="706"/>
      <c r="BG547" s="694"/>
    </row>
    <row r="548" spans="1:59" ht="15.75" x14ac:dyDescent="0.25">
      <c r="A548" s="1883"/>
      <c r="B548" s="1748"/>
      <c r="C548" s="1884"/>
      <c r="D548" s="1884"/>
      <c r="E548" s="1726">
        <f t="shared" si="148"/>
        <v>0</v>
      </c>
      <c r="F548" s="1722"/>
      <c r="G548" s="1741"/>
      <c r="H548" s="1728"/>
      <c r="I548" s="1729"/>
      <c r="J548" s="1729"/>
      <c r="K548" s="1730"/>
      <c r="L548" s="1734">
        <f t="shared" si="165"/>
        <v>0</v>
      </c>
      <c r="M548" s="1735">
        <f t="shared" si="166"/>
        <v>0</v>
      </c>
      <c r="N548" s="1730"/>
      <c r="O548" s="1730"/>
      <c r="P548" s="1730"/>
      <c r="Q548" s="1730"/>
      <c r="R548" s="1730"/>
      <c r="S548" s="1730"/>
      <c r="T548" s="1730"/>
      <c r="U548" s="1730"/>
      <c r="V548" s="1730"/>
      <c r="W548" s="1730"/>
      <c r="X548" s="1903">
        <f t="shared" si="149"/>
        <v>0</v>
      </c>
      <c r="Y548" s="1733">
        <f t="shared" si="151"/>
        <v>0</v>
      </c>
      <c r="Z548" s="528"/>
      <c r="AA548" s="1620"/>
      <c r="AB548" s="1616"/>
      <c r="AC548" s="1616"/>
      <c r="AD548" s="1616"/>
      <c r="AE548" s="1616"/>
      <c r="AF548" s="1115">
        <f t="shared" si="150"/>
        <v>0</v>
      </c>
      <c r="AG548" s="1116">
        <f t="shared" si="152"/>
        <v>0</v>
      </c>
      <c r="AH548" s="1116">
        <f t="shared" si="153"/>
        <v>0</v>
      </c>
      <c r="AI548" s="1116">
        <f t="shared" si="154"/>
        <v>0</v>
      </c>
      <c r="AJ548" s="1116">
        <f t="shared" si="155"/>
        <v>0</v>
      </c>
      <c r="AK548" s="1564">
        <f t="shared" si="156"/>
        <v>0</v>
      </c>
      <c r="AL548" s="1565">
        <f t="shared" si="157"/>
        <v>0</v>
      </c>
      <c r="AM548" s="1565">
        <f t="shared" si="158"/>
        <v>0</v>
      </c>
      <c r="AN548" s="1565">
        <f t="shared" si="159"/>
        <v>0</v>
      </c>
      <c r="AO548" s="1631">
        <f t="shared" si="160"/>
        <v>0</v>
      </c>
      <c r="AP548" s="1686"/>
      <c r="AQ548" s="1719">
        <f t="shared" si="161"/>
        <v>0</v>
      </c>
      <c r="AR548" s="1720">
        <f t="shared" si="162"/>
        <v>0</v>
      </c>
      <c r="AS548" s="1665"/>
      <c r="AT548" s="1721">
        <f t="shared" si="163"/>
        <v>0</v>
      </c>
      <c r="AU548" s="1679">
        <f t="shared" si="164"/>
        <v>0</v>
      </c>
      <c r="AV548" s="935"/>
      <c r="AW548" s="935"/>
      <c r="AX548" s="935"/>
      <c r="AY548" s="722"/>
      <c r="AZ548" s="722"/>
      <c r="BA548" s="722"/>
      <c r="BB548" s="722"/>
      <c r="BC548" s="722"/>
      <c r="BD548" s="722"/>
      <c r="BE548" s="706"/>
      <c r="BF548" s="706"/>
      <c r="BG548" s="694"/>
    </row>
    <row r="549" spans="1:59" ht="15.75" x14ac:dyDescent="0.25">
      <c r="A549" s="1883"/>
      <c r="B549" s="1748"/>
      <c r="C549" s="1884"/>
      <c r="D549" s="1884"/>
      <c r="E549" s="1726">
        <f t="shared" si="148"/>
        <v>0</v>
      </c>
      <c r="F549" s="1722"/>
      <c r="G549" s="1741"/>
      <c r="H549" s="1728"/>
      <c r="I549" s="1729"/>
      <c r="J549" s="1729"/>
      <c r="K549" s="1730"/>
      <c r="L549" s="1734">
        <f t="shared" si="165"/>
        <v>0</v>
      </c>
      <c r="M549" s="1735">
        <f t="shared" si="166"/>
        <v>0</v>
      </c>
      <c r="N549" s="1730"/>
      <c r="O549" s="1730"/>
      <c r="P549" s="1730"/>
      <c r="Q549" s="1730"/>
      <c r="R549" s="1730"/>
      <c r="S549" s="1730"/>
      <c r="T549" s="1730"/>
      <c r="U549" s="1730"/>
      <c r="V549" s="1730"/>
      <c r="W549" s="1730"/>
      <c r="X549" s="1903">
        <f t="shared" si="149"/>
        <v>0</v>
      </c>
      <c r="Y549" s="1733">
        <f t="shared" si="151"/>
        <v>0</v>
      </c>
      <c r="Z549" s="528"/>
      <c r="AA549" s="1620"/>
      <c r="AB549" s="1616"/>
      <c r="AC549" s="1616"/>
      <c r="AD549" s="1616"/>
      <c r="AE549" s="1616"/>
      <c r="AF549" s="1115">
        <f t="shared" si="150"/>
        <v>0</v>
      </c>
      <c r="AG549" s="1116">
        <f t="shared" si="152"/>
        <v>0</v>
      </c>
      <c r="AH549" s="1116">
        <f t="shared" si="153"/>
        <v>0</v>
      </c>
      <c r="AI549" s="1116">
        <f t="shared" si="154"/>
        <v>0</v>
      </c>
      <c r="AJ549" s="1116">
        <f t="shared" si="155"/>
        <v>0</v>
      </c>
      <c r="AK549" s="1564">
        <f t="shared" si="156"/>
        <v>0</v>
      </c>
      <c r="AL549" s="1565">
        <f t="shared" si="157"/>
        <v>0</v>
      </c>
      <c r="AM549" s="1565">
        <f t="shared" si="158"/>
        <v>0</v>
      </c>
      <c r="AN549" s="1565">
        <f t="shared" si="159"/>
        <v>0</v>
      </c>
      <c r="AO549" s="1631">
        <f t="shared" si="160"/>
        <v>0</v>
      </c>
      <c r="AP549" s="1686"/>
      <c r="AQ549" s="1719">
        <f t="shared" si="161"/>
        <v>0</v>
      </c>
      <c r="AR549" s="1720">
        <f t="shared" si="162"/>
        <v>0</v>
      </c>
      <c r="AS549" s="1665"/>
      <c r="AT549" s="1721">
        <f t="shared" si="163"/>
        <v>0</v>
      </c>
      <c r="AU549" s="1679">
        <f t="shared" si="164"/>
        <v>0</v>
      </c>
      <c r="AV549" s="935"/>
      <c r="AW549" s="935"/>
      <c r="AX549" s="935"/>
      <c r="AY549" s="722"/>
      <c r="AZ549" s="722"/>
      <c r="BA549" s="722"/>
      <c r="BB549" s="722"/>
      <c r="BC549" s="722"/>
      <c r="BD549" s="722"/>
      <c r="BE549" s="706"/>
      <c r="BF549" s="706"/>
      <c r="BG549" s="694"/>
    </row>
    <row r="550" spans="1:59" ht="15.75" x14ac:dyDescent="0.25">
      <c r="A550" s="1883"/>
      <c r="B550" s="1748"/>
      <c r="C550" s="1884"/>
      <c r="D550" s="1884"/>
      <c r="E550" s="1726">
        <f t="shared" si="148"/>
        <v>0</v>
      </c>
      <c r="F550" s="1722"/>
      <c r="G550" s="1741"/>
      <c r="H550" s="1728"/>
      <c r="I550" s="1729"/>
      <c r="J550" s="1729"/>
      <c r="K550" s="1730"/>
      <c r="L550" s="1734">
        <f t="shared" si="165"/>
        <v>0</v>
      </c>
      <c r="M550" s="1735">
        <f t="shared" si="166"/>
        <v>0</v>
      </c>
      <c r="N550" s="1730"/>
      <c r="O550" s="1730"/>
      <c r="P550" s="1730"/>
      <c r="Q550" s="1730"/>
      <c r="R550" s="1730"/>
      <c r="S550" s="1730"/>
      <c r="T550" s="1730"/>
      <c r="U550" s="1730"/>
      <c r="V550" s="1730"/>
      <c r="W550" s="1730"/>
      <c r="X550" s="1903">
        <f t="shared" si="149"/>
        <v>0</v>
      </c>
      <c r="Y550" s="1733">
        <f t="shared" si="151"/>
        <v>0</v>
      </c>
      <c r="Z550" s="528"/>
      <c r="AA550" s="1620"/>
      <c r="AB550" s="1616"/>
      <c r="AC550" s="1616"/>
      <c r="AD550" s="1616"/>
      <c r="AE550" s="1616"/>
      <c r="AF550" s="1115">
        <f t="shared" si="150"/>
        <v>0</v>
      </c>
      <c r="AG550" s="1116">
        <f t="shared" si="152"/>
        <v>0</v>
      </c>
      <c r="AH550" s="1116">
        <f t="shared" si="153"/>
        <v>0</v>
      </c>
      <c r="AI550" s="1116">
        <f t="shared" si="154"/>
        <v>0</v>
      </c>
      <c r="AJ550" s="1116">
        <f t="shared" si="155"/>
        <v>0</v>
      </c>
      <c r="AK550" s="1564">
        <f t="shared" si="156"/>
        <v>0</v>
      </c>
      <c r="AL550" s="1565">
        <f t="shared" si="157"/>
        <v>0</v>
      </c>
      <c r="AM550" s="1565">
        <f t="shared" si="158"/>
        <v>0</v>
      </c>
      <c r="AN550" s="1565">
        <f t="shared" si="159"/>
        <v>0</v>
      </c>
      <c r="AO550" s="1631">
        <f t="shared" si="160"/>
        <v>0</v>
      </c>
      <c r="AP550" s="1686"/>
      <c r="AQ550" s="1719">
        <f t="shared" si="161"/>
        <v>0</v>
      </c>
      <c r="AR550" s="1720">
        <f t="shared" si="162"/>
        <v>0</v>
      </c>
      <c r="AS550" s="1665"/>
      <c r="AT550" s="1721">
        <f t="shared" si="163"/>
        <v>0</v>
      </c>
      <c r="AU550" s="1679">
        <f t="shared" si="164"/>
        <v>0</v>
      </c>
      <c r="AV550" s="935"/>
      <c r="AW550" s="935"/>
      <c r="AX550" s="935"/>
      <c r="AY550" s="722"/>
      <c r="AZ550" s="722"/>
      <c r="BA550" s="722"/>
      <c r="BB550" s="722"/>
      <c r="BC550" s="722"/>
      <c r="BD550" s="722"/>
      <c r="BE550" s="706"/>
      <c r="BF550" s="706"/>
      <c r="BG550" s="694"/>
    </row>
    <row r="551" spans="1:59" ht="15.75" x14ac:dyDescent="0.25">
      <c r="A551" s="1883"/>
      <c r="B551" s="1748"/>
      <c r="C551" s="1884"/>
      <c r="D551" s="1884"/>
      <c r="E551" s="1726">
        <f t="shared" si="148"/>
        <v>0</v>
      </c>
      <c r="F551" s="1722"/>
      <c r="G551" s="1741"/>
      <c r="H551" s="1728"/>
      <c r="I551" s="1729"/>
      <c r="J551" s="1729"/>
      <c r="K551" s="1730"/>
      <c r="L551" s="1734">
        <f t="shared" si="165"/>
        <v>0</v>
      </c>
      <c r="M551" s="1735">
        <f t="shared" si="166"/>
        <v>0</v>
      </c>
      <c r="N551" s="1730"/>
      <c r="O551" s="1730"/>
      <c r="P551" s="1730"/>
      <c r="Q551" s="1730"/>
      <c r="R551" s="1730"/>
      <c r="S551" s="1730"/>
      <c r="T551" s="1730"/>
      <c r="U551" s="1730"/>
      <c r="V551" s="1730"/>
      <c r="W551" s="1730"/>
      <c r="X551" s="1903">
        <f t="shared" si="149"/>
        <v>0</v>
      </c>
      <c r="Y551" s="1733">
        <f t="shared" si="151"/>
        <v>0</v>
      </c>
      <c r="Z551" s="528"/>
      <c r="AA551" s="1620"/>
      <c r="AB551" s="1616"/>
      <c r="AC551" s="1616"/>
      <c r="AD551" s="1616"/>
      <c r="AE551" s="1616"/>
      <c r="AF551" s="1115">
        <f t="shared" si="150"/>
        <v>0</v>
      </c>
      <c r="AG551" s="1116">
        <f t="shared" si="152"/>
        <v>0</v>
      </c>
      <c r="AH551" s="1116">
        <f t="shared" si="153"/>
        <v>0</v>
      </c>
      <c r="AI551" s="1116">
        <f t="shared" si="154"/>
        <v>0</v>
      </c>
      <c r="AJ551" s="1116">
        <f t="shared" si="155"/>
        <v>0</v>
      </c>
      <c r="AK551" s="1564">
        <f t="shared" si="156"/>
        <v>0</v>
      </c>
      <c r="AL551" s="1565">
        <f t="shared" si="157"/>
        <v>0</v>
      </c>
      <c r="AM551" s="1565">
        <f t="shared" si="158"/>
        <v>0</v>
      </c>
      <c r="AN551" s="1565">
        <f t="shared" si="159"/>
        <v>0</v>
      </c>
      <c r="AO551" s="1631">
        <f t="shared" si="160"/>
        <v>0</v>
      </c>
      <c r="AP551" s="1686"/>
      <c r="AQ551" s="1719">
        <f t="shared" si="161"/>
        <v>0</v>
      </c>
      <c r="AR551" s="1720">
        <f t="shared" si="162"/>
        <v>0</v>
      </c>
      <c r="AS551" s="1665"/>
      <c r="AT551" s="1721">
        <f t="shared" si="163"/>
        <v>0</v>
      </c>
      <c r="AU551" s="1679">
        <f t="shared" si="164"/>
        <v>0</v>
      </c>
      <c r="AV551" s="935"/>
      <c r="AW551" s="935"/>
      <c r="AX551" s="935"/>
      <c r="AY551" s="722"/>
      <c r="AZ551" s="722"/>
      <c r="BA551" s="722"/>
      <c r="BB551" s="722"/>
      <c r="BC551" s="722"/>
      <c r="BD551" s="722"/>
      <c r="BE551" s="706"/>
      <c r="BF551" s="706"/>
      <c r="BG551" s="694"/>
    </row>
    <row r="552" spans="1:59" ht="15.75" x14ac:dyDescent="0.25">
      <c r="A552" s="1883"/>
      <c r="B552" s="1748"/>
      <c r="C552" s="1884"/>
      <c r="D552" s="1884"/>
      <c r="E552" s="1726">
        <f t="shared" si="148"/>
        <v>0</v>
      </c>
      <c r="F552" s="1722"/>
      <c r="G552" s="1741"/>
      <c r="H552" s="1728"/>
      <c r="I552" s="1729"/>
      <c r="J552" s="1729"/>
      <c r="K552" s="1730"/>
      <c r="L552" s="1734">
        <f t="shared" si="165"/>
        <v>0</v>
      </c>
      <c r="M552" s="1735">
        <f t="shared" si="166"/>
        <v>0</v>
      </c>
      <c r="N552" s="1730"/>
      <c r="O552" s="1730"/>
      <c r="P552" s="1730"/>
      <c r="Q552" s="1730"/>
      <c r="R552" s="1730"/>
      <c r="S552" s="1730"/>
      <c r="T552" s="1730"/>
      <c r="U552" s="1730"/>
      <c r="V552" s="1730"/>
      <c r="W552" s="1730"/>
      <c r="X552" s="1903">
        <f t="shared" si="149"/>
        <v>0</v>
      </c>
      <c r="Y552" s="1733">
        <f t="shared" si="151"/>
        <v>0</v>
      </c>
      <c r="Z552" s="528"/>
      <c r="AA552" s="1620"/>
      <c r="AB552" s="1616"/>
      <c r="AC552" s="1616"/>
      <c r="AD552" s="1616"/>
      <c r="AE552" s="1616"/>
      <c r="AF552" s="1115">
        <f t="shared" si="150"/>
        <v>0</v>
      </c>
      <c r="AG552" s="1116">
        <f t="shared" si="152"/>
        <v>0</v>
      </c>
      <c r="AH552" s="1116">
        <f t="shared" si="153"/>
        <v>0</v>
      </c>
      <c r="AI552" s="1116">
        <f t="shared" si="154"/>
        <v>0</v>
      </c>
      <c r="AJ552" s="1116">
        <f t="shared" si="155"/>
        <v>0</v>
      </c>
      <c r="AK552" s="1564">
        <f t="shared" si="156"/>
        <v>0</v>
      </c>
      <c r="AL552" s="1565">
        <f t="shared" si="157"/>
        <v>0</v>
      </c>
      <c r="AM552" s="1565">
        <f t="shared" si="158"/>
        <v>0</v>
      </c>
      <c r="AN552" s="1565">
        <f t="shared" si="159"/>
        <v>0</v>
      </c>
      <c r="AO552" s="1631">
        <f t="shared" si="160"/>
        <v>0</v>
      </c>
      <c r="AP552" s="1686"/>
      <c r="AQ552" s="1719">
        <f t="shared" si="161"/>
        <v>0</v>
      </c>
      <c r="AR552" s="1720">
        <f t="shared" si="162"/>
        <v>0</v>
      </c>
      <c r="AS552" s="1665"/>
      <c r="AT552" s="1721">
        <f t="shared" si="163"/>
        <v>0</v>
      </c>
      <c r="AU552" s="1679">
        <f t="shared" si="164"/>
        <v>0</v>
      </c>
      <c r="AV552" s="935"/>
      <c r="AW552" s="935"/>
      <c r="AX552" s="935"/>
      <c r="AY552" s="722"/>
      <c r="AZ552" s="722"/>
      <c r="BA552" s="722"/>
      <c r="BB552" s="722"/>
      <c r="BC552" s="722"/>
      <c r="BD552" s="722"/>
      <c r="BE552" s="706"/>
      <c r="BF552" s="706"/>
      <c r="BG552" s="694"/>
    </row>
    <row r="553" spans="1:59" ht="15.75" x14ac:dyDescent="0.25">
      <c r="A553" s="1883"/>
      <c r="B553" s="1748"/>
      <c r="C553" s="1884"/>
      <c r="D553" s="1884"/>
      <c r="E553" s="1726">
        <f t="shared" si="148"/>
        <v>0</v>
      </c>
      <c r="F553" s="1722"/>
      <c r="G553" s="1741"/>
      <c r="H553" s="1728"/>
      <c r="I553" s="1729"/>
      <c r="J553" s="1729"/>
      <c r="K553" s="1730"/>
      <c r="L553" s="1734">
        <f t="shared" si="165"/>
        <v>0</v>
      </c>
      <c r="M553" s="1735">
        <f t="shared" si="166"/>
        <v>0</v>
      </c>
      <c r="N553" s="1730"/>
      <c r="O553" s="1730"/>
      <c r="P553" s="1730"/>
      <c r="Q553" s="1730"/>
      <c r="R553" s="1730"/>
      <c r="S553" s="1730"/>
      <c r="T553" s="1730"/>
      <c r="U553" s="1730"/>
      <c r="V553" s="1730"/>
      <c r="W553" s="1730"/>
      <c r="X553" s="1903">
        <f t="shared" si="149"/>
        <v>0</v>
      </c>
      <c r="Y553" s="1733">
        <f t="shared" si="151"/>
        <v>0</v>
      </c>
      <c r="Z553" s="528"/>
      <c r="AA553" s="1620"/>
      <c r="AB553" s="1616"/>
      <c r="AC553" s="1616"/>
      <c r="AD553" s="1616"/>
      <c r="AE553" s="1616"/>
      <c r="AF553" s="1115">
        <f t="shared" si="150"/>
        <v>0</v>
      </c>
      <c r="AG553" s="1116">
        <f t="shared" si="152"/>
        <v>0</v>
      </c>
      <c r="AH553" s="1116">
        <f t="shared" si="153"/>
        <v>0</v>
      </c>
      <c r="AI553" s="1116">
        <f t="shared" si="154"/>
        <v>0</v>
      </c>
      <c r="AJ553" s="1116">
        <f t="shared" si="155"/>
        <v>0</v>
      </c>
      <c r="AK553" s="1564">
        <f t="shared" si="156"/>
        <v>0</v>
      </c>
      <c r="AL553" s="1565">
        <f t="shared" si="157"/>
        <v>0</v>
      </c>
      <c r="AM553" s="1565">
        <f t="shared" si="158"/>
        <v>0</v>
      </c>
      <c r="AN553" s="1565">
        <f t="shared" si="159"/>
        <v>0</v>
      </c>
      <c r="AO553" s="1631">
        <f t="shared" si="160"/>
        <v>0</v>
      </c>
      <c r="AP553" s="1686"/>
      <c r="AQ553" s="1719">
        <f t="shared" si="161"/>
        <v>0</v>
      </c>
      <c r="AR553" s="1720">
        <f t="shared" si="162"/>
        <v>0</v>
      </c>
      <c r="AS553" s="1665"/>
      <c r="AT553" s="1721">
        <f t="shared" si="163"/>
        <v>0</v>
      </c>
      <c r="AU553" s="1679">
        <f t="shared" si="164"/>
        <v>0</v>
      </c>
      <c r="AV553" s="935"/>
      <c r="AW553" s="935"/>
      <c r="AX553" s="935"/>
      <c r="AY553" s="722"/>
      <c r="AZ553" s="722"/>
      <c r="BA553" s="722"/>
      <c r="BB553" s="722"/>
      <c r="BC553" s="722"/>
      <c r="BD553" s="722"/>
      <c r="BE553" s="706"/>
      <c r="BF553" s="706"/>
      <c r="BG553" s="694"/>
    </row>
    <row r="554" spans="1:59" ht="15.75" x14ac:dyDescent="0.25">
      <c r="A554" s="1883"/>
      <c r="B554" s="1748"/>
      <c r="C554" s="1884"/>
      <c r="D554" s="1884"/>
      <c r="E554" s="1726">
        <f t="shared" si="148"/>
        <v>0</v>
      </c>
      <c r="F554" s="1722"/>
      <c r="G554" s="1741"/>
      <c r="H554" s="1728"/>
      <c r="I554" s="1729"/>
      <c r="J554" s="1729"/>
      <c r="K554" s="1730"/>
      <c r="L554" s="1734">
        <f t="shared" si="165"/>
        <v>0</v>
      </c>
      <c r="M554" s="1735">
        <f t="shared" si="166"/>
        <v>0</v>
      </c>
      <c r="N554" s="1730"/>
      <c r="O554" s="1730"/>
      <c r="P554" s="1730"/>
      <c r="Q554" s="1730"/>
      <c r="R554" s="1730"/>
      <c r="S554" s="1730"/>
      <c r="T554" s="1730"/>
      <c r="U554" s="1730"/>
      <c r="V554" s="1730"/>
      <c r="W554" s="1730"/>
      <c r="X554" s="1903">
        <f t="shared" si="149"/>
        <v>0</v>
      </c>
      <c r="Y554" s="1733">
        <f t="shared" si="151"/>
        <v>0</v>
      </c>
      <c r="Z554" s="528"/>
      <c r="AA554" s="1620"/>
      <c r="AB554" s="1616"/>
      <c r="AC554" s="1616"/>
      <c r="AD554" s="1616"/>
      <c r="AE554" s="1616"/>
      <c r="AF554" s="1115">
        <f t="shared" si="150"/>
        <v>0</v>
      </c>
      <c r="AG554" s="1116">
        <f t="shared" si="152"/>
        <v>0</v>
      </c>
      <c r="AH554" s="1116">
        <f t="shared" si="153"/>
        <v>0</v>
      </c>
      <c r="AI554" s="1116">
        <f t="shared" si="154"/>
        <v>0</v>
      </c>
      <c r="AJ554" s="1116">
        <f t="shared" si="155"/>
        <v>0</v>
      </c>
      <c r="AK554" s="1564">
        <f t="shared" si="156"/>
        <v>0</v>
      </c>
      <c r="AL554" s="1565">
        <f t="shared" si="157"/>
        <v>0</v>
      </c>
      <c r="AM554" s="1565">
        <f t="shared" si="158"/>
        <v>0</v>
      </c>
      <c r="AN554" s="1565">
        <f t="shared" si="159"/>
        <v>0</v>
      </c>
      <c r="AO554" s="1631">
        <f t="shared" si="160"/>
        <v>0</v>
      </c>
      <c r="AP554" s="1686"/>
      <c r="AQ554" s="1719">
        <f t="shared" si="161"/>
        <v>0</v>
      </c>
      <c r="AR554" s="1720">
        <f t="shared" si="162"/>
        <v>0</v>
      </c>
      <c r="AS554" s="1665"/>
      <c r="AT554" s="1721">
        <f t="shared" si="163"/>
        <v>0</v>
      </c>
      <c r="AU554" s="1679">
        <f t="shared" si="164"/>
        <v>0</v>
      </c>
      <c r="AV554" s="935"/>
      <c r="AW554" s="935"/>
      <c r="AX554" s="935"/>
      <c r="AY554" s="722"/>
      <c r="AZ554" s="722"/>
      <c r="BA554" s="722"/>
      <c r="BB554" s="722"/>
      <c r="BC554" s="722"/>
      <c r="BD554" s="722"/>
      <c r="BE554" s="706"/>
      <c r="BF554" s="706"/>
      <c r="BG554" s="694"/>
    </row>
    <row r="555" spans="1:59" ht="15.75" x14ac:dyDescent="0.25">
      <c r="A555" s="1883"/>
      <c r="B555" s="1748"/>
      <c r="C555" s="1884"/>
      <c r="D555" s="1884"/>
      <c r="E555" s="1726">
        <f t="shared" si="148"/>
        <v>0</v>
      </c>
      <c r="F555" s="1722"/>
      <c r="G555" s="1741"/>
      <c r="H555" s="1728"/>
      <c r="I555" s="1729"/>
      <c r="J555" s="1729"/>
      <c r="K555" s="1730"/>
      <c r="L555" s="1734">
        <f t="shared" si="165"/>
        <v>0</v>
      </c>
      <c r="M555" s="1735">
        <f t="shared" si="166"/>
        <v>0</v>
      </c>
      <c r="N555" s="1730"/>
      <c r="O555" s="1730"/>
      <c r="P555" s="1730"/>
      <c r="Q555" s="1730"/>
      <c r="R555" s="1730"/>
      <c r="S555" s="1730"/>
      <c r="T555" s="1730"/>
      <c r="U555" s="1730"/>
      <c r="V555" s="1730"/>
      <c r="W555" s="1730"/>
      <c r="X555" s="1903">
        <f t="shared" si="149"/>
        <v>0</v>
      </c>
      <c r="Y555" s="1733">
        <f t="shared" si="151"/>
        <v>0</v>
      </c>
      <c r="Z555" s="528"/>
      <c r="AA555" s="1620"/>
      <c r="AB555" s="1616"/>
      <c r="AC555" s="1616"/>
      <c r="AD555" s="1616"/>
      <c r="AE555" s="1616"/>
      <c r="AF555" s="1115">
        <f t="shared" si="150"/>
        <v>0</v>
      </c>
      <c r="AG555" s="1116">
        <f t="shared" si="152"/>
        <v>0</v>
      </c>
      <c r="AH555" s="1116">
        <f t="shared" si="153"/>
        <v>0</v>
      </c>
      <c r="AI555" s="1116">
        <f t="shared" si="154"/>
        <v>0</v>
      </c>
      <c r="AJ555" s="1116">
        <f t="shared" si="155"/>
        <v>0</v>
      </c>
      <c r="AK555" s="1564">
        <f t="shared" si="156"/>
        <v>0</v>
      </c>
      <c r="AL555" s="1565">
        <f t="shared" si="157"/>
        <v>0</v>
      </c>
      <c r="AM555" s="1565">
        <f t="shared" si="158"/>
        <v>0</v>
      </c>
      <c r="AN555" s="1565">
        <f t="shared" si="159"/>
        <v>0</v>
      </c>
      <c r="AO555" s="1631">
        <f t="shared" si="160"/>
        <v>0</v>
      </c>
      <c r="AP555" s="1686"/>
      <c r="AQ555" s="1719">
        <f t="shared" si="161"/>
        <v>0</v>
      </c>
      <c r="AR555" s="1720">
        <f t="shared" si="162"/>
        <v>0</v>
      </c>
      <c r="AS555" s="1665"/>
      <c r="AT555" s="1721">
        <f t="shared" si="163"/>
        <v>0</v>
      </c>
      <c r="AU555" s="1679">
        <f t="shared" si="164"/>
        <v>0</v>
      </c>
      <c r="AV555" s="935"/>
      <c r="AW555" s="935"/>
      <c r="AX555" s="935"/>
      <c r="AY555" s="722"/>
      <c r="AZ555" s="722"/>
      <c r="BA555" s="722"/>
      <c r="BB555" s="722"/>
      <c r="BC555" s="722"/>
      <c r="BD555" s="722"/>
      <c r="BE555" s="706"/>
      <c r="BF555" s="706"/>
      <c r="BG555" s="694"/>
    </row>
    <row r="556" spans="1:59" ht="15.75" x14ac:dyDescent="0.25">
      <c r="A556" s="1883"/>
      <c r="B556" s="1748"/>
      <c r="C556" s="1884"/>
      <c r="D556" s="1884"/>
      <c r="E556" s="1726">
        <f t="shared" si="148"/>
        <v>0</v>
      </c>
      <c r="F556" s="1722"/>
      <c r="G556" s="1741"/>
      <c r="H556" s="1728"/>
      <c r="I556" s="1729"/>
      <c r="J556" s="1729"/>
      <c r="K556" s="1730"/>
      <c r="L556" s="1734">
        <f t="shared" si="165"/>
        <v>0</v>
      </c>
      <c r="M556" s="1735">
        <f t="shared" si="166"/>
        <v>0</v>
      </c>
      <c r="N556" s="1730"/>
      <c r="O556" s="1730"/>
      <c r="P556" s="1730"/>
      <c r="Q556" s="1730"/>
      <c r="R556" s="1730"/>
      <c r="S556" s="1730"/>
      <c r="T556" s="1730"/>
      <c r="U556" s="1730"/>
      <c r="V556" s="1730"/>
      <c r="W556" s="1730"/>
      <c r="X556" s="1903">
        <f t="shared" si="149"/>
        <v>0</v>
      </c>
      <c r="Y556" s="1733">
        <f t="shared" si="151"/>
        <v>0</v>
      </c>
      <c r="Z556" s="528"/>
      <c r="AA556" s="1620"/>
      <c r="AB556" s="1616"/>
      <c r="AC556" s="1616"/>
      <c r="AD556" s="1616"/>
      <c r="AE556" s="1616"/>
      <c r="AF556" s="1115">
        <f t="shared" si="150"/>
        <v>0</v>
      </c>
      <c r="AG556" s="1116">
        <f t="shared" si="152"/>
        <v>0</v>
      </c>
      <c r="AH556" s="1116">
        <f t="shared" si="153"/>
        <v>0</v>
      </c>
      <c r="AI556" s="1116">
        <f t="shared" si="154"/>
        <v>0</v>
      </c>
      <c r="AJ556" s="1116">
        <f t="shared" si="155"/>
        <v>0</v>
      </c>
      <c r="AK556" s="1564">
        <f t="shared" si="156"/>
        <v>0</v>
      </c>
      <c r="AL556" s="1565">
        <f t="shared" si="157"/>
        <v>0</v>
      </c>
      <c r="AM556" s="1565">
        <f t="shared" si="158"/>
        <v>0</v>
      </c>
      <c r="AN556" s="1565">
        <f t="shared" si="159"/>
        <v>0</v>
      </c>
      <c r="AO556" s="1631">
        <f t="shared" si="160"/>
        <v>0</v>
      </c>
      <c r="AP556" s="1686"/>
      <c r="AQ556" s="1719">
        <f t="shared" si="161"/>
        <v>0</v>
      </c>
      <c r="AR556" s="1720">
        <f t="shared" si="162"/>
        <v>0</v>
      </c>
      <c r="AS556" s="1665"/>
      <c r="AT556" s="1721">
        <f t="shared" si="163"/>
        <v>0</v>
      </c>
      <c r="AU556" s="1679">
        <f t="shared" si="164"/>
        <v>0</v>
      </c>
      <c r="AV556" s="935"/>
      <c r="AW556" s="935"/>
      <c r="AX556" s="935"/>
      <c r="AY556" s="722"/>
      <c r="AZ556" s="722"/>
      <c r="BA556" s="722"/>
      <c r="BB556" s="722"/>
      <c r="BC556" s="722"/>
      <c r="BD556" s="722"/>
      <c r="BE556" s="706"/>
      <c r="BF556" s="706"/>
      <c r="BG556" s="694"/>
    </row>
    <row r="557" spans="1:59" ht="15.75" x14ac:dyDescent="0.25">
      <c r="A557" s="1883"/>
      <c r="B557" s="1748"/>
      <c r="C557" s="1884"/>
      <c r="D557" s="1884"/>
      <c r="E557" s="1726">
        <f t="shared" si="148"/>
        <v>0</v>
      </c>
      <c r="F557" s="1722"/>
      <c r="G557" s="1741"/>
      <c r="H557" s="1728"/>
      <c r="I557" s="1729"/>
      <c r="J557" s="1729"/>
      <c r="K557" s="1730"/>
      <c r="L557" s="1734">
        <f t="shared" si="165"/>
        <v>0</v>
      </c>
      <c r="M557" s="1735">
        <f t="shared" si="166"/>
        <v>0</v>
      </c>
      <c r="N557" s="1730"/>
      <c r="O557" s="1730"/>
      <c r="P557" s="1730"/>
      <c r="Q557" s="1730"/>
      <c r="R557" s="1730"/>
      <c r="S557" s="1730"/>
      <c r="T557" s="1730"/>
      <c r="U557" s="1730"/>
      <c r="V557" s="1730"/>
      <c r="W557" s="1730"/>
      <c r="X557" s="1903">
        <f t="shared" si="149"/>
        <v>0</v>
      </c>
      <c r="Y557" s="1733">
        <f t="shared" si="151"/>
        <v>0</v>
      </c>
      <c r="Z557" s="528"/>
      <c r="AA557" s="1620"/>
      <c r="AB557" s="1616"/>
      <c r="AC557" s="1616"/>
      <c r="AD557" s="1616"/>
      <c r="AE557" s="1616"/>
      <c r="AF557" s="1115">
        <f t="shared" si="150"/>
        <v>0</v>
      </c>
      <c r="AG557" s="1116">
        <f t="shared" si="152"/>
        <v>0</v>
      </c>
      <c r="AH557" s="1116">
        <f t="shared" si="153"/>
        <v>0</v>
      </c>
      <c r="AI557" s="1116">
        <f t="shared" si="154"/>
        <v>0</v>
      </c>
      <c r="AJ557" s="1116">
        <f t="shared" si="155"/>
        <v>0</v>
      </c>
      <c r="AK557" s="1564">
        <f t="shared" si="156"/>
        <v>0</v>
      </c>
      <c r="AL557" s="1565">
        <f t="shared" si="157"/>
        <v>0</v>
      </c>
      <c r="AM557" s="1565">
        <f t="shared" si="158"/>
        <v>0</v>
      </c>
      <c r="AN557" s="1565">
        <f t="shared" si="159"/>
        <v>0</v>
      </c>
      <c r="AO557" s="1631">
        <f t="shared" si="160"/>
        <v>0</v>
      </c>
      <c r="AP557" s="1686"/>
      <c r="AQ557" s="1719">
        <f t="shared" si="161"/>
        <v>0</v>
      </c>
      <c r="AR557" s="1720">
        <f t="shared" si="162"/>
        <v>0</v>
      </c>
      <c r="AS557" s="1665"/>
      <c r="AT557" s="1721">
        <f t="shared" si="163"/>
        <v>0</v>
      </c>
      <c r="AU557" s="1679">
        <f t="shared" si="164"/>
        <v>0</v>
      </c>
      <c r="AV557" s="935"/>
      <c r="AW557" s="935"/>
      <c r="AX557" s="935"/>
      <c r="AY557" s="722"/>
      <c r="AZ557" s="722"/>
      <c r="BA557" s="722"/>
      <c r="BB557" s="722"/>
      <c r="BC557" s="722"/>
      <c r="BD557" s="722"/>
      <c r="BE557" s="706"/>
      <c r="BF557" s="706"/>
      <c r="BG557" s="694"/>
    </row>
    <row r="558" spans="1:59" ht="15.75" x14ac:dyDescent="0.25">
      <c r="A558" s="1883"/>
      <c r="B558" s="1748"/>
      <c r="C558" s="1884"/>
      <c r="D558" s="1884"/>
      <c r="E558" s="1726">
        <f t="shared" si="148"/>
        <v>0</v>
      </c>
      <c r="F558" s="1722"/>
      <c r="G558" s="1741"/>
      <c r="H558" s="1728"/>
      <c r="I558" s="1729"/>
      <c r="J558" s="1729"/>
      <c r="K558" s="1730"/>
      <c r="L558" s="1734">
        <f t="shared" si="165"/>
        <v>0</v>
      </c>
      <c r="M558" s="1735">
        <f t="shared" si="166"/>
        <v>0</v>
      </c>
      <c r="N558" s="1730"/>
      <c r="O558" s="1730"/>
      <c r="P558" s="1730"/>
      <c r="Q558" s="1730"/>
      <c r="R558" s="1730"/>
      <c r="S558" s="1730"/>
      <c r="T558" s="1730"/>
      <c r="U558" s="1730"/>
      <c r="V558" s="1730"/>
      <c r="W558" s="1730"/>
      <c r="X558" s="1903">
        <f t="shared" si="149"/>
        <v>0</v>
      </c>
      <c r="Y558" s="1733">
        <f t="shared" si="151"/>
        <v>0</v>
      </c>
      <c r="Z558" s="528"/>
      <c r="AA558" s="1620"/>
      <c r="AB558" s="1616"/>
      <c r="AC558" s="1616"/>
      <c r="AD558" s="1616"/>
      <c r="AE558" s="1616"/>
      <c r="AF558" s="1115">
        <f t="shared" si="150"/>
        <v>0</v>
      </c>
      <c r="AG558" s="1116">
        <f t="shared" si="152"/>
        <v>0</v>
      </c>
      <c r="AH558" s="1116">
        <f t="shared" si="153"/>
        <v>0</v>
      </c>
      <c r="AI558" s="1116">
        <f t="shared" si="154"/>
        <v>0</v>
      </c>
      <c r="AJ558" s="1116">
        <f t="shared" si="155"/>
        <v>0</v>
      </c>
      <c r="AK558" s="1564">
        <f t="shared" si="156"/>
        <v>0</v>
      </c>
      <c r="AL558" s="1565">
        <f t="shared" si="157"/>
        <v>0</v>
      </c>
      <c r="AM558" s="1565">
        <f t="shared" si="158"/>
        <v>0</v>
      </c>
      <c r="AN558" s="1565">
        <f t="shared" si="159"/>
        <v>0</v>
      </c>
      <c r="AO558" s="1631">
        <f t="shared" si="160"/>
        <v>0</v>
      </c>
      <c r="AP558" s="1686"/>
      <c r="AQ558" s="1719">
        <f t="shared" si="161"/>
        <v>0</v>
      </c>
      <c r="AR558" s="1720">
        <f t="shared" si="162"/>
        <v>0</v>
      </c>
      <c r="AS558" s="1665"/>
      <c r="AT558" s="1721">
        <f t="shared" si="163"/>
        <v>0</v>
      </c>
      <c r="AU558" s="1679">
        <f t="shared" si="164"/>
        <v>0</v>
      </c>
      <c r="AV558" s="935"/>
      <c r="AW558" s="935"/>
      <c r="AX558" s="935"/>
      <c r="AY558" s="722"/>
      <c r="AZ558" s="722"/>
      <c r="BA558" s="722"/>
      <c r="BB558" s="722"/>
      <c r="BC558" s="722"/>
      <c r="BD558" s="722"/>
      <c r="BE558" s="706"/>
      <c r="BF558" s="706"/>
      <c r="BG558" s="694"/>
    </row>
    <row r="559" spans="1:59" ht="15.75" x14ac:dyDescent="0.25">
      <c r="A559" s="1883"/>
      <c r="B559" s="1748"/>
      <c r="C559" s="1884"/>
      <c r="D559" s="1884"/>
      <c r="E559" s="1726">
        <f t="shared" si="148"/>
        <v>0</v>
      </c>
      <c r="F559" s="1722"/>
      <c r="G559" s="1741"/>
      <c r="H559" s="1728"/>
      <c r="I559" s="1729"/>
      <c r="J559" s="1729"/>
      <c r="K559" s="1730"/>
      <c r="L559" s="1734">
        <f t="shared" si="165"/>
        <v>0</v>
      </c>
      <c r="M559" s="1735">
        <f t="shared" si="166"/>
        <v>0</v>
      </c>
      <c r="N559" s="1730"/>
      <c r="O559" s="1730"/>
      <c r="P559" s="1730"/>
      <c r="Q559" s="1730"/>
      <c r="R559" s="1730"/>
      <c r="S559" s="1730"/>
      <c r="T559" s="1730"/>
      <c r="U559" s="1730"/>
      <c r="V559" s="1730"/>
      <c r="W559" s="1730"/>
      <c r="X559" s="1903">
        <f t="shared" si="149"/>
        <v>0</v>
      </c>
      <c r="Y559" s="1733">
        <f t="shared" si="151"/>
        <v>0</v>
      </c>
      <c r="Z559" s="528"/>
      <c r="AA559" s="1620"/>
      <c r="AB559" s="1616"/>
      <c r="AC559" s="1616"/>
      <c r="AD559" s="1616"/>
      <c r="AE559" s="1616"/>
      <c r="AF559" s="1115">
        <f t="shared" si="150"/>
        <v>0</v>
      </c>
      <c r="AG559" s="1116">
        <f t="shared" si="152"/>
        <v>0</v>
      </c>
      <c r="AH559" s="1116">
        <f t="shared" si="153"/>
        <v>0</v>
      </c>
      <c r="AI559" s="1116">
        <f t="shared" si="154"/>
        <v>0</v>
      </c>
      <c r="AJ559" s="1116">
        <f t="shared" si="155"/>
        <v>0</v>
      </c>
      <c r="AK559" s="1564">
        <f t="shared" si="156"/>
        <v>0</v>
      </c>
      <c r="AL559" s="1565">
        <f t="shared" si="157"/>
        <v>0</v>
      </c>
      <c r="AM559" s="1565">
        <f t="shared" si="158"/>
        <v>0</v>
      </c>
      <c r="AN559" s="1565">
        <f t="shared" si="159"/>
        <v>0</v>
      </c>
      <c r="AO559" s="1631">
        <f t="shared" si="160"/>
        <v>0</v>
      </c>
      <c r="AP559" s="1686"/>
      <c r="AQ559" s="1719">
        <f t="shared" si="161"/>
        <v>0</v>
      </c>
      <c r="AR559" s="1720">
        <f t="shared" si="162"/>
        <v>0</v>
      </c>
      <c r="AS559" s="1665"/>
      <c r="AT559" s="1721">
        <f t="shared" si="163"/>
        <v>0</v>
      </c>
      <c r="AU559" s="1679">
        <f t="shared" si="164"/>
        <v>0</v>
      </c>
      <c r="AV559" s="935"/>
      <c r="AW559" s="935"/>
      <c r="AX559" s="935"/>
      <c r="AY559" s="722"/>
      <c r="AZ559" s="722"/>
      <c r="BA559" s="722"/>
      <c r="BB559" s="722"/>
      <c r="BC559" s="722"/>
      <c r="BD559" s="722"/>
      <c r="BE559" s="706"/>
      <c r="BF559" s="706"/>
      <c r="BG559" s="694"/>
    </row>
    <row r="560" spans="1:59" ht="15.75" x14ac:dyDescent="0.25">
      <c r="A560" s="1883"/>
      <c r="B560" s="1748"/>
      <c r="C560" s="1884"/>
      <c r="D560" s="1884"/>
      <c r="E560" s="1726">
        <f t="shared" si="148"/>
        <v>0</v>
      </c>
      <c r="F560" s="1722"/>
      <c r="G560" s="1741"/>
      <c r="H560" s="1728"/>
      <c r="I560" s="1729"/>
      <c r="J560" s="1729"/>
      <c r="K560" s="1730"/>
      <c r="L560" s="1734">
        <f t="shared" si="165"/>
        <v>0</v>
      </c>
      <c r="M560" s="1735">
        <f t="shared" si="166"/>
        <v>0</v>
      </c>
      <c r="N560" s="1730"/>
      <c r="O560" s="1730"/>
      <c r="P560" s="1730"/>
      <c r="Q560" s="1730"/>
      <c r="R560" s="1730"/>
      <c r="S560" s="1730"/>
      <c r="T560" s="1730"/>
      <c r="U560" s="1730"/>
      <c r="V560" s="1730"/>
      <c r="W560" s="1730"/>
      <c r="X560" s="1903">
        <f t="shared" si="149"/>
        <v>0</v>
      </c>
      <c r="Y560" s="1733">
        <f t="shared" si="151"/>
        <v>0</v>
      </c>
      <c r="Z560" s="528"/>
      <c r="AA560" s="1620"/>
      <c r="AB560" s="1616"/>
      <c r="AC560" s="1616"/>
      <c r="AD560" s="1616"/>
      <c r="AE560" s="1616"/>
      <c r="AF560" s="1115">
        <f t="shared" si="150"/>
        <v>0</v>
      </c>
      <c r="AG560" s="1116">
        <f t="shared" si="152"/>
        <v>0</v>
      </c>
      <c r="AH560" s="1116">
        <f t="shared" si="153"/>
        <v>0</v>
      </c>
      <c r="AI560" s="1116">
        <f t="shared" si="154"/>
        <v>0</v>
      </c>
      <c r="AJ560" s="1116">
        <f t="shared" si="155"/>
        <v>0</v>
      </c>
      <c r="AK560" s="1564">
        <f t="shared" si="156"/>
        <v>0</v>
      </c>
      <c r="AL560" s="1565">
        <f t="shared" si="157"/>
        <v>0</v>
      </c>
      <c r="AM560" s="1565">
        <f t="shared" si="158"/>
        <v>0</v>
      </c>
      <c r="AN560" s="1565">
        <f t="shared" si="159"/>
        <v>0</v>
      </c>
      <c r="AO560" s="1631">
        <f t="shared" si="160"/>
        <v>0</v>
      </c>
      <c r="AP560" s="1686"/>
      <c r="AQ560" s="1719">
        <f t="shared" si="161"/>
        <v>0</v>
      </c>
      <c r="AR560" s="1720">
        <f t="shared" si="162"/>
        <v>0</v>
      </c>
      <c r="AS560" s="1665"/>
      <c r="AT560" s="1721">
        <f t="shared" si="163"/>
        <v>0</v>
      </c>
      <c r="AU560" s="1679">
        <f t="shared" si="164"/>
        <v>0</v>
      </c>
      <c r="AV560" s="935"/>
      <c r="AW560" s="935"/>
      <c r="AX560" s="935"/>
      <c r="AY560" s="722"/>
      <c r="AZ560" s="722"/>
      <c r="BA560" s="722"/>
      <c r="BB560" s="722"/>
      <c r="BC560" s="722"/>
      <c r="BD560" s="722"/>
      <c r="BE560" s="706"/>
      <c r="BF560" s="706"/>
      <c r="BG560" s="694"/>
    </row>
    <row r="561" spans="1:64" ht="15.75" x14ac:dyDescent="0.25">
      <c r="A561" s="1883"/>
      <c r="B561" s="1748"/>
      <c r="C561" s="1884"/>
      <c r="D561" s="1884"/>
      <c r="E561" s="1726">
        <f t="shared" si="148"/>
        <v>0</v>
      </c>
      <c r="F561" s="1722"/>
      <c r="G561" s="1741"/>
      <c r="H561" s="1728"/>
      <c r="I561" s="1729"/>
      <c r="J561" s="1729"/>
      <c r="K561" s="1730"/>
      <c r="L561" s="1734">
        <f t="shared" si="165"/>
        <v>0</v>
      </c>
      <c r="M561" s="1735">
        <f t="shared" si="166"/>
        <v>0</v>
      </c>
      <c r="N561" s="1730"/>
      <c r="O561" s="1730"/>
      <c r="P561" s="1730"/>
      <c r="Q561" s="1730"/>
      <c r="R561" s="1730"/>
      <c r="S561" s="1730"/>
      <c r="T561" s="1730"/>
      <c r="U561" s="1730"/>
      <c r="V561" s="1730"/>
      <c r="W561" s="1730"/>
      <c r="X561" s="1903">
        <f t="shared" si="149"/>
        <v>0</v>
      </c>
      <c r="Y561" s="1733">
        <f t="shared" si="151"/>
        <v>0</v>
      </c>
      <c r="Z561" s="528"/>
      <c r="AA561" s="1620"/>
      <c r="AB561" s="1616"/>
      <c r="AC561" s="1616"/>
      <c r="AD561" s="1616"/>
      <c r="AE561" s="1616"/>
      <c r="AF561" s="1115">
        <f t="shared" si="150"/>
        <v>0</v>
      </c>
      <c r="AG561" s="1116">
        <f t="shared" si="152"/>
        <v>0</v>
      </c>
      <c r="AH561" s="1116">
        <f t="shared" si="153"/>
        <v>0</v>
      </c>
      <c r="AI561" s="1116">
        <f t="shared" si="154"/>
        <v>0</v>
      </c>
      <c r="AJ561" s="1116">
        <f t="shared" si="155"/>
        <v>0</v>
      </c>
      <c r="AK561" s="1564">
        <f t="shared" si="156"/>
        <v>0</v>
      </c>
      <c r="AL561" s="1565">
        <f t="shared" si="157"/>
        <v>0</v>
      </c>
      <c r="AM561" s="1565">
        <f t="shared" si="158"/>
        <v>0</v>
      </c>
      <c r="AN561" s="1565">
        <f t="shared" si="159"/>
        <v>0</v>
      </c>
      <c r="AO561" s="1631">
        <f t="shared" si="160"/>
        <v>0</v>
      </c>
      <c r="AP561" s="1686"/>
      <c r="AQ561" s="1719">
        <f t="shared" si="161"/>
        <v>0</v>
      </c>
      <c r="AR561" s="1720">
        <f t="shared" si="162"/>
        <v>0</v>
      </c>
      <c r="AS561" s="1665"/>
      <c r="AT561" s="1721">
        <f t="shared" si="163"/>
        <v>0</v>
      </c>
      <c r="AU561" s="1679">
        <f t="shared" si="164"/>
        <v>0</v>
      </c>
      <c r="AV561" s="935"/>
      <c r="AW561" s="935"/>
      <c r="AX561" s="935"/>
      <c r="AY561" s="722"/>
      <c r="AZ561" s="722"/>
      <c r="BA561" s="722"/>
      <c r="BB561" s="722"/>
      <c r="BC561" s="722"/>
      <c r="BD561" s="722"/>
      <c r="BE561" s="706"/>
      <c r="BF561" s="706"/>
      <c r="BG561" s="694"/>
    </row>
    <row r="562" spans="1:64" ht="15.75" x14ac:dyDescent="0.25">
      <c r="A562" s="1883"/>
      <c r="B562" s="1748"/>
      <c r="C562" s="1884"/>
      <c r="D562" s="1884"/>
      <c r="E562" s="1726">
        <f t="shared" si="148"/>
        <v>0</v>
      </c>
      <c r="F562" s="1722"/>
      <c r="G562" s="1741"/>
      <c r="H562" s="1728"/>
      <c r="I562" s="1729"/>
      <c r="J562" s="1729"/>
      <c r="K562" s="1730"/>
      <c r="L562" s="1734">
        <f t="shared" si="165"/>
        <v>0</v>
      </c>
      <c r="M562" s="1735">
        <f t="shared" si="166"/>
        <v>0</v>
      </c>
      <c r="N562" s="1730"/>
      <c r="O562" s="1730"/>
      <c r="P562" s="1730"/>
      <c r="Q562" s="1730"/>
      <c r="R562" s="1730"/>
      <c r="S562" s="1730"/>
      <c r="T562" s="1730"/>
      <c r="U562" s="1730"/>
      <c r="V562" s="1730"/>
      <c r="W562" s="1730"/>
      <c r="X562" s="1903">
        <f t="shared" si="149"/>
        <v>0</v>
      </c>
      <c r="Y562" s="1733">
        <f t="shared" si="151"/>
        <v>0</v>
      </c>
      <c r="Z562" s="528"/>
      <c r="AA562" s="1620"/>
      <c r="AB562" s="1616"/>
      <c r="AC562" s="1616"/>
      <c r="AD562" s="1616"/>
      <c r="AE562" s="1616"/>
      <c r="AF562" s="1115">
        <f t="shared" si="150"/>
        <v>0</v>
      </c>
      <c r="AG562" s="1116">
        <f t="shared" si="152"/>
        <v>0</v>
      </c>
      <c r="AH562" s="1116">
        <f t="shared" si="153"/>
        <v>0</v>
      </c>
      <c r="AI562" s="1116">
        <f t="shared" si="154"/>
        <v>0</v>
      </c>
      <c r="AJ562" s="1116">
        <f t="shared" si="155"/>
        <v>0</v>
      </c>
      <c r="AK562" s="1564">
        <f t="shared" si="156"/>
        <v>0</v>
      </c>
      <c r="AL562" s="1565">
        <f t="shared" si="157"/>
        <v>0</v>
      </c>
      <c r="AM562" s="1565">
        <f t="shared" si="158"/>
        <v>0</v>
      </c>
      <c r="AN562" s="1565">
        <f t="shared" si="159"/>
        <v>0</v>
      </c>
      <c r="AO562" s="1631">
        <f t="shared" si="160"/>
        <v>0</v>
      </c>
      <c r="AP562" s="1686"/>
      <c r="AQ562" s="1719">
        <f t="shared" si="161"/>
        <v>0</v>
      </c>
      <c r="AR562" s="1720">
        <f t="shared" si="162"/>
        <v>0</v>
      </c>
      <c r="AS562" s="1665"/>
      <c r="AT562" s="1721">
        <f t="shared" si="163"/>
        <v>0</v>
      </c>
      <c r="AU562" s="1679">
        <f t="shared" si="164"/>
        <v>0</v>
      </c>
      <c r="AV562" s="935"/>
      <c r="AW562" s="935"/>
      <c r="AX562" s="935"/>
      <c r="AY562" s="722"/>
      <c r="AZ562" s="722"/>
      <c r="BA562" s="722"/>
      <c r="BB562" s="722"/>
      <c r="BC562" s="722"/>
      <c r="BD562" s="722"/>
      <c r="BE562" s="706"/>
      <c r="BF562" s="706"/>
      <c r="BG562" s="694"/>
    </row>
    <row r="563" spans="1:64" ht="15.75" x14ac:dyDescent="0.25">
      <c r="A563" s="1883"/>
      <c r="B563" s="1748"/>
      <c r="C563" s="1884"/>
      <c r="D563" s="1884"/>
      <c r="E563" s="1726">
        <f t="shared" si="148"/>
        <v>0</v>
      </c>
      <c r="F563" s="1722"/>
      <c r="G563" s="1741"/>
      <c r="H563" s="1728"/>
      <c r="I563" s="1729"/>
      <c r="J563" s="1729"/>
      <c r="K563" s="1730"/>
      <c r="L563" s="1734">
        <f t="shared" si="165"/>
        <v>0</v>
      </c>
      <c r="M563" s="1735">
        <f t="shared" si="166"/>
        <v>0</v>
      </c>
      <c r="N563" s="1730"/>
      <c r="O563" s="1730"/>
      <c r="P563" s="1730"/>
      <c r="Q563" s="1730"/>
      <c r="R563" s="1730"/>
      <c r="S563" s="1730"/>
      <c r="T563" s="1730"/>
      <c r="U563" s="1730"/>
      <c r="V563" s="1730"/>
      <c r="W563" s="1730"/>
      <c r="X563" s="1903">
        <f t="shared" si="149"/>
        <v>0</v>
      </c>
      <c r="Y563" s="1733">
        <f t="shared" si="151"/>
        <v>0</v>
      </c>
      <c r="Z563" s="528"/>
      <c r="AA563" s="1620"/>
      <c r="AB563" s="1616"/>
      <c r="AC563" s="1616"/>
      <c r="AD563" s="1616"/>
      <c r="AE563" s="1616"/>
      <c r="AF563" s="1115">
        <f t="shared" si="150"/>
        <v>0</v>
      </c>
      <c r="AG563" s="1116">
        <f t="shared" si="152"/>
        <v>0</v>
      </c>
      <c r="AH563" s="1116">
        <f t="shared" si="153"/>
        <v>0</v>
      </c>
      <c r="AI563" s="1116">
        <f t="shared" si="154"/>
        <v>0</v>
      </c>
      <c r="AJ563" s="1116">
        <f t="shared" si="155"/>
        <v>0</v>
      </c>
      <c r="AK563" s="1564">
        <f t="shared" si="156"/>
        <v>0</v>
      </c>
      <c r="AL563" s="1565">
        <f t="shared" si="157"/>
        <v>0</v>
      </c>
      <c r="AM563" s="1565">
        <f t="shared" si="158"/>
        <v>0</v>
      </c>
      <c r="AN563" s="1565">
        <f t="shared" si="159"/>
        <v>0</v>
      </c>
      <c r="AO563" s="1631">
        <f t="shared" si="160"/>
        <v>0</v>
      </c>
      <c r="AP563" s="1686"/>
      <c r="AQ563" s="1719">
        <f t="shared" si="161"/>
        <v>0</v>
      </c>
      <c r="AR563" s="1720">
        <f t="shared" si="162"/>
        <v>0</v>
      </c>
      <c r="AS563" s="1665"/>
      <c r="AT563" s="1721">
        <f t="shared" si="163"/>
        <v>0</v>
      </c>
      <c r="AU563" s="1679">
        <f t="shared" si="164"/>
        <v>0</v>
      </c>
      <c r="AV563" s="935"/>
      <c r="AW563" s="935"/>
      <c r="AX563" s="935"/>
      <c r="AY563" s="722"/>
      <c r="AZ563" s="722"/>
      <c r="BA563" s="722"/>
      <c r="BB563" s="722"/>
      <c r="BC563" s="722"/>
      <c r="BD563" s="722"/>
      <c r="BE563" s="706"/>
      <c r="BF563" s="706"/>
      <c r="BG563" s="694"/>
    </row>
    <row r="564" spans="1:64" ht="15.75" x14ac:dyDescent="0.25">
      <c r="A564" s="1883"/>
      <c r="B564" s="1748"/>
      <c r="C564" s="1884"/>
      <c r="D564" s="1884"/>
      <c r="E564" s="1726">
        <f t="shared" si="148"/>
        <v>0</v>
      </c>
      <c r="F564" s="1722"/>
      <c r="G564" s="1741"/>
      <c r="H564" s="1728"/>
      <c r="I564" s="1729"/>
      <c r="J564" s="1729"/>
      <c r="K564" s="1730"/>
      <c r="L564" s="1734">
        <f t="shared" si="165"/>
        <v>0</v>
      </c>
      <c r="M564" s="1735">
        <f t="shared" si="166"/>
        <v>0</v>
      </c>
      <c r="N564" s="1730"/>
      <c r="O564" s="1730"/>
      <c r="P564" s="1730"/>
      <c r="Q564" s="1730"/>
      <c r="R564" s="1730"/>
      <c r="S564" s="1730"/>
      <c r="T564" s="1730"/>
      <c r="U564" s="1730"/>
      <c r="V564" s="1730"/>
      <c r="W564" s="1730"/>
      <c r="X564" s="1903">
        <f t="shared" si="149"/>
        <v>0</v>
      </c>
      <c r="Y564" s="1733">
        <f t="shared" si="151"/>
        <v>0</v>
      </c>
      <c r="Z564" s="528"/>
      <c r="AA564" s="1620"/>
      <c r="AB564" s="1616"/>
      <c r="AC564" s="1616"/>
      <c r="AD564" s="1616"/>
      <c r="AE564" s="1616"/>
      <c r="AF564" s="1115">
        <f t="shared" si="150"/>
        <v>0</v>
      </c>
      <c r="AG564" s="1116">
        <f t="shared" si="152"/>
        <v>0</v>
      </c>
      <c r="AH564" s="1116">
        <f t="shared" si="153"/>
        <v>0</v>
      </c>
      <c r="AI564" s="1116">
        <f t="shared" si="154"/>
        <v>0</v>
      </c>
      <c r="AJ564" s="1116">
        <f t="shared" si="155"/>
        <v>0</v>
      </c>
      <c r="AK564" s="1564">
        <f t="shared" si="156"/>
        <v>0</v>
      </c>
      <c r="AL564" s="1565">
        <f t="shared" si="157"/>
        <v>0</v>
      </c>
      <c r="AM564" s="1565">
        <f t="shared" si="158"/>
        <v>0</v>
      </c>
      <c r="AN564" s="1565">
        <f t="shared" si="159"/>
        <v>0</v>
      </c>
      <c r="AO564" s="1631">
        <f t="shared" si="160"/>
        <v>0</v>
      </c>
      <c r="AP564" s="1686"/>
      <c r="AQ564" s="1719">
        <f t="shared" si="161"/>
        <v>0</v>
      </c>
      <c r="AR564" s="1720">
        <f t="shared" si="162"/>
        <v>0</v>
      </c>
      <c r="AS564" s="1665"/>
      <c r="AT564" s="1721">
        <f t="shared" si="163"/>
        <v>0</v>
      </c>
      <c r="AU564" s="1679">
        <f t="shared" si="164"/>
        <v>0</v>
      </c>
      <c r="AV564" s="935"/>
      <c r="AW564" s="935"/>
      <c r="AX564" s="935"/>
      <c r="AY564" s="722"/>
      <c r="AZ564" s="722"/>
      <c r="BA564" s="722"/>
      <c r="BB564" s="722"/>
      <c r="BC564" s="722"/>
      <c r="BD564" s="722"/>
      <c r="BE564" s="706"/>
      <c r="BF564" s="706"/>
      <c r="BG564" s="694"/>
    </row>
    <row r="565" spans="1:64" ht="15.75" x14ac:dyDescent="0.25">
      <c r="A565" s="1883"/>
      <c r="B565" s="1748"/>
      <c r="C565" s="1884"/>
      <c r="D565" s="1884"/>
      <c r="E565" s="1726">
        <f t="shared" si="148"/>
        <v>0</v>
      </c>
      <c r="F565" s="1722"/>
      <c r="G565" s="1741"/>
      <c r="H565" s="1728"/>
      <c r="I565" s="1729"/>
      <c r="J565" s="1729"/>
      <c r="K565" s="1730"/>
      <c r="L565" s="1734">
        <f t="shared" si="165"/>
        <v>0</v>
      </c>
      <c r="M565" s="1735">
        <f t="shared" si="166"/>
        <v>0</v>
      </c>
      <c r="N565" s="1730"/>
      <c r="O565" s="1730"/>
      <c r="P565" s="1730"/>
      <c r="Q565" s="1730"/>
      <c r="R565" s="1730"/>
      <c r="S565" s="1730"/>
      <c r="T565" s="1730"/>
      <c r="U565" s="1730"/>
      <c r="V565" s="1730"/>
      <c r="W565" s="1730"/>
      <c r="X565" s="1903">
        <f t="shared" si="149"/>
        <v>0</v>
      </c>
      <c r="Y565" s="1733">
        <f t="shared" si="151"/>
        <v>0</v>
      </c>
      <c r="Z565" s="528"/>
      <c r="AA565" s="1620"/>
      <c r="AB565" s="1616"/>
      <c r="AC565" s="1616"/>
      <c r="AD565" s="1616"/>
      <c r="AE565" s="1616"/>
      <c r="AF565" s="1115">
        <f t="shared" si="150"/>
        <v>0</v>
      </c>
      <c r="AG565" s="1116">
        <f t="shared" si="152"/>
        <v>0</v>
      </c>
      <c r="AH565" s="1116">
        <f t="shared" si="153"/>
        <v>0</v>
      </c>
      <c r="AI565" s="1116">
        <f t="shared" si="154"/>
        <v>0</v>
      </c>
      <c r="AJ565" s="1116">
        <f t="shared" si="155"/>
        <v>0</v>
      </c>
      <c r="AK565" s="1564">
        <f t="shared" si="156"/>
        <v>0</v>
      </c>
      <c r="AL565" s="1565">
        <f t="shared" si="157"/>
        <v>0</v>
      </c>
      <c r="AM565" s="1565">
        <f t="shared" si="158"/>
        <v>0</v>
      </c>
      <c r="AN565" s="1565">
        <f t="shared" si="159"/>
        <v>0</v>
      </c>
      <c r="AO565" s="1631">
        <f t="shared" si="160"/>
        <v>0</v>
      </c>
      <c r="AP565" s="1686"/>
      <c r="AQ565" s="1719">
        <f t="shared" si="161"/>
        <v>0</v>
      </c>
      <c r="AR565" s="1720">
        <f t="shared" si="162"/>
        <v>0</v>
      </c>
      <c r="AS565" s="1665"/>
      <c r="AT565" s="1721">
        <f t="shared" si="163"/>
        <v>0</v>
      </c>
      <c r="AU565" s="1679">
        <f t="shared" si="164"/>
        <v>0</v>
      </c>
      <c r="AV565" s="935"/>
      <c r="AW565" s="935"/>
      <c r="AX565" s="935"/>
      <c r="AY565" s="722"/>
      <c r="AZ565" s="722"/>
      <c r="BA565" s="722"/>
      <c r="BB565" s="722"/>
      <c r="BC565" s="722"/>
      <c r="BD565" s="722"/>
      <c r="BE565" s="706"/>
      <c r="BF565" s="706"/>
      <c r="BG565" s="694"/>
    </row>
    <row r="566" spans="1:64" ht="15.75" x14ac:dyDescent="0.25">
      <c r="A566" s="1883"/>
      <c r="B566" s="1748"/>
      <c r="C566" s="1884"/>
      <c r="D566" s="1884"/>
      <c r="E566" s="1726">
        <f t="shared" si="148"/>
        <v>0</v>
      </c>
      <c r="F566" s="1722"/>
      <c r="G566" s="1741"/>
      <c r="H566" s="1728"/>
      <c r="I566" s="1729"/>
      <c r="J566" s="1729"/>
      <c r="K566" s="1730"/>
      <c r="L566" s="1734">
        <f t="shared" si="165"/>
        <v>0</v>
      </c>
      <c r="M566" s="1735">
        <f t="shared" si="166"/>
        <v>0</v>
      </c>
      <c r="N566" s="1730"/>
      <c r="O566" s="1730"/>
      <c r="P566" s="1730"/>
      <c r="Q566" s="1730"/>
      <c r="R566" s="1730"/>
      <c r="S566" s="1730"/>
      <c r="T566" s="1730"/>
      <c r="U566" s="1730"/>
      <c r="V566" s="1730"/>
      <c r="W566" s="1730"/>
      <c r="X566" s="1903">
        <f t="shared" si="149"/>
        <v>0</v>
      </c>
      <c r="Y566" s="1733">
        <f t="shared" si="151"/>
        <v>0</v>
      </c>
      <c r="Z566" s="528"/>
      <c r="AA566" s="1620"/>
      <c r="AB566" s="1616"/>
      <c r="AC566" s="1616"/>
      <c r="AD566" s="1616"/>
      <c r="AE566" s="1616"/>
      <c r="AF566" s="1115">
        <f t="shared" si="150"/>
        <v>0</v>
      </c>
      <c r="AG566" s="1116">
        <f t="shared" si="152"/>
        <v>0</v>
      </c>
      <c r="AH566" s="1116">
        <f t="shared" si="153"/>
        <v>0</v>
      </c>
      <c r="AI566" s="1116">
        <f t="shared" si="154"/>
        <v>0</v>
      </c>
      <c r="AJ566" s="1116">
        <f t="shared" si="155"/>
        <v>0</v>
      </c>
      <c r="AK566" s="1564">
        <f t="shared" si="156"/>
        <v>0</v>
      </c>
      <c r="AL566" s="1565">
        <f t="shared" si="157"/>
        <v>0</v>
      </c>
      <c r="AM566" s="1565">
        <f t="shared" si="158"/>
        <v>0</v>
      </c>
      <c r="AN566" s="1565">
        <f t="shared" si="159"/>
        <v>0</v>
      </c>
      <c r="AO566" s="1631">
        <f t="shared" si="160"/>
        <v>0</v>
      </c>
      <c r="AP566" s="1686"/>
      <c r="AQ566" s="1719">
        <f t="shared" si="161"/>
        <v>0</v>
      </c>
      <c r="AR566" s="1720">
        <f t="shared" si="162"/>
        <v>0</v>
      </c>
      <c r="AS566" s="1665"/>
      <c r="AT566" s="1721">
        <f t="shared" si="163"/>
        <v>0</v>
      </c>
      <c r="AU566" s="1679">
        <f t="shared" si="164"/>
        <v>0</v>
      </c>
      <c r="AV566" s="935"/>
      <c r="AW566" s="935"/>
      <c r="AX566" s="935"/>
      <c r="AY566" s="722"/>
      <c r="AZ566" s="722"/>
      <c r="BA566" s="722"/>
      <c r="BB566" s="722"/>
      <c r="BC566" s="722"/>
      <c r="BD566" s="722"/>
      <c r="BE566" s="706"/>
      <c r="BF566" s="706"/>
      <c r="BG566" s="694"/>
    </row>
    <row r="567" spans="1:64" ht="15.75" x14ac:dyDescent="0.25">
      <c r="A567" s="1883"/>
      <c r="B567" s="1748"/>
      <c r="C567" s="1884"/>
      <c r="D567" s="1884"/>
      <c r="E567" s="1726">
        <f t="shared" si="148"/>
        <v>0</v>
      </c>
      <c r="F567" s="1722"/>
      <c r="G567" s="1741"/>
      <c r="H567" s="1728"/>
      <c r="I567" s="1729"/>
      <c r="J567" s="1729"/>
      <c r="K567" s="1730"/>
      <c r="L567" s="1734">
        <f t="shared" si="165"/>
        <v>0</v>
      </c>
      <c r="M567" s="1735">
        <f t="shared" si="166"/>
        <v>0</v>
      </c>
      <c r="N567" s="1730"/>
      <c r="O567" s="1730"/>
      <c r="P567" s="1730"/>
      <c r="Q567" s="1730"/>
      <c r="R567" s="1730"/>
      <c r="S567" s="1730"/>
      <c r="T567" s="1730"/>
      <c r="U567" s="1730"/>
      <c r="V567" s="1730"/>
      <c r="W567" s="1730"/>
      <c r="X567" s="1903">
        <f t="shared" si="149"/>
        <v>0</v>
      </c>
      <c r="Y567" s="1733">
        <f t="shared" si="151"/>
        <v>0</v>
      </c>
      <c r="Z567" s="528"/>
      <c r="AA567" s="1620"/>
      <c r="AB567" s="1616"/>
      <c r="AC567" s="1616"/>
      <c r="AD567" s="1616"/>
      <c r="AE567" s="1616"/>
      <c r="AF567" s="1115">
        <f t="shared" si="150"/>
        <v>0</v>
      </c>
      <c r="AG567" s="1116">
        <f t="shared" si="152"/>
        <v>0</v>
      </c>
      <c r="AH567" s="1116">
        <f t="shared" si="153"/>
        <v>0</v>
      </c>
      <c r="AI567" s="1116">
        <f t="shared" si="154"/>
        <v>0</v>
      </c>
      <c r="AJ567" s="1116">
        <f t="shared" si="155"/>
        <v>0</v>
      </c>
      <c r="AK567" s="1564">
        <f t="shared" si="156"/>
        <v>0</v>
      </c>
      <c r="AL567" s="1565">
        <f t="shared" si="157"/>
        <v>0</v>
      </c>
      <c r="AM567" s="1565">
        <f t="shared" si="158"/>
        <v>0</v>
      </c>
      <c r="AN567" s="1565">
        <f t="shared" si="159"/>
        <v>0</v>
      </c>
      <c r="AO567" s="1631">
        <f t="shared" si="160"/>
        <v>0</v>
      </c>
      <c r="AP567" s="1686"/>
      <c r="AQ567" s="1719">
        <f t="shared" si="161"/>
        <v>0</v>
      </c>
      <c r="AR567" s="1720">
        <f t="shared" si="162"/>
        <v>0</v>
      </c>
      <c r="AS567" s="1665"/>
      <c r="AT567" s="1721">
        <f t="shared" si="163"/>
        <v>0</v>
      </c>
      <c r="AU567" s="1679">
        <f t="shared" si="164"/>
        <v>0</v>
      </c>
      <c r="AV567" s="935"/>
      <c r="AW567" s="935"/>
      <c r="AX567" s="935"/>
      <c r="AY567" s="722"/>
      <c r="AZ567" s="722"/>
      <c r="BA567" s="722"/>
      <c r="BB567" s="722"/>
      <c r="BC567" s="722"/>
      <c r="BD567" s="722"/>
      <c r="BE567" s="706"/>
      <c r="BF567" s="706"/>
      <c r="BG567" s="694"/>
    </row>
    <row r="568" spans="1:64" ht="16.5" thickBot="1" x14ac:dyDescent="0.3">
      <c r="A568" s="1883"/>
      <c r="B568" s="1748"/>
      <c r="C568" s="1884"/>
      <c r="D568" s="1884"/>
      <c r="E568" s="1726">
        <f t="shared" si="148"/>
        <v>0</v>
      </c>
      <c r="F568" s="1722"/>
      <c r="G568" s="1741"/>
      <c r="H568" s="1728"/>
      <c r="I568" s="1729"/>
      <c r="J568" s="1729"/>
      <c r="K568" s="1730"/>
      <c r="L568" s="1734">
        <f t="shared" si="165"/>
        <v>0</v>
      </c>
      <c r="M568" s="1735">
        <f t="shared" si="166"/>
        <v>0</v>
      </c>
      <c r="N568" s="1730"/>
      <c r="O568" s="1730"/>
      <c r="P568" s="1730"/>
      <c r="Q568" s="1730"/>
      <c r="R568" s="1730"/>
      <c r="S568" s="1730"/>
      <c r="T568" s="1730"/>
      <c r="U568" s="1730"/>
      <c r="V568" s="1730"/>
      <c r="W568" s="1730"/>
      <c r="X568" s="1903">
        <f t="shared" si="149"/>
        <v>0</v>
      </c>
      <c r="Y568" s="1733">
        <f t="shared" si="151"/>
        <v>0</v>
      </c>
      <c r="Z568" s="528"/>
      <c r="AA568" s="1622"/>
      <c r="AB568" s="1623"/>
      <c r="AC568" s="1623"/>
      <c r="AD568" s="1623"/>
      <c r="AE568" s="1623"/>
      <c r="AF568" s="1115">
        <f t="shared" si="150"/>
        <v>0</v>
      </c>
      <c r="AG568" s="1116">
        <f t="shared" si="152"/>
        <v>0</v>
      </c>
      <c r="AH568" s="1116">
        <f t="shared" si="153"/>
        <v>0</v>
      </c>
      <c r="AI568" s="1116">
        <f t="shared" si="154"/>
        <v>0</v>
      </c>
      <c r="AJ568" s="1116">
        <f t="shared" si="155"/>
        <v>0</v>
      </c>
      <c r="AK568" s="1564">
        <f t="shared" si="156"/>
        <v>0</v>
      </c>
      <c r="AL568" s="1565">
        <f t="shared" si="157"/>
        <v>0</v>
      </c>
      <c r="AM568" s="1565">
        <f t="shared" si="158"/>
        <v>0</v>
      </c>
      <c r="AN568" s="1565">
        <f t="shared" si="159"/>
        <v>0</v>
      </c>
      <c r="AO568" s="1631">
        <f t="shared" si="160"/>
        <v>0</v>
      </c>
      <c r="AP568" s="1655"/>
      <c r="AQ568" s="1719">
        <f t="shared" si="161"/>
        <v>0</v>
      </c>
      <c r="AR568" s="1720">
        <f t="shared" si="162"/>
        <v>0</v>
      </c>
      <c r="AS568" s="1647"/>
      <c r="AT568" s="1721">
        <f t="shared" si="163"/>
        <v>0</v>
      </c>
      <c r="AU568" s="998">
        <f t="shared" si="164"/>
        <v>0</v>
      </c>
      <c r="AV568" s="935"/>
      <c r="AW568" s="935"/>
      <c r="AX568" s="935"/>
      <c r="AY568" s="722"/>
      <c r="AZ568" s="722"/>
      <c r="BA568" s="722"/>
      <c r="BB568" s="722"/>
      <c r="BC568" s="722"/>
      <c r="BD568" s="722"/>
      <c r="BE568" s="706"/>
      <c r="BF568" s="706"/>
      <c r="BG568" s="694"/>
    </row>
    <row r="569" spans="1:64" ht="16.5" thickBot="1" x14ac:dyDescent="0.3">
      <c r="A569" s="479" t="s">
        <v>479</v>
      </c>
      <c r="B569" s="1736">
        <f>SUM(B539:B568)</f>
        <v>0</v>
      </c>
      <c r="C569" s="1737">
        <f>IF(ISERROR(SUM(C539:C568)/B569),0,(SUM(C539:C568)/B569))</f>
        <v>0</v>
      </c>
      <c r="D569" s="1738">
        <f>SUM(D539:D568)</f>
        <v>0</v>
      </c>
      <c r="E569" s="1739">
        <f>IFERROR(D569/B569,0)</f>
        <v>0</v>
      </c>
      <c r="F569" s="479" t="s">
        <v>479</v>
      </c>
      <c r="G569" s="504"/>
      <c r="H569" s="1401">
        <f>SUM(H539:H568)</f>
        <v>0</v>
      </c>
      <c r="I569" s="371"/>
      <c r="J569" s="371"/>
      <c r="K569" s="371"/>
      <c r="L569" s="371"/>
      <c r="M569" s="1737">
        <f>IF(ISERROR(SUM(M539:M568)/$H$569),0,(SUM(M539:M568)/$H$569))</f>
        <v>0</v>
      </c>
      <c r="N569" s="1737">
        <f>IF(ISERROR(SUM(N539:N568)/$H$569),0,(SUM(N539:N568)/$H$569))</f>
        <v>0</v>
      </c>
      <c r="O569" s="1737">
        <f t="shared" ref="O569:W569" si="167">IF(ISERROR(SUM(O539:O568)/$H$569),0,(SUM(O539:O568)/$H$569))</f>
        <v>0</v>
      </c>
      <c r="P569" s="1737">
        <f t="shared" si="167"/>
        <v>0</v>
      </c>
      <c r="Q569" s="1737">
        <f t="shared" si="167"/>
        <v>0</v>
      </c>
      <c r="R569" s="1737">
        <f t="shared" si="167"/>
        <v>0</v>
      </c>
      <c r="S569" s="1737">
        <f t="shared" si="167"/>
        <v>0</v>
      </c>
      <c r="T569" s="1737">
        <f t="shared" si="167"/>
        <v>0</v>
      </c>
      <c r="U569" s="1737">
        <f t="shared" si="167"/>
        <v>0</v>
      </c>
      <c r="V569" s="1737">
        <f t="shared" si="167"/>
        <v>0</v>
      </c>
      <c r="W569" s="1737">
        <f t="shared" si="167"/>
        <v>0</v>
      </c>
      <c r="X569" s="1740">
        <f>SUM(X539:X568)</f>
        <v>0</v>
      </c>
      <c r="Y569" s="429">
        <f>IFERROR(SUM(X569/H569),0)</f>
        <v>0</v>
      </c>
      <c r="Z569" s="510"/>
      <c r="AA569" s="708"/>
      <c r="AB569" s="708"/>
      <c r="AC569" s="708"/>
      <c r="AD569" s="708"/>
      <c r="AE569" s="708"/>
      <c r="AF569" s="708"/>
      <c r="AG569" s="708"/>
      <c r="AH569" s="708"/>
      <c r="AI569" s="708"/>
      <c r="AJ569" s="708"/>
      <c r="AK569" s="708"/>
      <c r="AL569" s="708"/>
      <c r="AM569" s="708"/>
      <c r="AN569" s="708"/>
      <c r="AO569" s="708"/>
      <c r="AP569" s="1426"/>
      <c r="AQ569" s="1426"/>
      <c r="AR569" s="1426"/>
      <c r="AS569" s="988"/>
      <c r="AT569" s="1007"/>
      <c r="AU569" s="971"/>
      <c r="AV569" s="935"/>
      <c r="AW569" s="935"/>
      <c r="AX569" s="935"/>
      <c r="AY569" s="724"/>
      <c r="AZ569" s="724"/>
      <c r="BA569" s="724"/>
      <c r="BB569" s="724"/>
      <c r="BC569" s="724"/>
      <c r="BD569" s="724"/>
      <c r="BE569" s="708"/>
      <c r="BF569" s="708"/>
      <c r="BG569" s="696"/>
      <c r="BL569" s="598"/>
    </row>
    <row r="570" spans="1:64" ht="15.75" x14ac:dyDescent="0.25">
      <c r="F570" s="475"/>
      <c r="G570" s="372"/>
      <c r="X570" s="465"/>
      <c r="Y570" s="477"/>
      <c r="Z570" s="540"/>
      <c r="AA570" s="713"/>
      <c r="AB570" s="713"/>
      <c r="AC570" s="713"/>
      <c r="AD570" s="713"/>
      <c r="AE570" s="713"/>
      <c r="AF570" s="713"/>
      <c r="AG570" s="713"/>
      <c r="AH570" s="713"/>
      <c r="AI570" s="713"/>
      <c r="AJ570" s="713"/>
      <c r="AK570" s="713"/>
      <c r="AL570" s="713"/>
      <c r="AM570" s="713"/>
      <c r="AN570" s="713"/>
      <c r="AO570" s="713"/>
      <c r="AP570" s="1430"/>
      <c r="AQ570" s="1430"/>
      <c r="AR570" s="1430"/>
      <c r="AS570" s="991"/>
      <c r="AT570" s="1011"/>
      <c r="AU570" s="976"/>
      <c r="AV570" s="935"/>
      <c r="AW570" s="935"/>
      <c r="AX570" s="935"/>
      <c r="AY570" s="728"/>
      <c r="AZ570" s="728"/>
      <c r="BA570" s="728"/>
      <c r="BB570" s="728"/>
      <c r="BC570" s="728"/>
      <c r="BD570" s="728"/>
      <c r="BE570" s="713"/>
      <c r="BF570" s="713"/>
      <c r="BG570" s="700"/>
    </row>
    <row r="571" spans="1:64" ht="15.75" x14ac:dyDescent="0.25">
      <c r="A571" s="478" t="s">
        <v>480</v>
      </c>
      <c r="F571" s="478" t="s">
        <v>480</v>
      </c>
      <c r="G571" s="239"/>
      <c r="P571" s="2414"/>
      <c r="Q571" s="2414"/>
      <c r="R571" s="2414"/>
      <c r="S571" s="2414"/>
      <c r="T571" s="2414"/>
      <c r="U571" s="2414"/>
      <c r="V571" s="2414"/>
      <c r="W571" s="2414"/>
      <c r="X571" s="2414"/>
      <c r="Y571" s="2415"/>
      <c r="Z571" s="539"/>
      <c r="AA571" s="712" t="s">
        <v>305</v>
      </c>
      <c r="AB571" s="712"/>
      <c r="AC571" s="712"/>
      <c r="AD571" s="712"/>
      <c r="AE571" s="712"/>
      <c r="AF571" s="712"/>
      <c r="AG571" s="712"/>
      <c r="AH571" s="712"/>
      <c r="AI571" s="712"/>
      <c r="AJ571" s="712"/>
      <c r="AK571" s="712"/>
      <c r="AL571" s="712"/>
      <c r="AM571" s="712"/>
      <c r="AN571" s="712"/>
      <c r="AO571" s="712"/>
      <c r="AP571" s="1424"/>
      <c r="AQ571" s="1424"/>
      <c r="AR571" s="1424"/>
      <c r="AS571" s="712"/>
      <c r="AT571" s="936"/>
      <c r="AU571" s="969"/>
      <c r="AV571" s="935"/>
      <c r="AW571" s="935"/>
      <c r="AX571" s="935"/>
      <c r="AY571" s="509"/>
      <c r="AZ571" s="509"/>
      <c r="BA571" s="509"/>
      <c r="BB571" s="509"/>
      <c r="BC571" s="509"/>
      <c r="BD571" s="509"/>
      <c r="BE571" s="712"/>
      <c r="BF571" s="712"/>
      <c r="BG571" s="693"/>
    </row>
    <row r="572" spans="1:64" ht="15.75" x14ac:dyDescent="0.25">
      <c r="A572" s="1883"/>
      <c r="B572" s="1748"/>
      <c r="C572" s="1884"/>
      <c r="D572" s="1884"/>
      <c r="E572" s="1726">
        <f t="shared" ref="E572:E578" si="168">IFERROR(D572/B572,0)</f>
        <v>0</v>
      </c>
      <c r="F572" s="1722"/>
      <c r="G572" s="1727"/>
      <c r="H572" s="1728"/>
      <c r="I572" s="1729"/>
      <c r="J572" s="1729"/>
      <c r="K572" s="1730"/>
      <c r="L572" s="1731">
        <f>IFERROR(IF($K$24="VK",K572,K572/H572),0)</f>
        <v>0</v>
      </c>
      <c r="M572" s="1732">
        <f>IFERROR(L572*H572,"")</f>
        <v>0</v>
      </c>
      <c r="N572" s="1730"/>
      <c r="O572" s="1730"/>
      <c r="P572" s="1730"/>
      <c r="Q572" s="1730"/>
      <c r="R572" s="1730"/>
      <c r="S572" s="1730"/>
      <c r="T572" s="1730"/>
      <c r="U572" s="1730"/>
      <c r="V572" s="1730"/>
      <c r="W572" s="1730"/>
      <c r="X572" s="1903">
        <f t="shared" ref="X572:X581" si="169">IF(AND(H572&gt;0,F572&lt;&gt;"GfB"),(SUM(M572:P572,R572,V572,Q572)*12+(T572+U572))*(100+$P$17+$P$18)%+((S572+W572)*12),IF(AND(H572&gt;0,F572="GfB"),(SUM(M572:P572,R572,V572,Q572)*12+(T572+U572))*(100+$P$20+$P$18)%+((S572+W572)*12),0))</f>
        <v>0</v>
      </c>
      <c r="Y572" s="1733">
        <f>IF(ISERROR(X572/H572),0,(X572/H572))</f>
        <v>0</v>
      </c>
      <c r="Z572" s="535"/>
      <c r="AA572" s="1561">
        <f t="shared" ref="AA572:AD572" si="170">SUM(AA37:AA568)</f>
        <v>0</v>
      </c>
      <c r="AB572" s="1561">
        <f t="shared" si="170"/>
        <v>0</v>
      </c>
      <c r="AC572" s="1561">
        <f t="shared" si="170"/>
        <v>0</v>
      </c>
      <c r="AD572" s="1561">
        <f t="shared" si="170"/>
        <v>0</v>
      </c>
      <c r="AE572" s="1561">
        <f>SUM(AE37:AE568)</f>
        <v>0</v>
      </c>
      <c r="AF572" s="1116">
        <f t="shared" ref="AF572:AU572" si="171">SUM(AF37:AF568)</f>
        <v>0</v>
      </c>
      <c r="AG572" s="1116">
        <f t="shared" si="171"/>
        <v>0</v>
      </c>
      <c r="AH572" s="1116">
        <f t="shared" si="171"/>
        <v>0</v>
      </c>
      <c r="AI572" s="1116">
        <f t="shared" si="171"/>
        <v>0</v>
      </c>
      <c r="AJ572" s="1116">
        <f t="shared" si="171"/>
        <v>0</v>
      </c>
      <c r="AK572" s="1565">
        <f t="shared" si="171"/>
        <v>0</v>
      </c>
      <c r="AL572" s="1565">
        <f t="shared" si="171"/>
        <v>0</v>
      </c>
      <c r="AM572" s="1565">
        <f t="shared" si="171"/>
        <v>0</v>
      </c>
      <c r="AN572" s="1565">
        <f t="shared" si="171"/>
        <v>0</v>
      </c>
      <c r="AO572" s="1565">
        <f t="shared" si="171"/>
        <v>0</v>
      </c>
      <c r="AP572" s="1420">
        <f t="shared" si="171"/>
        <v>0</v>
      </c>
      <c r="AQ572" s="1443">
        <f t="shared" si="171"/>
        <v>0</v>
      </c>
      <c r="AR572" s="1449">
        <f t="shared" si="171"/>
        <v>0</v>
      </c>
      <c r="AS572" s="526">
        <f t="shared" si="171"/>
        <v>0</v>
      </c>
      <c r="AT572" s="527">
        <f t="shared" si="171"/>
        <v>0</v>
      </c>
      <c r="AU572" s="961">
        <f t="shared" si="171"/>
        <v>0</v>
      </c>
      <c r="AV572" s="935"/>
      <c r="AW572" s="935"/>
      <c r="AX572" s="935"/>
      <c r="AY572" s="723"/>
      <c r="AZ572" s="723"/>
      <c r="BA572" s="723"/>
      <c r="BB572" s="723"/>
      <c r="BC572" s="723"/>
      <c r="BD572" s="723"/>
      <c r="BE572" s="707"/>
      <c r="BF572" s="707"/>
      <c r="BG572" s="695"/>
    </row>
    <row r="573" spans="1:64" ht="15.75" x14ac:dyDescent="0.25">
      <c r="A573" s="1883"/>
      <c r="B573" s="1748"/>
      <c r="C573" s="1884"/>
      <c r="D573" s="1884"/>
      <c r="E573" s="1726">
        <f t="shared" si="168"/>
        <v>0</v>
      </c>
      <c r="F573" s="1722"/>
      <c r="G573" s="1727"/>
      <c r="H573" s="1728"/>
      <c r="I573" s="1729"/>
      <c r="J573" s="1729"/>
      <c r="K573" s="1730"/>
      <c r="L573" s="1734">
        <f t="shared" ref="L573:L581" si="172">IFERROR(IF($K$24="VK",K573,K573/H573),0)</f>
        <v>0</v>
      </c>
      <c r="M573" s="1735">
        <f t="shared" ref="M573:M581" si="173">IFERROR(L573*H573,"")</f>
        <v>0</v>
      </c>
      <c r="N573" s="1730"/>
      <c r="O573" s="1730"/>
      <c r="P573" s="1730"/>
      <c r="Q573" s="1730"/>
      <c r="R573" s="1730"/>
      <c r="S573" s="1730"/>
      <c r="T573" s="1730"/>
      <c r="U573" s="1730"/>
      <c r="V573" s="1730"/>
      <c r="W573" s="1730"/>
      <c r="X573" s="1903">
        <f t="shared" si="169"/>
        <v>0</v>
      </c>
      <c r="Y573" s="1733">
        <f t="shared" ref="Y573:Y581" si="174">IF(ISERROR(X573/H573),0,(X573/H573))</f>
        <v>0</v>
      </c>
      <c r="Z573" s="535"/>
      <c r="AA573" s="1562">
        <f>IFERROR(AA572/$AP$572,0)</f>
        <v>0</v>
      </c>
      <c r="AB573" s="1562">
        <f>IFERROR(AB572/$AP$572,0)</f>
        <v>0</v>
      </c>
      <c r="AC573" s="1562">
        <f>IFERROR(AC572/$AP$572,0)</f>
        <v>0</v>
      </c>
      <c r="AD573" s="1562">
        <f>IFERROR(AD572/$AP$572,0)</f>
        <v>0</v>
      </c>
      <c r="AE573" s="1562">
        <f>IFERROR(AE572/$AP$572,0)</f>
        <v>0</v>
      </c>
      <c r="AF573" s="1563">
        <f>IFERROR(AF572/$AQ$572,0)</f>
        <v>0</v>
      </c>
      <c r="AG573" s="1563">
        <f>IFERROR(AG572/$AQ$572,0)</f>
        <v>0</v>
      </c>
      <c r="AH573" s="1563">
        <f>IFERROR(AH572/$AQ$572,0)</f>
        <v>0</v>
      </c>
      <c r="AI573" s="1563">
        <f>IFERROR(AI572/$AQ$572,0)</f>
        <v>0</v>
      </c>
      <c r="AJ573" s="1563">
        <f>IFERROR(AJ572/$AQ$572,0)</f>
        <v>0</v>
      </c>
      <c r="AK573" s="1566">
        <f>IFERROR(AK572/$AR$572,0)</f>
        <v>0</v>
      </c>
      <c r="AL573" s="1566">
        <f>IFERROR(AL572/$AR$572,0)</f>
        <v>0</v>
      </c>
      <c r="AM573" s="1566">
        <f>IFERROR(AM572/$AR$572,0)</f>
        <v>0</v>
      </c>
      <c r="AN573" s="1566">
        <f>IFERROR(AN572/$AR$572,0)</f>
        <v>0</v>
      </c>
      <c r="AO573" s="1566">
        <f>IFERROR(AO572/$AR$572,0)</f>
        <v>0</v>
      </c>
      <c r="AP573" s="1423"/>
      <c r="AQ573" s="1423"/>
      <c r="AR573" s="1423"/>
      <c r="AS573" s="987"/>
      <c r="AT573" s="1006"/>
      <c r="AU573" s="968"/>
      <c r="AV573" s="935"/>
      <c r="AW573" s="935"/>
      <c r="AX573" s="935"/>
      <c r="AY573" s="723"/>
      <c r="AZ573" s="723"/>
      <c r="BA573" s="723"/>
      <c r="BB573" s="723"/>
      <c r="BC573" s="723"/>
      <c r="BD573" s="723"/>
      <c r="BE573" s="707"/>
      <c r="BF573" s="707"/>
      <c r="BG573" s="695"/>
    </row>
    <row r="574" spans="1:64" ht="15.75" x14ac:dyDescent="0.25">
      <c r="A574" s="1883"/>
      <c r="B574" s="1748"/>
      <c r="C574" s="1884"/>
      <c r="D574" s="1884"/>
      <c r="E574" s="1726">
        <f t="shared" si="168"/>
        <v>0</v>
      </c>
      <c r="F574" s="1722"/>
      <c r="G574" s="1727"/>
      <c r="H574" s="1728"/>
      <c r="I574" s="1729"/>
      <c r="J574" s="1729"/>
      <c r="K574" s="1730"/>
      <c r="L574" s="1734">
        <f t="shared" si="172"/>
        <v>0</v>
      </c>
      <c r="M574" s="1735">
        <f t="shared" si="173"/>
        <v>0</v>
      </c>
      <c r="N574" s="1730"/>
      <c r="O574" s="1730"/>
      <c r="P574" s="1730"/>
      <c r="Q574" s="1730"/>
      <c r="R574" s="1730"/>
      <c r="S574" s="1730"/>
      <c r="T574" s="1730"/>
      <c r="U574" s="1730"/>
      <c r="V574" s="1730"/>
      <c r="W574" s="1730"/>
      <c r="X574" s="1903">
        <f t="shared" si="169"/>
        <v>0</v>
      </c>
      <c r="Y574" s="1733">
        <f t="shared" si="174"/>
        <v>0</v>
      </c>
      <c r="Z574" s="535"/>
      <c r="AA574" s="2482">
        <f>IFERROR(SUM(AA573:AE573),0)</f>
        <v>0</v>
      </c>
      <c r="AB574" s="2483"/>
      <c r="AC574" s="2483"/>
      <c r="AD574" s="2483"/>
      <c r="AE574" s="2484"/>
      <c r="AF574" s="2485">
        <f>IFERROR(SUM(AF573:AJ573),0)</f>
        <v>0</v>
      </c>
      <c r="AG574" s="2486"/>
      <c r="AH574" s="2486"/>
      <c r="AI574" s="2486"/>
      <c r="AJ574" s="2487"/>
      <c r="AK574" s="2472">
        <f>IFERROR(SUM(AK573:AO573),0)</f>
        <v>0</v>
      </c>
      <c r="AL574" s="2473"/>
      <c r="AM574" s="2473"/>
      <c r="AN574" s="2473"/>
      <c r="AO574" s="2474"/>
      <c r="AP574" s="1423"/>
      <c r="AQ574" s="1423"/>
      <c r="AR574" s="1423"/>
      <c r="AS574" s="987"/>
      <c r="AT574" s="1006"/>
      <c r="AU574" s="968"/>
      <c r="AV574" s="935"/>
      <c r="AW574" s="935"/>
      <c r="AX574" s="935"/>
      <c r="AY574" s="723"/>
      <c r="AZ574" s="723"/>
      <c r="BA574" s="723"/>
      <c r="BB574" s="723"/>
      <c r="BC574" s="723"/>
      <c r="BD574" s="723"/>
      <c r="BE574" s="707"/>
      <c r="BF574" s="707"/>
      <c r="BG574" s="695"/>
    </row>
    <row r="575" spans="1:64" ht="15.75" x14ac:dyDescent="0.25">
      <c r="A575" s="1883"/>
      <c r="B575" s="1748"/>
      <c r="C575" s="1884"/>
      <c r="D575" s="1884"/>
      <c r="E575" s="1726">
        <f t="shared" si="168"/>
        <v>0</v>
      </c>
      <c r="F575" s="1722"/>
      <c r="G575" s="1727"/>
      <c r="H575" s="1728"/>
      <c r="I575" s="1729"/>
      <c r="J575" s="1729"/>
      <c r="K575" s="1730"/>
      <c r="L575" s="1734">
        <f t="shared" si="172"/>
        <v>0</v>
      </c>
      <c r="M575" s="1735">
        <f t="shared" si="173"/>
        <v>0</v>
      </c>
      <c r="N575" s="1730"/>
      <c r="O575" s="1730"/>
      <c r="P575" s="1730"/>
      <c r="Q575" s="1730"/>
      <c r="R575" s="1730"/>
      <c r="S575" s="1730"/>
      <c r="T575" s="1730"/>
      <c r="U575" s="1730"/>
      <c r="V575" s="1730"/>
      <c r="W575" s="1730"/>
      <c r="X575" s="1903">
        <f t="shared" si="169"/>
        <v>0</v>
      </c>
      <c r="Y575" s="1733">
        <f t="shared" si="174"/>
        <v>0</v>
      </c>
      <c r="Z575" s="535"/>
      <c r="AA575" s="707"/>
      <c r="AB575" s="707"/>
      <c r="AC575" s="707"/>
      <c r="AD575" s="707"/>
      <c r="AE575" s="707"/>
      <c r="AF575" s="707"/>
      <c r="AG575" s="707"/>
      <c r="AH575" s="707"/>
      <c r="AI575" s="707"/>
      <c r="AJ575" s="707"/>
      <c r="AK575" s="707"/>
      <c r="AL575" s="707"/>
      <c r="AM575" s="707"/>
      <c r="AN575" s="707"/>
      <c r="AO575" s="707"/>
      <c r="AP575" s="1425"/>
      <c r="AQ575" s="1425"/>
      <c r="AR575" s="1425"/>
      <c r="AS575" s="939"/>
      <c r="AT575" s="941"/>
      <c r="AU575" s="970"/>
      <c r="AV575" s="935"/>
      <c r="AW575" s="935"/>
      <c r="AX575" s="935"/>
      <c r="AY575" s="723"/>
      <c r="AZ575" s="723"/>
      <c r="BA575" s="723"/>
      <c r="BB575" s="723"/>
      <c r="BC575" s="723"/>
      <c r="BD575" s="723"/>
      <c r="BE575" s="707"/>
      <c r="BF575" s="707"/>
      <c r="BG575" s="695"/>
    </row>
    <row r="576" spans="1:64" ht="15.75" x14ac:dyDescent="0.25">
      <c r="A576" s="1883"/>
      <c r="B576" s="1748"/>
      <c r="C576" s="1884"/>
      <c r="D576" s="1884"/>
      <c r="E576" s="1726">
        <f t="shared" si="168"/>
        <v>0</v>
      </c>
      <c r="F576" s="1722"/>
      <c r="G576" s="1727"/>
      <c r="H576" s="1728"/>
      <c r="I576" s="1729"/>
      <c r="J576" s="1729"/>
      <c r="K576" s="1730"/>
      <c r="L576" s="1734">
        <f t="shared" si="172"/>
        <v>0</v>
      </c>
      <c r="M576" s="1735">
        <f t="shared" si="173"/>
        <v>0</v>
      </c>
      <c r="N576" s="1730"/>
      <c r="O576" s="1730"/>
      <c r="P576" s="1730"/>
      <c r="Q576" s="1730"/>
      <c r="R576" s="1730"/>
      <c r="S576" s="1730"/>
      <c r="T576" s="1730"/>
      <c r="U576" s="1730"/>
      <c r="V576" s="1730"/>
      <c r="W576" s="1730"/>
      <c r="X576" s="1903">
        <f t="shared" si="169"/>
        <v>0</v>
      </c>
      <c r="Y576" s="1733">
        <f t="shared" si="174"/>
        <v>0</v>
      </c>
      <c r="Z576" s="535"/>
      <c r="AA576" s="707"/>
      <c r="AB576" s="707"/>
      <c r="AC576" s="707"/>
      <c r="AD576" s="707"/>
      <c r="AE576" s="707"/>
      <c r="AF576" s="707"/>
      <c r="AG576" s="707"/>
      <c r="AH576" s="707"/>
      <c r="AI576" s="707"/>
      <c r="AJ576" s="707"/>
      <c r="AK576" s="707"/>
      <c r="AL576" s="707"/>
      <c r="AM576" s="707"/>
      <c r="AN576" s="707"/>
      <c r="AO576" s="707"/>
      <c r="AP576" s="1425"/>
      <c r="AQ576" s="1425"/>
      <c r="AR576" s="1425"/>
      <c r="AS576" s="939"/>
      <c r="AT576" s="941"/>
      <c r="AU576" s="970"/>
      <c r="AV576" s="935"/>
      <c r="AW576" s="935"/>
      <c r="AX576" s="935"/>
      <c r="AY576" s="723"/>
      <c r="AZ576" s="723"/>
      <c r="BA576" s="723"/>
      <c r="BB576" s="723"/>
      <c r="BC576" s="723"/>
      <c r="BD576" s="723"/>
      <c r="BE576" s="707"/>
      <c r="BF576" s="707"/>
      <c r="BG576" s="695"/>
    </row>
    <row r="577" spans="1:64" ht="15.75" x14ac:dyDescent="0.25">
      <c r="A577" s="1883"/>
      <c r="B577" s="1748"/>
      <c r="C577" s="1884"/>
      <c r="D577" s="1884"/>
      <c r="E577" s="1726">
        <f t="shared" si="168"/>
        <v>0</v>
      </c>
      <c r="F577" s="1722"/>
      <c r="G577" s="1727"/>
      <c r="H577" s="1728"/>
      <c r="I577" s="1729"/>
      <c r="J577" s="1729"/>
      <c r="K577" s="1730"/>
      <c r="L577" s="1734">
        <f t="shared" si="172"/>
        <v>0</v>
      </c>
      <c r="M577" s="1735">
        <f t="shared" si="173"/>
        <v>0</v>
      </c>
      <c r="N577" s="1730"/>
      <c r="O577" s="1730"/>
      <c r="P577" s="1730"/>
      <c r="Q577" s="1730"/>
      <c r="R577" s="1730"/>
      <c r="S577" s="1730"/>
      <c r="T577" s="1730"/>
      <c r="U577" s="1730"/>
      <c r="V577" s="1730"/>
      <c r="W577" s="1730"/>
      <c r="X577" s="1903">
        <f t="shared" si="169"/>
        <v>0</v>
      </c>
      <c r="Y577" s="1733">
        <f t="shared" si="174"/>
        <v>0</v>
      </c>
      <c r="Z577" s="535"/>
      <c r="AA577" s="707"/>
      <c r="AB577" s="707"/>
      <c r="AC577" s="707"/>
      <c r="AD577" s="707"/>
      <c r="AE577" s="707"/>
      <c r="AF577" s="707"/>
      <c r="AG577" s="707"/>
      <c r="AH577" s="707"/>
      <c r="AI577" s="707"/>
      <c r="AJ577" s="707"/>
      <c r="AK577" s="707"/>
      <c r="AL577" s="707"/>
      <c r="AM577" s="707"/>
      <c r="AN577" s="707"/>
      <c r="AO577" s="707"/>
      <c r="AP577" s="1425"/>
      <c r="AQ577" s="1425"/>
      <c r="AR577" s="1425"/>
      <c r="AS577" s="939"/>
      <c r="AT577" s="941"/>
      <c r="AU577" s="970"/>
      <c r="AV577" s="935"/>
      <c r="AW577" s="935"/>
      <c r="AX577" s="935"/>
      <c r="AY577" s="723"/>
      <c r="AZ577" s="723"/>
      <c r="BA577" s="723"/>
      <c r="BB577" s="723"/>
      <c r="BC577" s="723"/>
      <c r="BD577" s="723"/>
      <c r="BE577" s="707"/>
      <c r="BF577" s="707"/>
      <c r="BG577" s="695"/>
    </row>
    <row r="578" spans="1:64" ht="15.75" x14ac:dyDescent="0.25">
      <c r="A578" s="1883"/>
      <c r="B578" s="1748"/>
      <c r="C578" s="1884"/>
      <c r="D578" s="1884"/>
      <c r="E578" s="1726">
        <f t="shared" si="168"/>
        <v>0</v>
      </c>
      <c r="F578" s="1722"/>
      <c r="G578" s="1727"/>
      <c r="H578" s="1728"/>
      <c r="I578" s="1729"/>
      <c r="J578" s="1729"/>
      <c r="K578" s="1730"/>
      <c r="L578" s="1734">
        <f t="shared" si="172"/>
        <v>0</v>
      </c>
      <c r="M578" s="1735">
        <f t="shared" si="173"/>
        <v>0</v>
      </c>
      <c r="N578" s="1730"/>
      <c r="O578" s="1730"/>
      <c r="P578" s="1730"/>
      <c r="Q578" s="1730"/>
      <c r="R578" s="1730"/>
      <c r="S578" s="1730"/>
      <c r="T578" s="1730"/>
      <c r="U578" s="1730"/>
      <c r="V578" s="1730"/>
      <c r="W578" s="1730"/>
      <c r="X578" s="1903">
        <f t="shared" si="169"/>
        <v>0</v>
      </c>
      <c r="Y578" s="1733">
        <f t="shared" si="174"/>
        <v>0</v>
      </c>
      <c r="Z578" s="535"/>
      <c r="AA578" s="707"/>
      <c r="AB578" s="707"/>
      <c r="AC578" s="707"/>
      <c r="AD578" s="707"/>
      <c r="AE578" s="707"/>
      <c r="AF578" s="707"/>
      <c r="AG578" s="707"/>
      <c r="AH578" s="707"/>
      <c r="AI578" s="707"/>
      <c r="AJ578" s="707"/>
      <c r="AK578" s="707"/>
      <c r="AL578" s="707"/>
      <c r="AM578" s="707"/>
      <c r="AN578" s="707"/>
      <c r="AO578" s="707"/>
      <c r="AP578" s="1425"/>
      <c r="AQ578" s="1425"/>
      <c r="AR578" s="1425"/>
      <c r="AS578" s="939"/>
      <c r="AT578" s="941"/>
      <c r="AU578" s="970"/>
      <c r="AV578" s="935"/>
      <c r="AW578" s="935"/>
      <c r="AX578" s="935"/>
      <c r="AY578" s="723"/>
      <c r="AZ578" s="723"/>
      <c r="BA578" s="723"/>
      <c r="BB578" s="723"/>
      <c r="BC578" s="723"/>
      <c r="BD578" s="723"/>
      <c r="BE578" s="707"/>
      <c r="BF578" s="707"/>
      <c r="BG578" s="695"/>
      <c r="BL578" s="613"/>
    </row>
    <row r="579" spans="1:64" ht="15.75" x14ac:dyDescent="0.25">
      <c r="A579" s="1883"/>
      <c r="B579" s="1748"/>
      <c r="C579" s="1884"/>
      <c r="D579" s="1884"/>
      <c r="E579" s="1726">
        <f>IFERROR(D579/B579,0)</f>
        <v>0</v>
      </c>
      <c r="F579" s="1722"/>
      <c r="G579" s="1727"/>
      <c r="H579" s="1728"/>
      <c r="I579" s="1729"/>
      <c r="J579" s="1729"/>
      <c r="K579" s="1730"/>
      <c r="L579" s="1734">
        <f t="shared" si="172"/>
        <v>0</v>
      </c>
      <c r="M579" s="1735">
        <f t="shared" si="173"/>
        <v>0</v>
      </c>
      <c r="N579" s="1730"/>
      <c r="O579" s="1730"/>
      <c r="P579" s="1730"/>
      <c r="Q579" s="1730"/>
      <c r="R579" s="1730"/>
      <c r="S579" s="1730"/>
      <c r="T579" s="1730"/>
      <c r="U579" s="1730"/>
      <c r="V579" s="1730"/>
      <c r="W579" s="1730"/>
      <c r="X579" s="1903">
        <f t="shared" si="169"/>
        <v>0</v>
      </c>
      <c r="Y579" s="1733">
        <f t="shared" si="174"/>
        <v>0</v>
      </c>
      <c r="Z579" s="535"/>
      <c r="AA579" s="707"/>
      <c r="AB579" s="707"/>
      <c r="AC579" s="707"/>
      <c r="AD579" s="707"/>
      <c r="AE579" s="707"/>
      <c r="AF579" s="707"/>
      <c r="AG579" s="707"/>
      <c r="AH579" s="707"/>
      <c r="AI579" s="707"/>
      <c r="AJ579" s="707"/>
      <c r="AK579" s="707"/>
      <c r="AL579" s="707"/>
      <c r="AM579" s="707"/>
      <c r="AN579" s="707"/>
      <c r="AO579" s="707"/>
      <c r="AP579" s="1425"/>
      <c r="AQ579" s="1425"/>
      <c r="AR579" s="1425"/>
      <c r="AS579" s="939"/>
      <c r="AT579" s="941"/>
      <c r="AU579" s="970"/>
      <c r="AV579" s="935"/>
      <c r="AW579" s="935"/>
      <c r="AX579" s="935"/>
      <c r="AY579" s="723"/>
      <c r="AZ579" s="723"/>
      <c r="BA579" s="723"/>
      <c r="BB579" s="723"/>
      <c r="BC579" s="723"/>
      <c r="BD579" s="723"/>
      <c r="BE579" s="707"/>
      <c r="BF579" s="707"/>
      <c r="BG579" s="695"/>
    </row>
    <row r="580" spans="1:64" ht="15.75" x14ac:dyDescent="0.25">
      <c r="A580" s="1883"/>
      <c r="B580" s="1748"/>
      <c r="C580" s="1884"/>
      <c r="D580" s="1884"/>
      <c r="E580" s="1726">
        <f>IFERROR(D580/B580,0)</f>
        <v>0</v>
      </c>
      <c r="F580" s="1722"/>
      <c r="G580" s="1727"/>
      <c r="H580" s="1728"/>
      <c r="I580" s="1729"/>
      <c r="J580" s="1729"/>
      <c r="K580" s="1730"/>
      <c r="L580" s="1734">
        <f t="shared" si="172"/>
        <v>0</v>
      </c>
      <c r="M580" s="1735">
        <f t="shared" si="173"/>
        <v>0</v>
      </c>
      <c r="N580" s="1730"/>
      <c r="O580" s="1730"/>
      <c r="P580" s="1730"/>
      <c r="Q580" s="1730"/>
      <c r="R580" s="1730"/>
      <c r="S580" s="1730"/>
      <c r="T580" s="1730"/>
      <c r="U580" s="1730"/>
      <c r="V580" s="1730"/>
      <c r="W580" s="1730"/>
      <c r="X580" s="1903">
        <f t="shared" si="169"/>
        <v>0</v>
      </c>
      <c r="Y580" s="1733">
        <f t="shared" si="174"/>
        <v>0</v>
      </c>
      <c r="Z580" s="535"/>
      <c r="AA580" s="707"/>
      <c r="AB580" s="707"/>
      <c r="AC580" s="707"/>
      <c r="AD580" s="707"/>
      <c r="AE580" s="707"/>
      <c r="AF580" s="707"/>
      <c r="AG580" s="707"/>
      <c r="AH580" s="707"/>
      <c r="AI580" s="707"/>
      <c r="AJ580" s="707"/>
      <c r="AK580" s="707"/>
      <c r="AL580" s="707"/>
      <c r="AM580" s="707"/>
      <c r="AN580" s="707"/>
      <c r="AO580" s="707"/>
      <c r="AP580" s="1425"/>
      <c r="AQ580" s="1425"/>
      <c r="AR580" s="1425"/>
      <c r="AS580" s="939"/>
      <c r="AT580" s="941"/>
      <c r="AU580" s="970"/>
      <c r="AV580" s="935"/>
      <c r="AW580" s="935"/>
      <c r="AX580" s="935"/>
      <c r="AY580" s="723"/>
      <c r="AZ580" s="723"/>
      <c r="BA580" s="723"/>
      <c r="BB580" s="723"/>
      <c r="BC580" s="723"/>
      <c r="BD580" s="723"/>
      <c r="BE580" s="707"/>
      <c r="BF580" s="707"/>
      <c r="BG580" s="695"/>
    </row>
    <row r="581" spans="1:64" ht="16.5" thickBot="1" x14ac:dyDescent="0.3">
      <c r="A581" s="1883"/>
      <c r="B581" s="1748"/>
      <c r="C581" s="1884"/>
      <c r="D581" s="1884"/>
      <c r="E581" s="1726">
        <f>IFERROR(D581/B581,0)</f>
        <v>0</v>
      </c>
      <c r="F581" s="1722"/>
      <c r="G581" s="1727"/>
      <c r="H581" s="1728"/>
      <c r="I581" s="1729"/>
      <c r="J581" s="1729"/>
      <c r="K581" s="1730"/>
      <c r="L581" s="1734">
        <f t="shared" si="172"/>
        <v>0</v>
      </c>
      <c r="M581" s="1735">
        <f t="shared" si="173"/>
        <v>0</v>
      </c>
      <c r="N581" s="1730"/>
      <c r="O581" s="1730"/>
      <c r="P581" s="1730"/>
      <c r="Q581" s="1730"/>
      <c r="R581" s="1730"/>
      <c r="S581" s="1730"/>
      <c r="T581" s="1730"/>
      <c r="U581" s="1730"/>
      <c r="V581" s="1730"/>
      <c r="W581" s="1730"/>
      <c r="X581" s="1903">
        <f t="shared" si="169"/>
        <v>0</v>
      </c>
      <c r="Y581" s="1733">
        <f t="shared" si="174"/>
        <v>0</v>
      </c>
      <c r="Z581" s="535"/>
      <c r="AA581" s="707"/>
      <c r="AB581" s="707"/>
      <c r="AC581" s="707"/>
      <c r="AD581" s="707"/>
      <c r="AE581" s="707"/>
      <c r="AF581" s="707"/>
      <c r="AG581" s="707"/>
      <c r="AH581" s="707"/>
      <c r="AI581" s="707"/>
      <c r="AJ581" s="707"/>
      <c r="AK581" s="707"/>
      <c r="AL581" s="707"/>
      <c r="AM581" s="707"/>
      <c r="AN581" s="707"/>
      <c r="AO581" s="707"/>
      <c r="AP581" s="1425"/>
      <c r="AQ581" s="1425"/>
      <c r="AR581" s="1425"/>
      <c r="AS581" s="939"/>
      <c r="AT581" s="941"/>
      <c r="AU581" s="970"/>
      <c r="AV581" s="935"/>
      <c r="AW581" s="935"/>
      <c r="AX581" s="935"/>
      <c r="AY581" s="723"/>
      <c r="AZ581" s="723"/>
      <c r="BA581" s="723"/>
      <c r="BB581" s="723"/>
      <c r="BC581" s="723"/>
      <c r="BD581" s="723"/>
      <c r="BE581" s="707"/>
      <c r="BF581" s="707"/>
      <c r="BG581" s="695"/>
    </row>
    <row r="582" spans="1:64" ht="13.5" thickBot="1" x14ac:dyDescent="0.25">
      <c r="A582" s="479" t="s">
        <v>481</v>
      </c>
      <c r="B582" s="1736">
        <f>SUM(B572:B581)</f>
        <v>0</v>
      </c>
      <c r="C582" s="1737">
        <f>IF(ISERROR(SUM(C572:C581)/B582),0,(SUM(C572:C581)/B582))</f>
        <v>0</v>
      </c>
      <c r="D582" s="1738">
        <f>SUM(D572:D581)</f>
        <v>0</v>
      </c>
      <c r="E582" s="1739">
        <f>IFERROR(D582/B582,0)</f>
        <v>0</v>
      </c>
      <c r="F582" s="479" t="s">
        <v>481</v>
      </c>
      <c r="G582" s="504"/>
      <c r="H582" s="1401">
        <f>SUM(H572:H581)</f>
        <v>0</v>
      </c>
      <c r="I582" s="371"/>
      <c r="J582" s="371"/>
      <c r="K582" s="371"/>
      <c r="L582" s="371"/>
      <c r="M582" s="1737">
        <f>IF(ISERROR(SUM(M572:M581)/$H$582),0,(SUM(M572:M581)/$H$582))</f>
        <v>0</v>
      </c>
      <c r="N582" s="1737">
        <f>IF(ISERROR(SUM(N572:N581)/$H$582),0,(SUM(N572:N581)/$H$582))</f>
        <v>0</v>
      </c>
      <c r="O582" s="1737">
        <f t="shared" ref="O582:V582" si="175">IF(ISERROR(SUM(O572:O581)/$H$582),0,(SUM(O572:O581)/$H$582))</f>
        <v>0</v>
      </c>
      <c r="P582" s="1737">
        <f t="shared" si="175"/>
        <v>0</v>
      </c>
      <c r="Q582" s="1737">
        <f t="shared" si="175"/>
        <v>0</v>
      </c>
      <c r="R582" s="1737">
        <f t="shared" si="175"/>
        <v>0</v>
      </c>
      <c r="S582" s="1737">
        <f t="shared" si="175"/>
        <v>0</v>
      </c>
      <c r="T582" s="1737">
        <f t="shared" si="175"/>
        <v>0</v>
      </c>
      <c r="U582" s="1737">
        <f t="shared" si="175"/>
        <v>0</v>
      </c>
      <c r="V582" s="1737">
        <f t="shared" si="175"/>
        <v>0</v>
      </c>
      <c r="W582" s="1737">
        <f>IF(ISERROR(SUM(W572:W581)/$H$582),0,(SUM(W572:W581)/$H$582))</f>
        <v>0</v>
      </c>
      <c r="X582" s="1740">
        <f>SUM(X572:X581)</f>
        <v>0</v>
      </c>
      <c r="Y582" s="1739">
        <f>IFERROR(SUM(X582/H582),0)</f>
        <v>0</v>
      </c>
      <c r="Z582" s="512"/>
      <c r="AA582" s="512"/>
      <c r="AB582" s="512"/>
      <c r="AC582" s="512"/>
      <c r="AD582" s="512"/>
      <c r="AE582" s="512"/>
      <c r="AF582" s="512"/>
      <c r="AG582" s="512"/>
      <c r="AH582" s="512"/>
      <c r="AI582" s="512"/>
      <c r="AJ582" s="512"/>
      <c r="AK582" s="512"/>
      <c r="AL582" s="512"/>
      <c r="AM582" s="512"/>
      <c r="AN582" s="512"/>
      <c r="AO582" s="512"/>
      <c r="AP582" s="1432"/>
      <c r="AQ582" s="1432"/>
      <c r="AR582" s="1432"/>
      <c r="AS582" s="992"/>
      <c r="AT582" s="1012"/>
      <c r="AU582" s="978"/>
      <c r="AV582" s="512"/>
      <c r="AW582" s="512"/>
      <c r="AX582" s="512"/>
      <c r="AY582" s="729"/>
      <c r="AZ582" s="729"/>
      <c r="BA582" s="729"/>
      <c r="BB582" s="729"/>
      <c r="BC582" s="729"/>
      <c r="BD582" s="729"/>
      <c r="BE582" s="714"/>
      <c r="BF582" s="714"/>
      <c r="BG582" s="701"/>
    </row>
    <row r="583" spans="1:64" x14ac:dyDescent="0.2">
      <c r="F583" s="475"/>
      <c r="G583" s="372"/>
      <c r="X583" s="465"/>
      <c r="Y583" s="477"/>
      <c r="Z583" s="540"/>
      <c r="AA583" s="511"/>
      <c r="AB583" s="511"/>
      <c r="AC583" s="511"/>
      <c r="AD583" s="511"/>
      <c r="AE583" s="511"/>
      <c r="AF583" s="511"/>
      <c r="AG583" s="511"/>
      <c r="AH583" s="511"/>
      <c r="AI583" s="511"/>
      <c r="AJ583" s="511"/>
      <c r="AK583" s="511"/>
      <c r="AL583" s="511"/>
      <c r="AM583" s="511"/>
      <c r="AN583" s="511"/>
      <c r="AO583" s="511"/>
      <c r="AP583" s="1433"/>
      <c r="AQ583" s="1433"/>
      <c r="AR583" s="1433"/>
      <c r="AS583" s="993"/>
      <c r="AT583" s="1013"/>
      <c r="AU583" s="979"/>
      <c r="AV583" s="511"/>
      <c r="AW583" s="511"/>
      <c r="AX583" s="511"/>
      <c r="AY583" s="728"/>
      <c r="AZ583" s="728"/>
      <c r="BA583" s="728"/>
      <c r="BB583" s="728"/>
      <c r="BC583" s="728"/>
      <c r="BD583" s="728"/>
      <c r="BE583" s="713"/>
      <c r="BF583" s="713"/>
      <c r="BG583" s="700"/>
    </row>
    <row r="584" spans="1:64" x14ac:dyDescent="0.2">
      <c r="F584" s="478"/>
      <c r="G584" s="239"/>
      <c r="Y584" s="468"/>
      <c r="Z584" s="533"/>
    </row>
    <row r="585" spans="1:64" ht="39" thickBot="1" x14ac:dyDescent="0.25">
      <c r="A585" s="480" t="s">
        <v>482</v>
      </c>
      <c r="B585" s="377" t="s">
        <v>255</v>
      </c>
      <c r="C585" s="377" t="s">
        <v>271</v>
      </c>
      <c r="D585" s="377" t="s">
        <v>272</v>
      </c>
      <c r="E585" s="375" t="s">
        <v>273</v>
      </c>
      <c r="F585" s="480" t="s">
        <v>482</v>
      </c>
      <c r="G585" s="505"/>
      <c r="H585" s="402"/>
      <c r="I585" s="376"/>
      <c r="J585" s="376"/>
      <c r="K585" s="376"/>
      <c r="L585" s="376"/>
      <c r="M585" s="376"/>
      <c r="N585" s="376"/>
      <c r="O585" s="376"/>
      <c r="P585" s="376"/>
      <c r="Q585" s="376"/>
      <c r="R585" s="376"/>
      <c r="S585" s="376"/>
      <c r="T585" s="376"/>
      <c r="U585" s="376"/>
      <c r="V585" s="377" t="s">
        <v>255</v>
      </c>
      <c r="W585" s="377" t="s">
        <v>271</v>
      </c>
      <c r="X585" s="377" t="s">
        <v>272</v>
      </c>
      <c r="Y585" s="375" t="s">
        <v>273</v>
      </c>
      <c r="Z585" s="541"/>
      <c r="AA585" s="513"/>
      <c r="AB585" s="513"/>
      <c r="AC585" s="513"/>
      <c r="AD585" s="513"/>
      <c r="AE585" s="513"/>
      <c r="AF585" s="513"/>
      <c r="AG585" s="513"/>
      <c r="AH585" s="513"/>
      <c r="AI585" s="513"/>
      <c r="AJ585" s="513"/>
      <c r="AK585" s="513"/>
      <c r="AL585" s="513"/>
      <c r="AM585" s="513"/>
      <c r="AN585" s="513"/>
      <c r="AO585" s="513"/>
      <c r="AP585" s="1434"/>
      <c r="AQ585" s="1434"/>
      <c r="AR585" s="1434"/>
      <c r="AS585" s="994"/>
      <c r="AT585" s="1014"/>
      <c r="AU585" s="980"/>
      <c r="AV585" s="513"/>
      <c r="AW585" s="513"/>
      <c r="AX585" s="513"/>
      <c r="AY585" s="730"/>
      <c r="AZ585" s="730"/>
      <c r="BA585" s="730"/>
      <c r="BB585" s="730"/>
      <c r="BC585" s="730"/>
      <c r="BD585" s="730"/>
      <c r="BE585" s="715"/>
      <c r="BF585" s="715"/>
      <c r="BG585" s="702"/>
      <c r="BL585" s="604"/>
    </row>
    <row r="586" spans="1:64" x14ac:dyDescent="0.2">
      <c r="A586" s="481" t="s">
        <v>300</v>
      </c>
      <c r="B586" s="1889"/>
      <c r="C586" s="1890"/>
      <c r="D586" s="380">
        <f>C586*B586</f>
        <v>0</v>
      </c>
      <c r="E586" s="378"/>
      <c r="F586" s="481" t="s">
        <v>300</v>
      </c>
      <c r="G586" s="506"/>
      <c r="H586" s="379"/>
      <c r="I586" s="379"/>
      <c r="J586" s="379"/>
      <c r="K586" s="379"/>
      <c r="L586" s="379"/>
      <c r="M586" s="379"/>
      <c r="N586" s="379"/>
      <c r="O586" s="379"/>
      <c r="P586" s="379"/>
      <c r="Q586" s="379"/>
      <c r="R586" s="379"/>
      <c r="S586" s="379"/>
      <c r="T586" s="379"/>
      <c r="U586" s="379"/>
      <c r="V586" s="483"/>
      <c r="W586" s="370"/>
      <c r="X586" s="380">
        <f>W586*V586</f>
        <v>0</v>
      </c>
      <c r="Y586" s="378"/>
      <c r="Z586" s="542"/>
      <c r="AA586" s="514"/>
      <c r="AB586" s="514"/>
      <c r="AC586" s="514"/>
      <c r="AD586" s="514"/>
      <c r="AE586" s="514"/>
      <c r="AF586" s="514"/>
      <c r="AG586" s="514"/>
      <c r="AH586" s="514"/>
      <c r="AI586" s="514"/>
      <c r="AJ586" s="514"/>
      <c r="AK586" s="514"/>
      <c r="AL586" s="514"/>
      <c r="AM586" s="514"/>
      <c r="AN586" s="514"/>
      <c r="AO586" s="514"/>
      <c r="AP586" s="1435"/>
      <c r="AQ586" s="1435"/>
      <c r="AR586" s="1435"/>
      <c r="AS586" s="995"/>
      <c r="AT586" s="1015"/>
      <c r="AU586" s="981"/>
      <c r="AV586" s="514"/>
      <c r="AW586" s="514"/>
      <c r="AX586" s="514"/>
      <c r="AY586" s="731"/>
      <c r="AZ586" s="731"/>
      <c r="BA586" s="731"/>
      <c r="BB586" s="731"/>
      <c r="BC586" s="731"/>
      <c r="BD586" s="731"/>
      <c r="BE586" s="716"/>
      <c r="BF586" s="716"/>
      <c r="BG586" s="703"/>
    </row>
    <row r="587" spans="1:64" ht="13.5" thickBot="1" x14ac:dyDescent="0.25">
      <c r="A587" s="481" t="s">
        <v>301</v>
      </c>
      <c r="B587" s="1891"/>
      <c r="C587" s="1890"/>
      <c r="D587" s="380">
        <f>C587*B587</f>
        <v>0</v>
      </c>
      <c r="E587" s="381"/>
      <c r="F587" s="481" t="s">
        <v>301</v>
      </c>
      <c r="G587" s="506"/>
      <c r="H587" s="379"/>
      <c r="I587" s="379"/>
      <c r="J587" s="379"/>
      <c r="K587" s="379"/>
      <c r="L587" s="379"/>
      <c r="M587" s="379"/>
      <c r="N587" s="379"/>
      <c r="O587" s="379"/>
      <c r="P587" s="379"/>
      <c r="Q587" s="379"/>
      <c r="R587" s="379"/>
      <c r="S587" s="379"/>
      <c r="T587" s="379"/>
      <c r="U587" s="379"/>
      <c r="V587" s="484"/>
      <c r="W587" s="370"/>
      <c r="X587" s="380">
        <f>W587*V587</f>
        <v>0</v>
      </c>
      <c r="Y587" s="381"/>
      <c r="Z587" s="542"/>
      <c r="AA587" s="514"/>
      <c r="AB587" s="514"/>
      <c r="AC587" s="514"/>
      <c r="AD587" s="514"/>
      <c r="AE587" s="514"/>
      <c r="AF587" s="514"/>
      <c r="AG587" s="514"/>
      <c r="AH587" s="514"/>
      <c r="AI587" s="514"/>
      <c r="AJ587" s="514"/>
      <c r="AK587" s="514"/>
      <c r="AL587" s="514"/>
      <c r="AM587" s="514"/>
      <c r="AN587" s="514"/>
      <c r="AO587" s="514"/>
      <c r="AP587" s="1435"/>
      <c r="AQ587" s="1435"/>
      <c r="AR587" s="1435"/>
      <c r="AS587" s="995"/>
      <c r="AT587" s="1015"/>
      <c r="AU587" s="981"/>
      <c r="AV587" s="514"/>
      <c r="AW587" s="514"/>
      <c r="AX587" s="514"/>
      <c r="AY587" s="731"/>
      <c r="AZ587" s="731"/>
      <c r="BA587" s="731"/>
      <c r="BB587" s="731"/>
      <c r="BC587" s="731"/>
      <c r="BD587" s="731"/>
      <c r="BE587" s="716"/>
      <c r="BF587" s="716"/>
      <c r="BG587" s="703"/>
      <c r="BL587" s="608"/>
    </row>
    <row r="588" spans="1:64" ht="13.5" thickBot="1" x14ac:dyDescent="0.25">
      <c r="A588" s="482" t="s">
        <v>483</v>
      </c>
      <c r="B588" s="485">
        <f>SUM(B586:B587)</f>
        <v>0</v>
      </c>
      <c r="C588" s="374"/>
      <c r="D588" s="382"/>
      <c r="E588" s="383">
        <f>IF(ISERROR(SUM(D586:D587)/B588),0,(SUM(D586:D587)/B588))</f>
        <v>0</v>
      </c>
      <c r="F588" s="482" t="s">
        <v>483</v>
      </c>
      <c r="G588" s="507"/>
      <c r="H588" s="374"/>
      <c r="I588" s="374"/>
      <c r="J588" s="374"/>
      <c r="K588" s="374"/>
      <c r="L588" s="374"/>
      <c r="M588" s="374"/>
      <c r="N588" s="374"/>
      <c r="O588" s="374"/>
      <c r="P588" s="374"/>
      <c r="Q588" s="374"/>
      <c r="R588" s="374"/>
      <c r="S588" s="374"/>
      <c r="T588" s="374"/>
      <c r="U588" s="374"/>
      <c r="V588" s="485">
        <f>SUM(V586:V587)</f>
        <v>0</v>
      </c>
      <c r="W588" s="374"/>
      <c r="X588" s="382"/>
      <c r="Y588" s="383">
        <f>IF(ISERROR(SUM(X586:X587)/V588),0,(SUM(X586:X587)/V588))</f>
        <v>0</v>
      </c>
      <c r="Z588" s="515"/>
      <c r="AA588" s="515"/>
      <c r="AB588" s="515"/>
      <c r="AC588" s="515"/>
      <c r="AD588" s="515"/>
      <c r="AE588" s="515"/>
      <c r="AF588" s="515"/>
      <c r="AG588" s="515"/>
      <c r="AH588" s="515"/>
      <c r="AI588" s="515"/>
      <c r="AJ588" s="515"/>
      <c r="AK588" s="515"/>
      <c r="AL588" s="515"/>
      <c r="AM588" s="515"/>
      <c r="AN588" s="515"/>
      <c r="AO588" s="515"/>
      <c r="AP588" s="1436"/>
      <c r="AQ588" s="1436"/>
      <c r="AR588" s="1436"/>
      <c r="AS588" s="996"/>
      <c r="AT588" s="1016"/>
      <c r="AU588" s="982"/>
      <c r="AV588" s="515"/>
      <c r="AW588" s="515"/>
      <c r="AX588" s="515"/>
      <c r="AY588" s="732"/>
      <c r="AZ588" s="732"/>
      <c r="BA588" s="732"/>
      <c r="BB588" s="732"/>
      <c r="BC588" s="732"/>
      <c r="BD588" s="732"/>
      <c r="BE588" s="717"/>
      <c r="BF588" s="717"/>
      <c r="BG588" s="704"/>
      <c r="BL588" s="608"/>
    </row>
    <row r="589" spans="1:64" ht="4.9000000000000004" customHeight="1" x14ac:dyDescent="0.2">
      <c r="F589" s="2052"/>
      <c r="Y589" s="2052"/>
      <c r="Z589" s="533"/>
    </row>
    <row r="590" spans="1:64" x14ac:dyDescent="0.2">
      <c r="F590" s="2054" t="s">
        <v>330</v>
      </c>
      <c r="Z590" s="533"/>
    </row>
    <row r="591" spans="1:64" ht="4.9000000000000004" customHeight="1" thickBot="1" x14ac:dyDescent="0.25">
      <c r="F591" s="2055"/>
      <c r="Z591" s="543"/>
      <c r="AY591" s="733"/>
      <c r="AZ591" s="733"/>
      <c r="BA591" s="733"/>
      <c r="BB591" s="733"/>
      <c r="BC591" s="733"/>
      <c r="BD591" s="733"/>
      <c r="BE591" s="718"/>
      <c r="BF591" s="718"/>
      <c r="BG591" s="695"/>
    </row>
    <row r="592" spans="1:64" x14ac:dyDescent="0.2">
      <c r="F592" s="523" t="s">
        <v>315</v>
      </c>
      <c r="G592" s="522" t="s">
        <v>311</v>
      </c>
      <c r="H592" s="2416" t="s">
        <v>314</v>
      </c>
      <c r="I592" s="2417"/>
      <c r="J592" s="2388" t="s">
        <v>313</v>
      </c>
      <c r="K592" s="2389"/>
      <c r="Z592" s="533"/>
    </row>
    <row r="593" spans="6:64" ht="28.15" customHeight="1" thickBot="1" x14ac:dyDescent="0.25">
      <c r="F593" s="524"/>
      <c r="G593" s="1047" t="s">
        <v>324</v>
      </c>
      <c r="H593" s="2418" t="s">
        <v>325</v>
      </c>
      <c r="I593" s="2419"/>
      <c r="J593" s="2390" t="s">
        <v>326</v>
      </c>
      <c r="K593" s="2391"/>
      <c r="Z593" s="533"/>
    </row>
    <row r="594" spans="6:64" ht="4.9000000000000004" customHeight="1" x14ac:dyDescent="0.2">
      <c r="F594" s="2054"/>
      <c r="Z594" s="533"/>
    </row>
    <row r="595" spans="6:64" ht="15" customHeight="1" x14ac:dyDescent="0.2">
      <c r="F595" s="952" t="s">
        <v>399</v>
      </c>
      <c r="G595" s="640">
        <f>AA574</f>
        <v>0</v>
      </c>
      <c r="H595" s="2421">
        <f>AF574</f>
        <v>0</v>
      </c>
      <c r="I595" s="2421"/>
      <c r="J595" s="2422">
        <f>AK574</f>
        <v>0</v>
      </c>
      <c r="K595" s="2422"/>
      <c r="Z595" s="533"/>
    </row>
    <row r="596" spans="6:64" ht="13.5" thickBot="1" x14ac:dyDescent="0.25">
      <c r="F596" s="641" t="s">
        <v>327</v>
      </c>
      <c r="G596" s="638">
        <f>40*13/3</f>
        <v>173.33333333333334</v>
      </c>
      <c r="H596" s="2423">
        <f>40*13/3</f>
        <v>173.33333333333334</v>
      </c>
      <c r="I596" s="2423"/>
      <c r="J596" s="2424">
        <f>40*13/3</f>
        <v>173.33333333333334</v>
      </c>
      <c r="K596" s="2424"/>
      <c r="Z596" s="533"/>
    </row>
    <row r="597" spans="6:64" ht="13.5" thickBot="1" x14ac:dyDescent="0.25">
      <c r="F597" s="642" t="s">
        <v>341</v>
      </c>
      <c r="G597" s="557">
        <f>IFERROR(G595/G596,0)</f>
        <v>0</v>
      </c>
      <c r="H597" s="2425">
        <f>IFERROR(H595/H596,0)</f>
        <v>0</v>
      </c>
      <c r="I597" s="2426">
        <f>IFERROR(I595/I596,0)</f>
        <v>0</v>
      </c>
      <c r="J597" s="2425">
        <f>IFERROR(J595/J596,0)</f>
        <v>0</v>
      </c>
      <c r="K597" s="2426">
        <f>IFERROR(K595/K596,0)</f>
        <v>0</v>
      </c>
      <c r="Z597" s="533"/>
      <c r="AA597" s="1033"/>
      <c r="AB597" s="1033"/>
      <c r="AC597" s="1033"/>
      <c r="AD597" s="1033"/>
      <c r="AE597" s="1033"/>
      <c r="AF597" s="1033"/>
      <c r="AG597" s="1033"/>
      <c r="AH597" s="1033"/>
      <c r="AI597" s="1033"/>
      <c r="AJ597" s="1033"/>
      <c r="AK597" s="1033"/>
      <c r="AL597" s="1033"/>
    </row>
    <row r="598" spans="6:64" ht="4.9000000000000004" customHeight="1" x14ac:dyDescent="0.2">
      <c r="F598" s="2056"/>
      <c r="G598" s="529"/>
      <c r="H598" s="529"/>
      <c r="I598" s="529"/>
      <c r="J598" s="521"/>
      <c r="K598" s="521"/>
      <c r="Z598" s="533"/>
      <c r="AA598" s="1034"/>
      <c r="AB598" s="1035"/>
      <c r="AC598" s="1035"/>
      <c r="AD598" s="1035"/>
      <c r="AE598" s="1036"/>
      <c r="AF598" s="373"/>
      <c r="AG598" s="373"/>
      <c r="AH598" s="373"/>
      <c r="AI598" s="373"/>
      <c r="AJ598" s="1037"/>
      <c r="AK598" s="1037"/>
      <c r="AL598" s="1037"/>
    </row>
    <row r="599" spans="6:64" x14ac:dyDescent="0.2">
      <c r="F599" s="643" t="s">
        <v>331</v>
      </c>
      <c r="G599" s="1402">
        <f>AP572</f>
        <v>0</v>
      </c>
      <c r="H599" s="2427">
        <f>AQ572</f>
        <v>0</v>
      </c>
      <c r="I599" s="2428"/>
      <c r="J599" s="2420">
        <f>AR572</f>
        <v>0</v>
      </c>
      <c r="K599" s="2420"/>
      <c r="Z599" s="533"/>
      <c r="AY599" s="372"/>
      <c r="AZ599" s="372"/>
      <c r="BA599" s="372"/>
      <c r="BB599" s="372"/>
      <c r="BC599" s="372"/>
      <c r="BD599" s="372"/>
      <c r="BE599" s="719"/>
      <c r="BF599" s="719"/>
      <c r="BG599" s="698"/>
    </row>
    <row r="600" spans="6:64" ht="13.5" thickBot="1" x14ac:dyDescent="0.25">
      <c r="F600" s="644" t="s">
        <v>316</v>
      </c>
      <c r="G600" s="2431">
        <f>IFERROR(SUM(G599:K599),0)</f>
        <v>0</v>
      </c>
      <c r="H600" s="2431"/>
      <c r="I600" s="2431"/>
      <c r="J600" s="2431"/>
      <c r="K600" s="2431"/>
      <c r="Z600" s="533"/>
      <c r="AY600" s="372"/>
      <c r="AZ600" s="372"/>
      <c r="BA600" s="372"/>
      <c r="BB600" s="372"/>
      <c r="BC600" s="372"/>
      <c r="BD600" s="372"/>
      <c r="BE600" s="719"/>
      <c r="BF600" s="719"/>
      <c r="BG600" s="698"/>
    </row>
    <row r="601" spans="6:64" ht="13.5" thickBot="1" x14ac:dyDescent="0.25">
      <c r="F601" s="645" t="s">
        <v>328</v>
      </c>
      <c r="G601" s="639">
        <f>IFERROR(G599/G600,0)</f>
        <v>0</v>
      </c>
      <c r="H601" s="2432">
        <f>IFERROR(H599/G600,0)</f>
        <v>0</v>
      </c>
      <c r="I601" s="2433"/>
      <c r="J601" s="2434">
        <f>IFERROR(J599/G600,0)</f>
        <v>0</v>
      </c>
      <c r="K601" s="2435"/>
      <c r="Z601" s="533"/>
    </row>
    <row r="602" spans="6:64" ht="4.9000000000000004" customHeight="1" thickBot="1" x14ac:dyDescent="0.25">
      <c r="Z602" s="533"/>
    </row>
    <row r="603" spans="6:64" ht="27" thickBot="1" x14ac:dyDescent="0.3">
      <c r="F603" s="558" t="s">
        <v>337</v>
      </c>
      <c r="G603" s="2436">
        <f>IFERROR(G601*G597+H601*H597+J601*J597,0)</f>
        <v>0</v>
      </c>
      <c r="H603" s="2437"/>
      <c r="I603" s="2437"/>
      <c r="J603" s="2437"/>
      <c r="K603" s="2438"/>
      <c r="Z603" s="533"/>
    </row>
    <row r="604" spans="6:64" ht="4.9000000000000004" customHeight="1" x14ac:dyDescent="0.25">
      <c r="F604" s="530"/>
      <c r="G604" s="525"/>
      <c r="H604" s="525"/>
      <c r="I604" s="525"/>
      <c r="J604" s="525"/>
      <c r="K604" s="525"/>
      <c r="Z604" s="533"/>
    </row>
    <row r="605" spans="6:64" x14ac:dyDescent="0.2">
      <c r="F605" s="531" t="s">
        <v>319</v>
      </c>
      <c r="G605" s="646">
        <f>IFERROR(AS572/AP572,0)</f>
        <v>0</v>
      </c>
      <c r="H605" s="2429">
        <f>IFERROR(AT572/AQ572,0)</f>
        <v>0</v>
      </c>
      <c r="I605" s="2430">
        <f>IFERROR(SUM(AU51:AU568)/I599,0)</f>
        <v>0</v>
      </c>
      <c r="J605" s="2429">
        <f>IFERROR(AU572/AR572,0)</f>
        <v>0</v>
      </c>
      <c r="K605" s="2430">
        <f>IFERROR(SUM(BI51:BI568)/K599,0)</f>
        <v>0</v>
      </c>
      <c r="Z605" s="533"/>
      <c r="AY605" s="487"/>
      <c r="AZ605" s="487"/>
      <c r="BA605" s="487"/>
      <c r="BB605" s="487"/>
      <c r="BC605" s="487"/>
      <c r="BD605" s="487"/>
      <c r="BE605" s="736"/>
      <c r="BF605" s="736"/>
      <c r="BG605" s="736"/>
    </row>
    <row r="606" spans="6:64" ht="4.9000000000000004" customHeight="1" thickBot="1" x14ac:dyDescent="0.25">
      <c r="Y606" s="2053"/>
      <c r="Z606" s="533"/>
      <c r="AY606" s="734"/>
      <c r="AZ606" s="734"/>
      <c r="BA606" s="734"/>
      <c r="BB606" s="734"/>
      <c r="BC606" s="734"/>
      <c r="BD606" s="734"/>
    </row>
    <row r="607" spans="6:64" ht="15.75" thickBot="1" x14ac:dyDescent="0.3">
      <c r="F607" s="2393" t="s">
        <v>192</v>
      </c>
      <c r="G607" s="2394"/>
      <c r="H607" s="2394"/>
      <c r="I607" s="2394"/>
      <c r="J607" s="2394"/>
      <c r="K607" s="2394"/>
      <c r="L607" s="2394"/>
      <c r="M607" s="2394"/>
      <c r="N607" s="2394"/>
      <c r="O607" s="2394"/>
      <c r="P607" s="2394"/>
      <c r="Q607" s="2394"/>
      <c r="R607" s="2394"/>
      <c r="S607" s="2394"/>
      <c r="T607" s="2394"/>
      <c r="U607" s="2394"/>
      <c r="V607" s="2394"/>
      <c r="W607" s="2394"/>
      <c r="X607" s="2394"/>
      <c r="Y607" s="2395"/>
      <c r="Z607" s="516"/>
      <c r="AA607" s="516"/>
      <c r="AB607" s="516"/>
      <c r="AC607" s="516"/>
      <c r="AD607" s="516"/>
      <c r="AE607" s="516"/>
      <c r="AF607" s="516"/>
      <c r="AG607" s="516"/>
      <c r="AH607" s="516"/>
      <c r="AI607" s="516"/>
      <c r="AJ607" s="516"/>
      <c r="AK607" s="516"/>
      <c r="AL607" s="516"/>
      <c r="AM607" s="516"/>
      <c r="AN607" s="516"/>
      <c r="AO607" s="516"/>
      <c r="AP607" s="1437"/>
      <c r="AQ607" s="1437"/>
      <c r="AR607" s="1437"/>
      <c r="AS607" s="997"/>
      <c r="AT607" s="1017"/>
      <c r="AU607" s="983"/>
      <c r="AY607" s="735"/>
      <c r="AZ607" s="735"/>
      <c r="BA607" s="735"/>
      <c r="BB607" s="735"/>
      <c r="BC607" s="735"/>
      <c r="BD607" s="735"/>
      <c r="BL607" s="566"/>
    </row>
    <row r="608" spans="6:64" ht="15" x14ac:dyDescent="0.25">
      <c r="AY608" s="735"/>
      <c r="AZ608" s="735"/>
      <c r="BA608" s="735"/>
      <c r="BB608" s="735"/>
      <c r="BC608" s="735"/>
      <c r="BD608" s="735"/>
    </row>
    <row r="609" spans="6:56" ht="15" x14ac:dyDescent="0.25">
      <c r="F609" s="933"/>
      <c r="G609" s="933"/>
      <c r="H609" s="373"/>
      <c r="I609" s="373"/>
      <c r="J609" s="373"/>
      <c r="K609" s="373"/>
      <c r="L609" s="373"/>
      <c r="AY609" s="735"/>
      <c r="AZ609" s="735"/>
      <c r="BA609" s="735"/>
      <c r="BB609" s="735"/>
      <c r="BC609" s="735"/>
      <c r="BD609" s="735"/>
    </row>
    <row r="610" spans="6:56" ht="15" x14ac:dyDescent="0.25">
      <c r="F610" s="933"/>
      <c r="G610" s="933"/>
      <c r="H610" s="373"/>
      <c r="I610" s="373"/>
      <c r="J610" s="373"/>
      <c r="K610" s="373"/>
      <c r="L610" s="373"/>
      <c r="AY610" s="735"/>
      <c r="AZ610" s="735"/>
      <c r="BA610" s="735"/>
      <c r="BB610" s="735"/>
      <c r="BC610" s="735"/>
      <c r="BD610" s="735"/>
    </row>
    <row r="611" spans="6:56" ht="15" x14ac:dyDescent="0.25">
      <c r="F611" s="934"/>
      <c r="G611" s="934"/>
      <c r="H611" s="323"/>
      <c r="I611" s="323"/>
      <c r="J611" s="323"/>
      <c r="K611" s="323"/>
      <c r="L611" s="323"/>
      <c r="M611" s="21"/>
      <c r="N611" s="21"/>
      <c r="AY611" s="735"/>
      <c r="AZ611" s="735"/>
      <c r="BA611" s="735"/>
      <c r="BB611" s="735"/>
      <c r="BC611" s="735"/>
      <c r="BD611" s="735"/>
    </row>
    <row r="612" spans="6:56" ht="15" x14ac:dyDescent="0.25">
      <c r="F612" s="323"/>
      <c r="G612" s="323"/>
      <c r="H612" s="323"/>
      <c r="I612" s="323"/>
      <c r="J612" s="323"/>
      <c r="K612" s="323"/>
      <c r="L612" s="323"/>
      <c r="M612" s="21"/>
      <c r="N612" s="21"/>
      <c r="AY612" s="735"/>
      <c r="AZ612" s="735"/>
      <c r="BA612" s="735"/>
      <c r="BB612" s="735"/>
      <c r="BC612" s="735"/>
      <c r="BD612" s="735"/>
    </row>
    <row r="613" spans="6:56" x14ac:dyDescent="0.2">
      <c r="F613" s="21"/>
      <c r="G613" s="21"/>
      <c r="H613" s="21"/>
      <c r="I613" s="21"/>
      <c r="J613" s="21"/>
      <c r="K613" s="21"/>
      <c r="L613" s="21"/>
      <c r="M613" s="21"/>
      <c r="N613" s="21"/>
    </row>
    <row r="614" spans="6:56" x14ac:dyDescent="0.2">
      <c r="F614" s="21"/>
      <c r="G614" s="21"/>
      <c r="H614" s="21"/>
      <c r="I614" s="21"/>
      <c r="J614" s="21"/>
      <c r="K614" s="21"/>
      <c r="L614" s="21"/>
      <c r="M614" s="21"/>
      <c r="N614" s="21"/>
    </row>
    <row r="615" spans="6:56" x14ac:dyDescent="0.2">
      <c r="F615" s="21"/>
      <c r="G615" s="21"/>
      <c r="H615" s="21"/>
      <c r="I615" s="21"/>
      <c r="J615" s="21"/>
      <c r="K615" s="21"/>
      <c r="L615" s="21"/>
      <c r="M615" s="21"/>
      <c r="N615" s="21"/>
    </row>
    <row r="616" spans="6:56" x14ac:dyDescent="0.2">
      <c r="F616" s="21"/>
      <c r="G616" s="21"/>
      <c r="H616" s="21"/>
      <c r="I616" s="21"/>
      <c r="J616" s="21"/>
      <c r="K616" s="21"/>
      <c r="L616" s="21"/>
      <c r="M616" s="21"/>
      <c r="N616" s="21"/>
    </row>
    <row r="617" spans="6:56" x14ac:dyDescent="0.2">
      <c r="F617" s="21"/>
      <c r="G617" s="21"/>
      <c r="H617" s="21"/>
      <c r="I617" s="21"/>
      <c r="J617" s="21"/>
      <c r="K617" s="21"/>
      <c r="L617" s="21"/>
      <c r="M617" s="21"/>
      <c r="N617" s="21"/>
    </row>
  </sheetData>
  <sheetProtection algorithmName="SHA-512" hashValue="f7hfujK49/QkvX44QZkgjfNWzt7fQ0+Zhebr8fcCDeJ6xsz/Ry0DpNhxPEDoqfILO5Ev+6CQCSa/MTqreP4NOQ==" saltValue="mqLbJ8EkvUx89W3WdkCTzg==" spinCount="100000" sheet="1" objects="1" scenarios="1" selectLockedCells="1"/>
  <mergeCells count="97">
    <mergeCell ref="G22:G24"/>
    <mergeCell ref="A364:B364"/>
    <mergeCell ref="A365:B365"/>
    <mergeCell ref="A366:B366"/>
    <mergeCell ref="AI11:AI12"/>
    <mergeCell ref="M23:M24"/>
    <mergeCell ref="M22:S22"/>
    <mergeCell ref="N23:N24"/>
    <mergeCell ref="O23:O24"/>
    <mergeCell ref="T22:U22"/>
    <mergeCell ref="F22:F24"/>
    <mergeCell ref="K22:L22"/>
    <mergeCell ref="F359:G359"/>
    <mergeCell ref="F362:G362"/>
    <mergeCell ref="F34:G34"/>
    <mergeCell ref="F40:G40"/>
    <mergeCell ref="BI11:BI12"/>
    <mergeCell ref="AA47:AE47"/>
    <mergeCell ref="AF47:AJ47"/>
    <mergeCell ref="AK47:AO47"/>
    <mergeCell ref="BA42:BA43"/>
    <mergeCell ref="BA45:BA46"/>
    <mergeCell ref="AR11:AR12"/>
    <mergeCell ref="Z22:AU22"/>
    <mergeCell ref="AA23:AE23"/>
    <mergeCell ref="AF23:AJ23"/>
    <mergeCell ref="AK23:AO23"/>
    <mergeCell ref="AH11:AH12"/>
    <mergeCell ref="BH11:BH12"/>
    <mergeCell ref="F396:G396"/>
    <mergeCell ref="F424:G424"/>
    <mergeCell ref="I368:L368"/>
    <mergeCell ref="F364:H364"/>
    <mergeCell ref="F365:H365"/>
    <mergeCell ref="F366:H366"/>
    <mergeCell ref="F46:G46"/>
    <mergeCell ref="F255:G255"/>
    <mergeCell ref="F151:G151"/>
    <mergeCell ref="AK574:AO574"/>
    <mergeCell ref="AV24:AX24"/>
    <mergeCell ref="P369:Y369"/>
    <mergeCell ref="P428:Y428"/>
    <mergeCell ref="T23:T24"/>
    <mergeCell ref="AS24:AU24"/>
    <mergeCell ref="AP23:AR23"/>
    <mergeCell ref="AA574:AE574"/>
    <mergeCell ref="P257:Y257"/>
    <mergeCell ref="P538:Y538"/>
    <mergeCell ref="AF574:AJ574"/>
    <mergeCell ref="P26:S26"/>
    <mergeCell ref="V23:W23"/>
    <mergeCell ref="U23:U24"/>
    <mergeCell ref="B4:D4"/>
    <mergeCell ref="B5:D5"/>
    <mergeCell ref="A11:E11"/>
    <mergeCell ref="A22:A24"/>
    <mergeCell ref="B22:B24"/>
    <mergeCell ref="C22:C24"/>
    <mergeCell ref="D22:D24"/>
    <mergeCell ref="E22:E24"/>
    <mergeCell ref="A21:E21"/>
    <mergeCell ref="K23:L23"/>
    <mergeCell ref="R23:S23"/>
    <mergeCell ref="F11:Y11"/>
    <mergeCell ref="F21:Y21"/>
    <mergeCell ref="M13:O13"/>
    <mergeCell ref="M14:Q14"/>
    <mergeCell ref="H605:I605"/>
    <mergeCell ref="J605:K605"/>
    <mergeCell ref="G600:K600"/>
    <mergeCell ref="H601:I601"/>
    <mergeCell ref="J601:K601"/>
    <mergeCell ref="G603:K603"/>
    <mergeCell ref="J599:K599"/>
    <mergeCell ref="H595:I595"/>
    <mergeCell ref="J595:K595"/>
    <mergeCell ref="H596:I596"/>
    <mergeCell ref="J596:K596"/>
    <mergeCell ref="H597:I597"/>
    <mergeCell ref="J597:K597"/>
    <mergeCell ref="H599:I599"/>
    <mergeCell ref="J592:K592"/>
    <mergeCell ref="J593:K593"/>
    <mergeCell ref="BA50:BA51"/>
    <mergeCell ref="F607:Y607"/>
    <mergeCell ref="BM24:BM50"/>
    <mergeCell ref="H22:H24"/>
    <mergeCell ref="I22:I24"/>
    <mergeCell ref="J22:J24"/>
    <mergeCell ref="V22:W22"/>
    <mergeCell ref="X22:X24"/>
    <mergeCell ref="Y22:Y24"/>
    <mergeCell ref="I146:W150"/>
    <mergeCell ref="P437:Y437"/>
    <mergeCell ref="P571:Y571"/>
    <mergeCell ref="H592:I592"/>
    <mergeCell ref="H593:I593"/>
  </mergeCells>
  <conditionalFormatting sqref="J13:L13">
    <cfRule type="expression" dxfId="207" priority="69">
      <formula>$M$12="ja"</formula>
    </cfRule>
  </conditionalFormatting>
  <conditionalFormatting sqref="L225:L254">
    <cfRule type="expression" dxfId="206" priority="25">
      <formula>$K$24="VK"</formula>
    </cfRule>
  </conditionalFormatting>
  <conditionalFormatting sqref="L329:L358">
    <cfRule type="expression" dxfId="205" priority="26">
      <formula>$K$24="VK"</formula>
    </cfRule>
  </conditionalFormatting>
  <conditionalFormatting sqref="L438:L473 L24 L28:L33 L37:L39 L43:L45 L51:L145 L154:L223 L258:L327 L371:L395 L399:L423 L429:L434 L539:L568 L572:L581">
    <cfRule type="expression" dxfId="204" priority="30">
      <formula>$K$24="VK"</formula>
    </cfRule>
  </conditionalFormatting>
  <conditionalFormatting sqref="L475:L504 L506:L535">
    <cfRule type="expression" dxfId="203" priority="24">
      <formula>$K$24="VK"</formula>
    </cfRule>
  </conditionalFormatting>
  <conditionalFormatting sqref="M368">
    <cfRule type="expression" dxfId="201" priority="115">
      <formula>$I$368=""</formula>
    </cfRule>
  </conditionalFormatting>
  <conditionalFormatting sqref="M13:O13">
    <cfRule type="expression" dxfId="200" priority="68">
      <formula>$M$12="ja"</formula>
    </cfRule>
  </conditionalFormatting>
  <conditionalFormatting sqref="P15">
    <cfRule type="expression" dxfId="198" priority="6">
      <formula>$M$12=""</formula>
    </cfRule>
    <cfRule type="expression" dxfId="197" priority="19">
      <formula>$M$13="regional übliches Entgelt"</formula>
    </cfRule>
  </conditionalFormatting>
  <dataValidations xWindow="1005" yWindow="755" count="23">
    <dataValidation allowBlank="1" showInputMessage="1" showErrorMessage="1" errorTitle="Berechnungshinweis" promptTitle="Berechnungshinweis" prompt="Die prozentualen Personalkostensteigerungen müssen bei der prognostischen Abbildung der einzelnen Entgeltbestandteile bereits enthalten sein." sqref="U19" xr:uid="{00000000-0002-0000-0300-000000000000}"/>
    <dataValidation allowBlank="1" showInputMessage="1" showErrorMessage="1" prompt="geplanten Gesamtpersonalkosten für Leiharbeitnehmer entsprechend des VK-Umfanges angeben" sqref="X146" xr:uid="{00000000-0002-0000-0300-000001000000}"/>
    <dataValidation type="list" allowBlank="1" showInputMessage="1" sqref="F225:F254 F539:F568 F51:F130 F429:F434 F43:F45 F572:F581 F139:F145 A51:A130 A572:A581 A429:A434 A506:A535 A539:A568 A154:A223 A225:A254 A139:A145 A258:A358 F258:F358 F371:F395 A371:A395 F399:F423 A399:A423 F28:F33 A28:A33 A37:A39 F37:F39 A43:A45 F154:F223 F132:F137 A132:A137 F506:F535 F475:F504 A475:A504 A438:A465 F438:F465 A467:A473 F467:F473" xr:uid="{00000000-0002-0000-0300-000002000000}">
      <formula1>"GfB"</formula1>
    </dataValidation>
    <dataValidation type="list" allowBlank="1" showInputMessage="1" prompt="für geringfügig Beschäftigte =&gt; Filter GfB wählen" sqref="F131 A131" xr:uid="{00000000-0002-0000-0300-000003000000}">
      <formula1>"GfB"</formula1>
    </dataValidation>
    <dataValidation type="whole" allowBlank="1" showInputMessage="1" showErrorMessage="1" promptTitle="Eingabe" prompt="ohne Nachkommastellen" sqref="V586:V587 B586:B587" xr:uid="{00000000-0002-0000-0300-000004000000}">
      <formula1>0</formula1>
      <formula2>20</formula2>
    </dataValidation>
    <dataValidation allowBlank="1" showInputMessage="1" showErrorMessage="1" promptTitle="Eingabe" prompt="mit maximal 3 Nachkommastellen" sqref="H505 H474 H328" xr:uid="{00000000-0002-0000-0300-000005000000}"/>
    <dataValidation allowBlank="1" showInputMessage="1" showErrorMessage="1" promptTitle="Eingabe" prompt="mit 3 Nachkommastellen" sqref="B505 H154 B474 B224 H224 B328" xr:uid="{00000000-0002-0000-0300-000006000000}"/>
    <dataValidation allowBlank="1" showInputMessage="1" sqref="G572:G581 A224 F224 F138 A138 A466 F466" xr:uid="{00000000-0002-0000-0300-000008000000}"/>
    <dataValidation type="list" allowBlank="1" showInputMessage="1" showErrorMessage="1" promptTitle="Funktionen" prompt="PDL = Pflegedienstleitung_x000a_stellv. PDL = Pflegedienstleitung_x000a_QM = Qualitätsmangementbeauftragte_x000a_HM = Hygienemanagementbeauftragte" sqref="G429:G434" xr:uid="{00000000-0002-0000-0300-000009000000}">
      <formula1>"PDL,stellv. PDL,QM,HM"</formula1>
    </dataValidation>
    <dataValidation type="list" allowBlank="1" showInputMessage="1" showErrorMessage="1" promptTitle="Bitte auswählen." prompt="Stellenumfang: Grundlohn / Stellenumfang_x000a_VK: Grundlohn / VK" sqref="K24" xr:uid="{00000000-0002-0000-0300-00000A000000}">
      <formula1>"Bitte auswählen,Stellenumfang,VK"</formula1>
    </dataValidation>
    <dataValidation type="list" allowBlank="1" showInputMessage="1" showErrorMessage="1" promptTitle="Beschäftigungsgruppen / Funktion" prompt="PDL = Pflegedienstleitung_x000a_stellv. = Pflegedienstleitung_x000a_" sqref="G28:G33" xr:uid="{00000000-0002-0000-0300-00000B000000}">
      <formula1>"PDL,stellv. PDL"</formula1>
    </dataValidation>
    <dataValidation type="list" allowBlank="1" showInputMessage="1" showErrorMessage="1" promptTitle="Beschäftigungsgruppen / Funktion" prompt="PFK/BFK = Pflege- / Betreuungsfachkraft mind. 3 Jahre Berufsausbildung_x000a_PK/BK = Pflege- / Betreuungsfachkraft mind. 1 Jahr Berufsausbildung_x000a_PK/BK o. = Pflege-/ Betreuungskraft ohne mind. 1 Jahr Berufsausbildung" sqref="G37:G39 G43:G45" xr:uid="{00000000-0002-0000-0300-00000C000000}">
      <formula1>"PFK/BFK,PK/BK,PK/BK o.,nicht Pflege"</formula1>
    </dataValidation>
    <dataValidation type="list" allowBlank="1" showInputMessage="1" showErrorMessage="1" promptTitle="Funktionen" prompt="PDL = Pflegedienstleitung_x000a_stellv. PDL = stellvertretende Pflegedienstleitung_x000a_QM = Qualitätsmangement_x000a_HM = Hygienemanagement" sqref="G51:G137 G139:G145" xr:uid="{00000000-0002-0000-0300-00000D000000}">
      <formula1>"PDL,stellv. PDL,QM,HM"</formula1>
    </dataValidation>
    <dataValidation type="list" allowBlank="1" showInputMessage="1" showErrorMessage="1" promptTitle="Beschäftigungsgruppe / Funktion" prompt="QM = Qualitätsmanagement_x000a_HM = Hygienemanagement" sqref="G254" xr:uid="{00000000-0002-0000-0300-00000E000000}">
      <formula1>"QM,HM"</formula1>
    </dataValidation>
    <dataValidation type="list" allowBlank="1" showInputMessage="1" showErrorMessage="1" sqref="P15" xr:uid="{00000000-0002-0000-0300-00000F000000}">
      <formula1>"sind beigefügt,wurde bereits eingereicht"</formula1>
    </dataValidation>
    <dataValidation type="list" allowBlank="1" showInputMessage="1" showErrorMessage="1" sqref="M368" xr:uid="{00000000-0002-0000-0300-000010000000}">
      <formula1>"ja,nein"</formula1>
    </dataValidation>
    <dataValidation allowBlank="1" showErrorMessage="1" sqref="G506:G535 G475:G504 G466:G473" xr:uid="{00000000-0002-0000-0300-000011000000}"/>
    <dataValidation allowBlank="1" showInputMessage="1" showErrorMessage="1" promptTitle="Eingabe" prompt="mit maximal 4 Nachkommastellen" sqref="H572:H581 H539:H568 B539:B568 B506:B535 H506:H535 H475:H504 B572:B581 H429:H434 B429:B434 B399:B423 H399:H423 H371:H395 B371:B395 H329:H358 H258:H327 B258:B327 B329:B358 H225:H254 H155:H223 B225:B254 B154:B223 H51:H145 B51:B145 B43:B45 H43:H45 H37:H39 B37:B39 B28:B33 H28:H33 B475:B504 H438:H473 B438:B473" xr:uid="{00000000-0002-0000-0300-000012000000}"/>
    <dataValidation allowBlank="1" showInputMessage="1" showErrorMessage="1" promptTitle="Beschäftigungsgruppen / Funktion" prompt="PDL = Pflegedienstleitung_x000a_stellv. PDL = Pflegedienstleitung_x000a_QM = Qualitätsmangement_x000a_HM = Hygienemanagement" sqref="G138" xr:uid="{00000000-0002-0000-0300-000013000000}"/>
    <dataValidation type="list" allowBlank="1" showInputMessage="1" showErrorMessage="1" promptTitle="Funktionen" prompt="QM = Qualitätsmanagement_x000a_HM = Hygienemanagement" sqref="G258:G327 G329:G358 G371:G395 G399:G423 G154:G223 G225:G253" xr:uid="{00000000-0002-0000-0300-000014000000}">
      <formula1>"QM,HM"</formula1>
    </dataValidation>
    <dataValidation allowBlank="1" showInputMessage="1" showErrorMessage="1" promptTitle="Beschäftigungsgruppen" prompt="PK/BK = Pflege-/Betreuungskraft mind. 1 Jahr Berufsausbildung_x000a_PK/BK o. = Pflege-/Betreuungskraft ohne mind 1 Jahr Berufsausbildung" sqref="G505" xr:uid="{00000000-0002-0000-0300-000015000000}"/>
    <dataValidation type="list" allowBlank="1" showInputMessage="1" showErrorMessage="1" sqref="G539:G568" xr:uid="{00000000-0002-0000-0300-000016000000}">
      <formula1>$AM$2:$AM$4</formula1>
    </dataValidation>
    <dataValidation type="custom" allowBlank="1" showInputMessage="1" showErrorMessage="1" prompt="für Leiharbeitnehmer den VK-Umfang entsprechend der gepplanten wö. Stundenzahl und Einsatzzeitraum angeben, Eingabe mit maximal 4 Nachkommastellen" sqref="H146:H150 B146:B150" xr:uid="{AE08E000-7D97-4C34-951C-80FF23A4EB8F}">
      <formula1>MOD(B146*10^4,1)=0</formula1>
    </dataValidation>
  </dataValidations>
  <hyperlinks>
    <hyperlink ref="F607:O607" location="Sachaufwendungen!A1" display="gehe weiter zu Sachaufwendungen" xr:uid="{00000000-0004-0000-0300-000000000000}"/>
    <hyperlink ref="F607:Y607" location="Personalaufwendungen!A1" display="gehe weiter zu Personalaufwendungen" xr:uid="{00000000-0004-0000-0300-000001000000}"/>
  </hyperlinks>
  <printOptions horizontalCentered="1" verticalCentered="1"/>
  <pageMargins left="0.70866141732283472" right="0.70866141732283472" top="0.39370078740157483" bottom="0.39370078740157483" header="0.19685039370078741" footer="0.19685039370078741"/>
  <pageSetup paperSize="9" scale="27" fitToHeight="5" orientation="landscape"/>
  <headerFooter>
    <oddHeader>&amp;C&amp;9Seite Personalkostenaufstellung - Seite &amp;P</oddHeader>
    <oddFooter>&amp;L&amp;8Version: 24.04.2026&amp;C&amp;8Verhandlungsunterlagen vollstationär SGB XI ab 01.07.2026&amp;R&amp;8PSK vom 24.04 2026</oddFooter>
  </headerFooter>
  <ignoredErrors>
    <ignoredError sqref="C359 C362" formula="1"/>
  </ignoredErrors>
  <extLst>
    <ext xmlns:x14="http://schemas.microsoft.com/office/spreadsheetml/2009/9/main" uri="{78C0D931-6437-407d-A8EE-F0AAD7539E65}">
      <x14:conditionalFormattings>
        <x14:conditionalFormatting xmlns:xm="http://schemas.microsoft.com/office/excel/2006/main">
          <x14:cfRule type="expression" priority="17" id="{988039C9-674A-4A57-9296-BE87A2797DD5}">
            <xm:f>'Allgemeine Angaben'!$F$7&lt;&gt;"4."</xm:f>
            <x14:dxf>
              <font>
                <color theme="0" tint="-4.9989318521683403E-2"/>
              </font>
            </x14:dxf>
          </x14:cfRule>
          <xm:sqref>A138</xm:sqref>
        </x14:conditionalFormatting>
        <x14:conditionalFormatting xmlns:xm="http://schemas.microsoft.com/office/excel/2006/main">
          <x14:cfRule type="expression" priority="10" id="{B338821D-EC7C-4099-8921-7EC5AC76271F}">
            <xm:f>'Allgemeine Angaben'!$F$7&lt;&gt;"4."</xm:f>
            <x14:dxf>
              <font>
                <color theme="0" tint="-4.9989318521683403E-2"/>
              </font>
            </x14:dxf>
          </x14:cfRule>
          <xm:sqref>A466</xm:sqref>
        </x14:conditionalFormatting>
        <x14:conditionalFormatting xmlns:xm="http://schemas.microsoft.com/office/excel/2006/main">
          <x14:cfRule type="expression" priority="9" id="{9E9B7E8E-324B-4C02-8857-C4581B9F3AD3}">
            <xm:f>'Allgemeine Angaben'!$F$7&lt;&gt;"4."</xm:f>
            <x14:dxf>
              <font>
                <color theme="1"/>
              </font>
            </x14:dxf>
          </x14:cfRule>
          <xm:sqref>A474</xm:sqref>
        </x14:conditionalFormatting>
        <x14:conditionalFormatting xmlns:xm="http://schemas.microsoft.com/office/excel/2006/main">
          <x14:cfRule type="expression" priority="8" id="{0D34BBF4-D5CF-4A74-8DCF-77A9F0AEEB84}">
            <xm:f>'Allgemeine Angaben'!$F$7&lt;&gt;"4."</xm:f>
            <x14:dxf>
              <font>
                <color theme="1"/>
              </font>
            </x14:dxf>
          </x14:cfRule>
          <xm:sqref>A505</xm:sqref>
        </x14:conditionalFormatting>
        <x14:conditionalFormatting xmlns:xm="http://schemas.microsoft.com/office/excel/2006/main">
          <x14:cfRule type="expression" priority="2" id="{E3504EBB-8B63-49E3-A8C5-80A4948D1FE7}">
            <xm:f>'Allgemeine Angaben'!$L$7=0</xm:f>
            <x14:dxf>
              <font>
                <color theme="4"/>
              </font>
            </x14:dxf>
          </x14:cfRule>
          <xm:sqref>A7:B7</xm:sqref>
        </x14:conditionalFormatting>
        <x14:conditionalFormatting xmlns:xm="http://schemas.microsoft.com/office/excel/2006/main">
          <x14:cfRule type="expression" priority="28" id="{3B42358D-03BE-4F10-9CF1-00816D568529}">
            <xm:f>'Allgemeine Angaben'!$F$7&lt;&gt;"4."</xm:f>
            <x14:dxf>
              <font>
                <color theme="0" tint="-4.9989318521683403E-2"/>
              </font>
            </x14:dxf>
          </x14:cfRule>
          <xm:sqref>A224:E224 A328:E328</xm:sqref>
        </x14:conditionalFormatting>
        <x14:conditionalFormatting xmlns:xm="http://schemas.microsoft.com/office/excel/2006/main">
          <x14:cfRule type="expression" priority="630" id="{4DBC792B-C215-4BEE-BF5C-7C5B1D9DFC4E}">
            <xm:f>KAT!$A$70="nein"</xm:f>
            <x14:dxf>
              <font>
                <color rgb="FFFF0000"/>
              </font>
              <fill>
                <patternFill>
                  <bgColor theme="0"/>
                </patternFill>
              </fill>
            </x14:dxf>
          </x14:cfRule>
          <xm:sqref>B41 H41 B47 H47 O364:O366 H427 H436</xm:sqref>
        </x14:conditionalFormatting>
        <x14:conditionalFormatting xmlns:xm="http://schemas.microsoft.com/office/excel/2006/main">
          <x14:cfRule type="expression" priority="23" id="{28255F7B-BE14-4F1B-B1E4-873C336534AB}">
            <xm:f>'Allgemeine Angaben'!$F$7&lt;&gt;"4."</xm:f>
            <x14:dxf>
              <font>
                <color theme="0" tint="-4.9989318521683403E-2"/>
              </font>
            </x14:dxf>
          </x14:cfRule>
          <xm:sqref>B474:E474</xm:sqref>
        </x14:conditionalFormatting>
        <x14:conditionalFormatting xmlns:xm="http://schemas.microsoft.com/office/excel/2006/main">
          <x14:cfRule type="expression" priority="22" id="{F03F2DEA-EF87-477A-92C3-AD1DB77D7123}">
            <xm:f>'Allgemeine Angaben'!$F$7&lt;&gt;"4."</xm:f>
            <x14:dxf>
              <font>
                <color theme="0" tint="-4.9989318521683403E-2"/>
              </font>
            </x14:dxf>
          </x14:cfRule>
          <xm:sqref>B505:E505</xm:sqref>
        </x14:conditionalFormatting>
        <x14:conditionalFormatting xmlns:xm="http://schemas.microsoft.com/office/excel/2006/main">
          <x14:cfRule type="expression" priority="16" id="{715D5B78-5A3C-43B4-8249-F32FE284C9E7}">
            <xm:f>'Allgemeine Angaben'!$F$7&lt;&gt;"4."</xm:f>
            <x14:dxf>
              <font>
                <color theme="0" tint="-0.14996795556505021"/>
              </font>
            </x14:dxf>
          </x14:cfRule>
          <xm:sqref>F138</xm:sqref>
        </x14:conditionalFormatting>
        <x14:conditionalFormatting xmlns:xm="http://schemas.microsoft.com/office/excel/2006/main">
          <x14:cfRule type="expression" priority="11" id="{976D945A-5904-492E-8406-013881CB79C6}">
            <xm:f>'Allgemeine Angaben'!$F$7&lt;&gt;"4."</xm:f>
            <x14:dxf>
              <font>
                <color theme="1"/>
              </font>
            </x14:dxf>
          </x14:cfRule>
          <xm:sqref>F505</xm:sqref>
        </x14:conditionalFormatting>
        <x14:conditionalFormatting xmlns:xm="http://schemas.microsoft.com/office/excel/2006/main">
          <x14:cfRule type="expression" priority="1" id="{929B108C-81CC-401B-9ED5-2B01F026C37E}">
            <xm:f>'Allgemeine Angaben'!$L$7=0</xm:f>
            <x14:dxf>
              <font>
                <color theme="7" tint="0.79998168889431442"/>
              </font>
            </x14:dxf>
          </x14:cfRule>
          <xm:sqref>F7:G7</xm:sqref>
        </x14:conditionalFormatting>
        <x14:conditionalFormatting xmlns:xm="http://schemas.microsoft.com/office/excel/2006/main">
          <x14:cfRule type="expression" priority="27" id="{D18E2DAB-96C7-4433-8F09-A09FB334EE8D}">
            <xm:f>'Allgemeine Angaben'!$F$7&lt;&gt;"4."</xm:f>
            <x14:dxf>
              <font>
                <color theme="0" tint="-0.14996795556505021"/>
              </font>
            </x14:dxf>
          </x14:cfRule>
          <xm:sqref>F224:Y224 F328:Y328</xm:sqref>
        </x14:conditionalFormatting>
        <x14:conditionalFormatting xmlns:xm="http://schemas.microsoft.com/office/excel/2006/main">
          <x14:cfRule type="expression" priority="15" id="{43248721-3197-43B1-82D0-A12B486790EF}">
            <xm:f>'Allgemeine Angaben'!$F$7&lt;&gt;"4."</xm:f>
            <x14:dxf>
              <font>
                <color theme="0" tint="-0.14996795556505021"/>
              </font>
            </x14:dxf>
          </x14:cfRule>
          <xm:sqref>F466:Y466</xm:sqref>
        </x14:conditionalFormatting>
        <x14:conditionalFormatting xmlns:xm="http://schemas.microsoft.com/office/excel/2006/main">
          <x14:cfRule type="expression" priority="21" id="{612327C9-CDCC-4774-8389-8E9DBF3D8BFF}">
            <xm:f>'Allgemeine Angaben'!$F$7&lt;&gt;"4."</xm:f>
            <x14:dxf>
              <font>
                <color theme="1"/>
              </font>
            </x14:dxf>
          </x14:cfRule>
          <xm:sqref>F474:Y474</xm:sqref>
        </x14:conditionalFormatting>
        <x14:conditionalFormatting xmlns:xm="http://schemas.microsoft.com/office/excel/2006/main">
          <x14:cfRule type="expression" priority="20" id="{8C5E022B-9367-42F8-9C1D-6C9419106769}">
            <xm:f>'Allgemeine Angaben'!$F$7&lt;&gt;"4."</xm:f>
            <x14:dxf>
              <font>
                <color theme="0" tint="-0.14996795556505021"/>
              </font>
            </x14:dxf>
          </x14:cfRule>
          <xm:sqref>G505:Y505</xm:sqref>
        </x14:conditionalFormatting>
        <x14:conditionalFormatting xmlns:xm="http://schemas.microsoft.com/office/excel/2006/main">
          <x14:cfRule type="expression" priority="636" id="{695363BA-0737-4AAD-8904-90B885ADDAB4}">
            <xm:f>KAT!A70="nein"</xm:f>
            <x14:dxf>
              <font>
                <color rgb="FFFF0000"/>
              </font>
              <fill>
                <patternFill>
                  <bgColor theme="0"/>
                </patternFill>
              </fill>
            </x14:dxf>
          </x14:cfRule>
          <xm:sqref>H35</xm:sqref>
        </x14:conditionalFormatting>
        <x14:conditionalFormatting xmlns:xm="http://schemas.microsoft.com/office/excel/2006/main">
          <x14:cfRule type="expression" priority="242" id="{2B60978D-69ED-4639-871A-34921B8EB23D}">
            <xm:f>'Allgemeine Angaben'!$L$47&gt;0</xm:f>
            <x14:dxf>
              <font>
                <color auto="1"/>
              </font>
              <fill>
                <patternFill>
                  <bgColor theme="0"/>
                </patternFill>
              </fill>
              <border>
                <left style="thin">
                  <color auto="1"/>
                </left>
                <right style="thin">
                  <color auto="1"/>
                </right>
                <top style="thin">
                  <color auto="1"/>
                </top>
                <bottom style="thin">
                  <color auto="1"/>
                </bottom>
                <vertical/>
                <horizontal/>
              </border>
            </x14:dxf>
          </x14:cfRule>
          <x14:cfRule type="expression" priority="243" id="{ADF850D1-57B5-46EA-B4F1-7E1DDF2B644F}">
            <xm:f>'Allgemeine Angaben'!$L$47&gt;0</xm:f>
            <x14:dxf>
              <font>
                <b/>
                <i val="0"/>
                <color theme="1"/>
              </font>
              <border>
                <left style="thin">
                  <color auto="1"/>
                </left>
                <right style="thin">
                  <color auto="1"/>
                </right>
                <bottom style="thin">
                  <color auto="1"/>
                </bottom>
                <vertical/>
                <horizontal/>
              </border>
            </x14:dxf>
          </x14:cfRule>
          <xm:sqref>I364:I366</xm:sqref>
        </x14:conditionalFormatting>
        <x14:conditionalFormatting xmlns:xm="http://schemas.microsoft.com/office/excel/2006/main">
          <x14:cfRule type="expression" priority="637" id="{876F8743-509E-46F7-8E85-B084AB2B849E}">
            <xm:f>KAT!$A$70="nein"</xm:f>
            <x14:dxf>
              <fill>
                <patternFill>
                  <bgColor theme="0"/>
                </patternFill>
              </fill>
            </x14:dxf>
          </x14:cfRule>
          <xm:sqref>I368</xm:sqref>
        </x14:conditionalFormatting>
        <x14:conditionalFormatting xmlns:xm="http://schemas.microsoft.com/office/excel/2006/main">
          <x14:cfRule type="expression" priority="638" id="{08F18657-7BF7-48C3-8B32-F608DF90FD9C}">
            <xm:f>KAT!$A$70="ja"</xm:f>
            <x14:dxf>
              <fill>
                <patternFill>
                  <bgColor rgb="FFCCECFF"/>
                </patternFill>
              </fill>
            </x14:dxf>
          </x14:cfRule>
          <xm:sqref>M368 O367</xm:sqref>
        </x14:conditionalFormatting>
        <x14:conditionalFormatting xmlns:xm="http://schemas.microsoft.com/office/excel/2006/main">
          <x14:cfRule type="expression" priority="640" id="{FD429E05-2FD7-4610-A9CF-79751C3FF007}">
            <xm:f>KAT!A70="nein"</xm:f>
            <x14:dxf>
              <fill>
                <patternFill>
                  <bgColor theme="7" tint="0.79998168889431442"/>
                </patternFill>
              </fill>
            </x14:dxf>
          </x14:cfRule>
          <xm:sqref>O15</xm:sqref>
        </x14:conditionalFormatting>
        <x14:conditionalFormatting xmlns:xm="http://schemas.microsoft.com/office/excel/2006/main">
          <x14:cfRule type="expression" priority="641" id="{7A3ADE7F-28DC-4641-BB18-689DC3C6ECEB}">
            <xm:f>KAT!A70="nein"</xm:f>
            <x14:dxf>
              <fill>
                <patternFill>
                  <bgColor theme="7" tint="0.79998168889431442"/>
                </patternFill>
              </fill>
            </x14:dxf>
          </x14:cfRule>
          <xm:sqref>R14</xm:sqref>
        </x14:conditionalFormatting>
      </x14:conditionalFormattings>
    </ext>
    <ext xmlns:x14="http://schemas.microsoft.com/office/spreadsheetml/2009/9/main" uri="{CCE6A557-97BC-4b89-ADB6-D9C93CAAB3DF}">
      <x14:dataValidations xmlns:xm="http://schemas.microsoft.com/office/excel/2006/main" xWindow="1005" yWindow="755" count="4">
        <x14:dataValidation type="list" allowBlank="1" showInputMessage="1" showErrorMessage="1" xr:uid="{00000000-0002-0000-0300-000017000000}">
          <x14:formula1>
            <xm:f>KAT!$F$2:$F$4</xm:f>
          </x14:formula1>
          <xm:sqref>M12</xm:sqref>
        </x14:dataValidation>
        <x14:dataValidation type="list" allowBlank="1" showInputMessage="1" showErrorMessage="1" xr:uid="{00000000-0002-0000-0300-000018000000}">
          <x14:formula1>
            <xm:f>KAT!$I$3:$I$5</xm:f>
          </x14:formula1>
          <xm:sqref>M13:O13</xm:sqref>
        </x14:dataValidation>
        <x14:dataValidation type="list" allowBlank="1" showInputMessage="1" showErrorMessage="1" promptTitle="Beschäftigungsgruppen" prompt="PFK/BFK = Pflege-/Betreuungsfachkraft mind. 3 Jahre Berufsausbildung_x000a_PK/BK = Pflege-/Betreuungskraft mind. 1 Jahr Berufsausbildung_x000a_PK/BK o. = Pflege-/Betreuungskraft ohne mind 1 Jahr Berufsausbildung" xr:uid="{00000000-0002-0000-0300-000019000000}">
          <x14:formula1>
            <xm:f>KAT!$A$48:$A$51</xm:f>
          </x14:formula1>
          <xm:sqref>G328</xm:sqref>
        </x14:dataValidation>
        <x14:dataValidation type="list" allowBlank="1" showInputMessage="1" showErrorMessage="1" promptTitle="Beschäftigungsgruppen" prompt="PK/BK = Pflege-/Betreuungskraft mind. 1 Jahr Berufsausbildung_x000a_PK/BK o. = Pflege-/Betreuungskraft ohne mind 1 Jahr Berufsausbildung" xr:uid="{00000000-0002-0000-0300-00001A000000}">
          <x14:formula1>
            <xm:f>KAT!$A$49:$A$51</xm:f>
          </x14:formula1>
          <xm:sqref>G224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tabColor theme="2"/>
    <pageSetUpPr fitToPage="1"/>
  </sheetPr>
  <dimension ref="A1:T92"/>
  <sheetViews>
    <sheetView showGridLines="0" zoomScaleNormal="100" workbookViewId="0">
      <selection activeCell="G11" sqref="G11"/>
    </sheetView>
  </sheetViews>
  <sheetFormatPr baseColWidth="10" defaultRowHeight="14.25" x14ac:dyDescent="0.2"/>
  <cols>
    <col min="1" max="1" width="1.5" customWidth="1"/>
    <col min="2" max="2" width="3.75" customWidth="1"/>
    <col min="3" max="3" width="4.125" customWidth="1"/>
    <col min="4" max="4" width="7.375" customWidth="1"/>
    <col min="5" max="5" width="12.125" customWidth="1"/>
    <col min="6" max="6" width="19.75" customWidth="1"/>
    <col min="7" max="8" width="10.75" customWidth="1"/>
    <col min="9" max="9" width="17.125" customWidth="1"/>
    <col min="10" max="10" width="19.875" customWidth="1"/>
    <col min="11" max="11" width="1.375" customWidth="1"/>
    <col min="12" max="12" width="0.625" customWidth="1"/>
    <col min="13" max="13" width="11" customWidth="1"/>
    <col min="14" max="14" width="14.25" customWidth="1"/>
  </cols>
  <sheetData>
    <row r="1" spans="1:18" ht="15" customHeight="1" x14ac:dyDescent="0.25">
      <c r="A1" s="2358" t="str">
        <f>'Allgemeine Angaben'!A1:N1</f>
        <v>Aufforderung zum Abschluss einer Pflegesatzvereinbarung gemäß §§ 84, 85 SGB XI</v>
      </c>
      <c r="B1" s="2359"/>
      <c r="C1" s="2359"/>
      <c r="D1" s="2359"/>
      <c r="E1" s="2359"/>
      <c r="F1" s="2359"/>
      <c r="G1" s="2359"/>
      <c r="H1" s="2359"/>
      <c r="I1" s="2359"/>
      <c r="J1" s="2550"/>
      <c r="K1" s="2551"/>
    </row>
    <row r="2" spans="1:18" ht="15" customHeight="1" x14ac:dyDescent="0.25">
      <c r="A2" s="2361" t="s">
        <v>37</v>
      </c>
      <c r="B2" s="2362"/>
      <c r="C2" s="2362"/>
      <c r="D2" s="2362"/>
      <c r="E2" s="2362"/>
      <c r="F2" s="2362"/>
      <c r="G2" s="2362"/>
      <c r="H2" s="2362"/>
      <c r="I2" s="2362"/>
      <c r="J2" s="2552"/>
      <c r="K2" s="2553"/>
    </row>
    <row r="3" spans="1:18" ht="15" customHeight="1" x14ac:dyDescent="0.2">
      <c r="A3" s="2379" t="str">
        <f>'Allgemeine Angaben'!A3:N3</f>
        <v/>
      </c>
      <c r="B3" s="2380"/>
      <c r="C3" s="2380"/>
      <c r="D3" s="2380"/>
      <c r="E3" s="2380"/>
      <c r="F3" s="2380"/>
      <c r="G3" s="2380"/>
      <c r="H3" s="2380"/>
      <c r="I3" s="2380"/>
      <c r="J3" s="2552"/>
      <c r="K3" s="2553"/>
    </row>
    <row r="4" spans="1:18" ht="15" customHeight="1" x14ac:dyDescent="0.2">
      <c r="A4" s="438">
        <f>'Allgemeine Angaben'!A4:N4</f>
        <v>0</v>
      </c>
      <c r="B4" s="439"/>
      <c r="C4" s="439" t="str">
        <f>'Allgemeine Angaben'!B4</f>
        <v/>
      </c>
      <c r="D4" s="439"/>
      <c r="E4" s="439"/>
      <c r="F4" s="439"/>
      <c r="G4" s="439"/>
      <c r="H4" s="439"/>
      <c r="I4" s="441" t="str">
        <f>'Allgemeine Angaben'!K4</f>
        <v>Antrag vom:</v>
      </c>
      <c r="J4" s="445">
        <f>'Allgemeine Angaben'!L4</f>
        <v>0</v>
      </c>
      <c r="K4" s="440"/>
    </row>
    <row r="5" spans="1:18" s="1" customFormat="1" ht="9.9499999999999993" customHeight="1" x14ac:dyDescent="0.2">
      <c r="A5" s="2289"/>
      <c r="B5" s="88"/>
      <c r="C5" s="88"/>
      <c r="D5" s="88"/>
      <c r="E5" s="88"/>
      <c r="F5" s="88"/>
      <c r="G5" s="88"/>
      <c r="H5" s="135"/>
      <c r="I5" s="88"/>
      <c r="J5" s="88"/>
      <c r="K5" s="11"/>
    </row>
    <row r="6" spans="1:18" s="1" customFormat="1" ht="30" customHeight="1" x14ac:dyDescent="0.2">
      <c r="A6" s="87"/>
      <c r="E6" s="2057"/>
      <c r="F6" s="2057"/>
      <c r="G6" s="1048" t="s">
        <v>38</v>
      </c>
      <c r="H6" s="1049" t="s">
        <v>38</v>
      </c>
      <c r="I6" s="1050" t="s">
        <v>1013</v>
      </c>
      <c r="J6" s="1051" t="s">
        <v>674</v>
      </c>
      <c r="K6" s="11"/>
    </row>
    <row r="7" spans="1:18" s="1" customFormat="1" ht="45" customHeight="1" x14ac:dyDescent="0.2">
      <c r="A7" s="87"/>
      <c r="B7" s="88"/>
      <c r="C7" s="88"/>
      <c r="D7" s="88"/>
      <c r="E7" s="88"/>
      <c r="F7" s="88"/>
      <c r="G7" s="99" t="s">
        <v>39</v>
      </c>
      <c r="H7" s="2057" t="s">
        <v>39</v>
      </c>
      <c r="I7" s="1052" t="s">
        <v>298</v>
      </c>
      <c r="J7" s="1053" t="s">
        <v>1016</v>
      </c>
      <c r="K7" s="11"/>
    </row>
    <row r="8" spans="1:18" s="1" customFormat="1" ht="14.1" customHeight="1" x14ac:dyDescent="0.2">
      <c r="A8" s="87"/>
      <c r="B8" s="15" t="s">
        <v>42</v>
      </c>
      <c r="C8" s="15" t="s">
        <v>484</v>
      </c>
      <c r="D8" s="15"/>
      <c r="E8" s="88"/>
      <c r="F8" s="2058"/>
      <c r="G8" s="1054" t="str">
        <f>IF('Belegung_wö. Arbeitszeit'!D16&gt;0,'Belegung_wö. Arbeitszeit'!D16,"")</f>
        <v/>
      </c>
      <c r="H8" s="1049"/>
      <c r="I8" s="1055" t="s">
        <v>40</v>
      </c>
      <c r="J8" s="1056"/>
      <c r="K8" s="11"/>
    </row>
    <row r="9" spans="1:18" s="1" customFormat="1" ht="13.5" customHeight="1" x14ac:dyDescent="0.2">
      <c r="A9" s="87"/>
      <c r="B9" s="88"/>
      <c r="C9" s="88"/>
      <c r="D9" s="88"/>
      <c r="E9" s="88"/>
      <c r="F9" s="2057"/>
      <c r="G9" s="1057" t="s">
        <v>41</v>
      </c>
      <c r="H9" s="1058" t="s">
        <v>35</v>
      </c>
      <c r="I9" s="1057" t="s">
        <v>35</v>
      </c>
      <c r="J9" s="1059" t="s">
        <v>35</v>
      </c>
      <c r="K9" s="11"/>
    </row>
    <row r="10" spans="1:18" s="1" customFormat="1" ht="14.1" customHeight="1" x14ac:dyDescent="0.2">
      <c r="A10" s="87"/>
      <c r="B10" s="15" t="s">
        <v>121</v>
      </c>
      <c r="C10" s="15" t="s">
        <v>403</v>
      </c>
      <c r="D10" s="1060"/>
      <c r="E10" s="88"/>
      <c r="F10" s="2057"/>
      <c r="G10" s="88"/>
      <c r="H10" s="88"/>
      <c r="I10" s="88"/>
      <c r="J10" s="2059"/>
      <c r="K10" s="11"/>
      <c r="N10" s="1118"/>
      <c r="P10" s="1118"/>
    </row>
    <row r="11" spans="1:18" s="1" customFormat="1" ht="14.1" customHeight="1" x14ac:dyDescent="0.2">
      <c r="A11" s="87"/>
      <c r="B11" s="15"/>
      <c r="C11" s="2097" t="s">
        <v>447</v>
      </c>
      <c r="D11" s="1060" t="s">
        <v>406</v>
      </c>
      <c r="E11" s="88"/>
      <c r="F11" s="2057"/>
      <c r="G11" s="1452"/>
      <c r="H11" s="1453">
        <f>Personalkostenaufstellung!H34</f>
        <v>0</v>
      </c>
      <c r="I11" s="495">
        <f>Personalkostenaufstellung!Y34</f>
        <v>0</v>
      </c>
      <c r="J11" s="2060">
        <f>IFERROR((H11*I11)*(1+pnk+I74)*(1+risiko),0)</f>
        <v>0</v>
      </c>
      <c r="K11" s="11"/>
      <c r="N11" s="1018"/>
      <c r="O11" s="1018"/>
      <c r="Q11" s="1043"/>
    </row>
    <row r="12" spans="1:18" s="1" customFormat="1" ht="14.1" customHeight="1" x14ac:dyDescent="0.2">
      <c r="A12" s="87"/>
      <c r="B12" s="15"/>
      <c r="C12" s="2097" t="s">
        <v>448</v>
      </c>
      <c r="D12" s="1060" t="s">
        <v>436</v>
      </c>
      <c r="E12" s="88"/>
      <c r="F12" s="2057"/>
      <c r="G12" s="1452"/>
      <c r="H12" s="1453">
        <f>Personalkostenaufstellung!H40</f>
        <v>0</v>
      </c>
      <c r="I12" s="495">
        <f>Personalkostenaufstellung!Y40</f>
        <v>0</v>
      </c>
      <c r="J12" s="2060">
        <f>IFERROR((H12*I12)*(1+pnk+I74)*(1+risiko),0)</f>
        <v>0</v>
      </c>
      <c r="K12" s="11"/>
      <c r="N12" s="1018"/>
      <c r="O12" s="1018"/>
      <c r="Q12" s="1043"/>
    </row>
    <row r="13" spans="1:18" s="1" customFormat="1" ht="14.1" customHeight="1" x14ac:dyDescent="0.2">
      <c r="A13" s="87"/>
      <c r="B13" s="15"/>
      <c r="C13" s="2097" t="s">
        <v>449</v>
      </c>
      <c r="D13" s="1060" t="s">
        <v>437</v>
      </c>
      <c r="E13" s="88"/>
      <c r="F13" s="2057"/>
      <c r="G13" s="1452"/>
      <c r="H13" s="1453">
        <f>Personalkostenaufstellung!H46</f>
        <v>0</v>
      </c>
      <c r="I13" s="495">
        <f>Personalkostenaufstellung!Y46</f>
        <v>0</v>
      </c>
      <c r="J13" s="2060">
        <f>IFERROR((H13*I13)*(1+pnk+I74)*(1+risiko),0)</f>
        <v>0</v>
      </c>
      <c r="K13" s="11"/>
      <c r="N13" s="1018"/>
      <c r="O13" s="1018"/>
      <c r="Q13" s="1043"/>
    </row>
    <row r="14" spans="1:18" s="1" customFormat="1" ht="9.9499999999999993" customHeight="1" thickBot="1" x14ac:dyDescent="0.25">
      <c r="A14" s="87"/>
      <c r="B14" s="15"/>
      <c r="C14" s="15"/>
      <c r="D14" s="15"/>
      <c r="E14" s="15"/>
      <c r="F14" s="15"/>
      <c r="G14" s="15"/>
      <c r="H14" s="15"/>
      <c r="I14" s="15"/>
      <c r="J14" s="2059"/>
      <c r="K14" s="11"/>
      <c r="N14" s="1018"/>
      <c r="O14" s="763"/>
      <c r="Q14" s="1043"/>
    </row>
    <row r="15" spans="1:18" s="1" customFormat="1" ht="14.1" customHeight="1" thickBot="1" x14ac:dyDescent="0.25">
      <c r="A15" s="87"/>
      <c r="B15" s="15"/>
      <c r="C15" s="15"/>
      <c r="D15" s="115" t="s">
        <v>404</v>
      </c>
      <c r="E15" s="2061"/>
      <c r="F15" s="2061"/>
      <c r="G15" s="1454">
        <f>SUM(G11:G13)</f>
        <v>0</v>
      </c>
      <c r="H15" s="1454">
        <f>SUM(H11:H13)</f>
        <v>0</v>
      </c>
      <c r="I15" s="296">
        <f>IF(H15=0,0,(H11*I11+H12*I12+H13*I13)/H15)</f>
        <v>0</v>
      </c>
      <c r="J15" s="295">
        <f>IFERROR((H15*I15)*(1+pnk+I74)*(1+risiko),0)</f>
        <v>0</v>
      </c>
      <c r="K15" s="11"/>
      <c r="N15" s="1018"/>
      <c r="O15" s="1018"/>
      <c r="P15" s="1042"/>
      <c r="Q15" s="1043"/>
      <c r="R15" s="1041"/>
    </row>
    <row r="16" spans="1:18" s="1" customFormat="1" ht="9.9499999999999993" customHeight="1" x14ac:dyDescent="0.2">
      <c r="A16" s="87"/>
      <c r="B16" s="15"/>
      <c r="C16" s="15"/>
      <c r="D16" s="1060"/>
      <c r="E16" s="88"/>
      <c r="F16" s="2057"/>
      <c r="G16" s="88"/>
      <c r="H16" s="88"/>
      <c r="I16" s="88"/>
      <c r="J16" s="2059"/>
      <c r="K16" s="11"/>
      <c r="Q16" s="1043"/>
    </row>
    <row r="17" spans="1:20" s="1" customFormat="1" ht="12.75" customHeight="1" x14ac:dyDescent="0.2">
      <c r="A17" s="87"/>
      <c r="B17" s="15" t="s">
        <v>122</v>
      </c>
      <c r="C17" s="15" t="s">
        <v>405</v>
      </c>
      <c r="D17" s="88"/>
      <c r="E17" s="88"/>
      <c r="F17" s="88"/>
      <c r="G17" s="2062"/>
      <c r="H17" s="2062"/>
      <c r="I17" s="10"/>
      <c r="J17" s="2063"/>
      <c r="K17" s="11"/>
      <c r="N17" s="826"/>
      <c r="Q17" s="1043"/>
    </row>
    <row r="18" spans="1:20" s="1" customFormat="1" ht="24" customHeight="1" x14ac:dyDescent="0.2">
      <c r="A18" s="87"/>
      <c r="B18" s="15"/>
      <c r="C18" s="2098" t="s">
        <v>450</v>
      </c>
      <c r="D18" s="2549" t="s">
        <v>421</v>
      </c>
      <c r="E18" s="2543"/>
      <c r="F18" s="2544"/>
      <c r="G18" s="1452"/>
      <c r="H18" s="1453">
        <f>Personalkostenaufstellung!H151</f>
        <v>0</v>
      </c>
      <c r="I18" s="495">
        <f>Personalkostenaufstellung!Y151</f>
        <v>0</v>
      </c>
      <c r="J18" s="2060">
        <f>IFERROR((H18*I18)*(1+pnk+I74)*(1+risiko),0)</f>
        <v>0</v>
      </c>
      <c r="K18" s="11"/>
      <c r="M18" s="54"/>
      <c r="N18" s="1018"/>
      <c r="O18" s="1018"/>
      <c r="Q18" s="1043"/>
    </row>
    <row r="19" spans="1:20" s="1" customFormat="1" ht="24" customHeight="1" x14ac:dyDescent="0.2">
      <c r="A19" s="87"/>
      <c r="C19" s="2099"/>
      <c r="D19" s="2545" t="s">
        <v>590</v>
      </c>
      <c r="E19" s="2545"/>
      <c r="F19" s="2546"/>
      <c r="G19" s="1772"/>
      <c r="H19" s="1455">
        <f>SUM(Personalkostenaufstellung!H139:H145)</f>
        <v>0</v>
      </c>
      <c r="J19" s="2063"/>
      <c r="K19" s="11"/>
      <c r="N19" s="1018"/>
      <c r="O19" s="1018"/>
      <c r="Q19" s="1043"/>
    </row>
    <row r="20" spans="1:20" s="1" customFormat="1" ht="24" customHeight="1" x14ac:dyDescent="0.2">
      <c r="A20" s="87"/>
      <c r="B20" s="15"/>
      <c r="C20" s="2098" t="s">
        <v>451</v>
      </c>
      <c r="D20" s="2543" t="s">
        <v>422</v>
      </c>
      <c r="E20" s="2543"/>
      <c r="F20" s="2544"/>
      <c r="G20" s="1452"/>
      <c r="H20" s="1453">
        <f>Personalkostenaufstellung!H255</f>
        <v>0</v>
      </c>
      <c r="I20" s="495">
        <f>Personalkostenaufstellung!Y255</f>
        <v>0</v>
      </c>
      <c r="J20" s="2060">
        <f>IFERROR((H20*I20)*(1+pnk+I74)*(1+risiko),0)</f>
        <v>0</v>
      </c>
      <c r="K20" s="11"/>
      <c r="M20" s="562"/>
      <c r="N20" s="1018"/>
      <c r="O20" s="763"/>
      <c r="P20" s="54"/>
      <c r="Q20" s="1043"/>
    </row>
    <row r="21" spans="1:20" s="1" customFormat="1" ht="24" customHeight="1" x14ac:dyDescent="0.2">
      <c r="A21" s="87"/>
      <c r="B21" s="15"/>
      <c r="C21" s="2098"/>
      <c r="D21" s="2545" t="s">
        <v>425</v>
      </c>
      <c r="E21" s="2545"/>
      <c r="F21" s="2546"/>
      <c r="G21" s="1772"/>
      <c r="H21" s="1455">
        <f>SUM(Personalkostenaufstellung!H225:H254)</f>
        <v>0</v>
      </c>
      <c r="I21" s="2065"/>
      <c r="J21" s="2063"/>
      <c r="K21" s="11"/>
      <c r="N21" s="1018"/>
      <c r="O21" s="1018"/>
      <c r="P21" s="54"/>
      <c r="Q21" s="1043"/>
    </row>
    <row r="22" spans="1:20" s="1" customFormat="1" ht="24" customHeight="1" x14ac:dyDescent="0.2">
      <c r="A22" s="87"/>
      <c r="B22" s="15"/>
      <c r="C22" s="2098" t="s">
        <v>452</v>
      </c>
      <c r="D22" s="2543" t="s">
        <v>423</v>
      </c>
      <c r="E22" s="2543"/>
      <c r="F22" s="2544"/>
      <c r="G22" s="1452"/>
      <c r="H22" s="1453">
        <f>Personalkostenaufstellung!H359</f>
        <v>0</v>
      </c>
      <c r="I22" s="495">
        <f>Personalkostenaufstellung!Y359</f>
        <v>0</v>
      </c>
      <c r="J22" s="2060">
        <f>IFERROR((H22*I22)*(1+pnk+I74)*(1+risiko),0)</f>
        <v>0</v>
      </c>
      <c r="K22" s="11"/>
      <c r="N22" s="1018"/>
      <c r="O22" s="763"/>
      <c r="P22" s="54"/>
    </row>
    <row r="23" spans="1:20" s="1" customFormat="1" ht="24" customHeight="1" x14ac:dyDescent="0.2">
      <c r="A23" s="87"/>
      <c r="B23" s="15"/>
      <c r="C23" s="2064"/>
      <c r="D23" s="2545" t="s">
        <v>426</v>
      </c>
      <c r="E23" s="2545"/>
      <c r="F23" s="2546"/>
      <c r="G23" s="1772"/>
      <c r="H23" s="1455">
        <f>SUM(Personalkostenaufstellung!H329:H358)</f>
        <v>0</v>
      </c>
      <c r="I23" s="2065"/>
      <c r="J23" s="2063"/>
      <c r="K23" s="11"/>
      <c r="N23" s="1018"/>
      <c r="O23" s="763"/>
    </row>
    <row r="24" spans="1:20" s="1" customFormat="1" ht="9.9499999999999993" customHeight="1" thickBot="1" x14ac:dyDescent="0.25">
      <c r="A24" s="87"/>
      <c r="B24" s="15"/>
      <c r="C24" s="88"/>
      <c r="D24" s="88"/>
      <c r="E24" s="88"/>
      <c r="F24" s="88"/>
      <c r="G24" s="2066"/>
      <c r="H24" s="2066"/>
      <c r="I24" s="2067"/>
      <c r="J24" s="2068"/>
      <c r="K24" s="11"/>
      <c r="N24" s="1018"/>
      <c r="O24" s="1018"/>
      <c r="P24" s="1043"/>
    </row>
    <row r="25" spans="1:20" s="1" customFormat="1" ht="14.1" customHeight="1" thickBot="1" x14ac:dyDescent="0.25">
      <c r="A25" s="87"/>
      <c r="B25" s="15"/>
      <c r="C25" s="15"/>
      <c r="D25" s="115" t="s">
        <v>496</v>
      </c>
      <c r="E25" s="2061"/>
      <c r="F25" s="2061"/>
      <c r="G25" s="1454">
        <f>SUM(G18,G20,G22)</f>
        <v>0</v>
      </c>
      <c r="H25" s="1454">
        <f>SUM(H18,H20,H22)</f>
        <v>0</v>
      </c>
      <c r="I25" s="296">
        <f>IF(H25=0,0,(H18*I18+H20*I20+H22*I22)/H25)</f>
        <v>0</v>
      </c>
      <c r="J25" s="295">
        <f>IFERROR((H25*I25)*(1+pnk+I74)*(1+risiko),0)</f>
        <v>0</v>
      </c>
      <c r="K25" s="11"/>
      <c r="N25" s="1018"/>
      <c r="O25" s="1018"/>
      <c r="P25" s="1043"/>
    </row>
    <row r="26" spans="1:20" s="1" customFormat="1" ht="9.9499999999999993" customHeight="1" x14ac:dyDescent="0.2">
      <c r="A26" s="87"/>
      <c r="B26" s="15"/>
      <c r="C26" s="88"/>
      <c r="D26" s="88"/>
      <c r="E26" s="88"/>
      <c r="F26" s="88"/>
      <c r="G26" s="2066"/>
      <c r="H26" s="2066"/>
      <c r="I26" s="2067"/>
      <c r="J26" s="2068"/>
      <c r="K26" s="11"/>
      <c r="N26" s="1076"/>
      <c r="P26" s="1043"/>
    </row>
    <row r="27" spans="1:20" s="1" customFormat="1" ht="14.1" customHeight="1" x14ac:dyDescent="0.2">
      <c r="A27" s="87"/>
      <c r="B27" s="15"/>
      <c r="C27" s="1119"/>
      <c r="D27" s="497"/>
      <c r="E27" s="327"/>
      <c r="F27" s="497"/>
      <c r="G27" s="2069"/>
      <c r="H27" s="2069"/>
      <c r="I27" s="2062"/>
      <c r="J27" s="2068"/>
      <c r="K27" s="11"/>
      <c r="N27" s="1076"/>
      <c r="O27" s="1018"/>
      <c r="P27" s="1043"/>
    </row>
    <row r="28" spans="1:20" s="1" customFormat="1" ht="12.75" customHeight="1" x14ac:dyDescent="0.2">
      <c r="A28" s="87"/>
      <c r="B28" s="15"/>
      <c r="C28" s="88"/>
      <c r="D28" s="487" t="s">
        <v>427</v>
      </c>
      <c r="J28" s="2068"/>
      <c r="K28" s="11"/>
      <c r="N28" s="1018"/>
      <c r="O28" s="1018"/>
      <c r="P28" s="1043"/>
      <c r="T28" s="1110"/>
    </row>
    <row r="29" spans="1:20" s="1" customFormat="1" ht="24" customHeight="1" x14ac:dyDescent="0.2">
      <c r="A29" s="87"/>
      <c r="B29" s="15"/>
      <c r="C29" s="88"/>
      <c r="D29" s="2549" t="s">
        <v>1038</v>
      </c>
      <c r="E29" s="2543"/>
      <c r="F29" s="2544"/>
      <c r="G29" s="1453">
        <f>G18</f>
        <v>0</v>
      </c>
      <c r="H29" s="1453">
        <f>Personalkostenaufstellung!AH15</f>
        <v>0</v>
      </c>
      <c r="I29" s="763"/>
      <c r="J29" s="2068"/>
      <c r="K29" s="11"/>
      <c r="N29" s="1018"/>
      <c r="O29" s="1018"/>
      <c r="P29" s="1043"/>
    </row>
    <row r="30" spans="1:20" s="1" customFormat="1" ht="14.1" customHeight="1" x14ac:dyDescent="0.2">
      <c r="A30" s="87"/>
      <c r="B30" s="2067"/>
      <c r="C30" s="2067"/>
      <c r="D30" s="763" t="s">
        <v>1039</v>
      </c>
      <c r="G30" s="1075" t="str">
        <f>IFERROR(ROUND(G29/KAT!C27,4),"")</f>
        <v/>
      </c>
      <c r="H30" s="1075" t="str">
        <f>Personalkostenaufstellung!I364</f>
        <v/>
      </c>
      <c r="J30" s="2068"/>
      <c r="K30" s="11"/>
      <c r="N30" s="1018"/>
      <c r="O30" s="1018"/>
      <c r="P30" s="1043"/>
    </row>
    <row r="31" spans="1:20" s="1" customFormat="1" ht="25.5" customHeight="1" x14ac:dyDescent="0.2">
      <c r="A31" s="87"/>
      <c r="B31" s="2067"/>
      <c r="C31" s="2067"/>
      <c r="D31" s="2540" t="str">
        <f>Personalkostenaufstellung!O364</f>
        <v/>
      </c>
      <c r="E31" s="2540"/>
      <c r="F31" s="2540"/>
      <c r="G31" s="2540"/>
      <c r="H31" s="2540"/>
      <c r="I31" s="2540"/>
      <c r="J31" s="2068"/>
      <c r="K31" s="11"/>
      <c r="N31" s="1018"/>
      <c r="O31" s="1018"/>
      <c r="P31" s="1043"/>
    </row>
    <row r="32" spans="1:20" s="1" customFormat="1" ht="24" customHeight="1" x14ac:dyDescent="0.2">
      <c r="A32" s="87"/>
      <c r="B32" s="2067"/>
      <c r="C32" s="2067"/>
      <c r="D32" s="2549" t="s">
        <v>422</v>
      </c>
      <c r="E32" s="2543"/>
      <c r="F32" s="2544"/>
      <c r="G32" s="1453">
        <f>G20</f>
        <v>0</v>
      </c>
      <c r="H32" s="1453">
        <f>Personalkostenaufstellung!AH17</f>
        <v>0</v>
      </c>
      <c r="J32" s="2068"/>
      <c r="K32" s="11"/>
      <c r="N32" s="1018"/>
      <c r="O32" s="1018"/>
      <c r="P32" s="1043"/>
    </row>
    <row r="33" spans="1:16" s="1" customFormat="1" ht="14.1" customHeight="1" x14ac:dyDescent="0.2">
      <c r="A33" s="87"/>
      <c r="B33" s="2067"/>
      <c r="C33" s="2067"/>
      <c r="D33" s="763" t="s">
        <v>1039</v>
      </c>
      <c r="G33" s="1483" t="str">
        <f>IFERROR(ROUND(G32/KAT!E27,4),"")</f>
        <v/>
      </c>
      <c r="H33" s="1483" t="str">
        <f>Personalkostenaufstellung!I365</f>
        <v/>
      </c>
      <c r="J33" s="2068"/>
      <c r="K33" s="11"/>
      <c r="N33" s="1018"/>
      <c r="O33" s="1018"/>
      <c r="P33" s="1043"/>
    </row>
    <row r="34" spans="1:16" s="1" customFormat="1" ht="25.5" customHeight="1" x14ac:dyDescent="0.2">
      <c r="A34" s="87"/>
      <c r="B34" s="2067"/>
      <c r="C34" s="2067"/>
      <c r="D34" s="2540" t="str">
        <f>Personalkostenaufstellung!O365</f>
        <v/>
      </c>
      <c r="E34" s="2540"/>
      <c r="F34" s="2540"/>
      <c r="G34" s="2540"/>
      <c r="H34" s="2540"/>
      <c r="I34" s="2540"/>
      <c r="J34" s="2068"/>
      <c r="K34" s="11"/>
      <c r="N34" s="1018"/>
      <c r="O34" s="1018"/>
      <c r="P34" s="1043"/>
    </row>
    <row r="35" spans="1:16" s="1" customFormat="1" ht="24" customHeight="1" x14ac:dyDescent="0.2">
      <c r="A35" s="87"/>
      <c r="B35" s="2067"/>
      <c r="C35" s="2067"/>
      <c r="D35" s="2543" t="s">
        <v>423</v>
      </c>
      <c r="E35" s="2543"/>
      <c r="F35" s="2544"/>
      <c r="G35" s="1456">
        <f>G22</f>
        <v>0</v>
      </c>
      <c r="H35" s="1456">
        <f>Personalkostenaufstellung!AH19</f>
        <v>0</v>
      </c>
      <c r="J35" s="2068"/>
      <c r="K35" s="11"/>
      <c r="N35" s="1018"/>
      <c r="O35" s="1018"/>
      <c r="P35" s="1043"/>
    </row>
    <row r="36" spans="1:16" s="1" customFormat="1" ht="14.1" customHeight="1" x14ac:dyDescent="0.2">
      <c r="A36" s="87"/>
      <c r="B36" s="15"/>
      <c r="C36" s="88"/>
      <c r="D36" s="763" t="s">
        <v>1039</v>
      </c>
      <c r="G36" s="1483" t="str">
        <f>IFERROR(ROUND(G35/KAT!G27,4),"")</f>
        <v/>
      </c>
      <c r="H36" s="1483" t="str">
        <f>Personalkostenaufstellung!I366</f>
        <v/>
      </c>
      <c r="J36" s="2068"/>
      <c r="K36" s="11"/>
      <c r="N36" s="1018"/>
      <c r="O36" s="1018"/>
      <c r="P36" s="1043"/>
    </row>
    <row r="37" spans="1:16" s="1" customFormat="1" ht="25.5" customHeight="1" x14ac:dyDescent="0.2">
      <c r="A37" s="87"/>
      <c r="B37" s="2067"/>
      <c r="C37" s="2067"/>
      <c r="D37" s="2540" t="str">
        <f>Personalkostenaufstellung!O366</f>
        <v/>
      </c>
      <c r="E37" s="2540"/>
      <c r="F37" s="2540"/>
      <c r="G37" s="2540"/>
      <c r="H37" s="2540"/>
      <c r="I37" s="2540"/>
      <c r="J37" s="2063"/>
      <c r="K37" s="11"/>
    </row>
    <row r="38" spans="1:16" s="1" customFormat="1" ht="12.75" hidden="1" customHeight="1" x14ac:dyDescent="0.2">
      <c r="A38" s="87"/>
      <c r="B38" s="15"/>
      <c r="C38" s="88"/>
      <c r="D38" s="88"/>
      <c r="E38" s="88"/>
      <c r="F38" s="88"/>
      <c r="G38" s="2062"/>
      <c r="H38" s="2070"/>
      <c r="I38" s="2062"/>
      <c r="J38" s="2063"/>
      <c r="K38" s="11"/>
    </row>
    <row r="39" spans="1:16" s="1" customFormat="1" ht="6" hidden="1" customHeight="1" x14ac:dyDescent="0.2">
      <c r="A39" s="87"/>
      <c r="B39" s="15"/>
      <c r="C39" s="88"/>
      <c r="D39" s="88"/>
      <c r="E39" s="88"/>
      <c r="F39" s="88"/>
      <c r="G39" s="2062"/>
      <c r="H39" s="2071"/>
      <c r="I39" s="2062"/>
      <c r="J39" s="2063"/>
      <c r="K39" s="11"/>
    </row>
    <row r="40" spans="1:16" s="1" customFormat="1" ht="9.9499999999999993" customHeight="1" x14ac:dyDescent="0.2">
      <c r="A40" s="87"/>
      <c r="B40" s="15"/>
      <c r="C40" s="10"/>
      <c r="D40" s="10"/>
      <c r="E40" s="10"/>
      <c r="F40" s="10"/>
      <c r="G40" s="10"/>
      <c r="H40" s="10"/>
      <c r="I40" s="10"/>
      <c r="J40" s="2063"/>
      <c r="K40" s="11"/>
    </row>
    <row r="41" spans="1:16" s="1" customFormat="1" ht="12.75" x14ac:dyDescent="0.2">
      <c r="A41" s="87"/>
      <c r="B41" s="15" t="s">
        <v>123</v>
      </c>
      <c r="C41" s="15" t="s">
        <v>46</v>
      </c>
      <c r="D41" s="88"/>
      <c r="E41" s="88"/>
      <c r="F41" s="88"/>
      <c r="G41" s="88"/>
      <c r="H41" s="88"/>
      <c r="I41" s="88"/>
      <c r="J41" s="2063"/>
      <c r="K41" s="11"/>
    </row>
    <row r="42" spans="1:16" s="1" customFormat="1" ht="24" customHeight="1" x14ac:dyDescent="0.2">
      <c r="A42" s="87"/>
      <c r="B42" s="15"/>
      <c r="C42" s="15" t="s">
        <v>47</v>
      </c>
      <c r="D42" s="88"/>
      <c r="E42" s="88"/>
      <c r="F42" s="88"/>
      <c r="G42" s="2062"/>
      <c r="H42" s="2070"/>
      <c r="I42" s="2062"/>
      <c r="J42" s="2063"/>
      <c r="K42" s="11"/>
      <c r="N42" s="1018"/>
      <c r="O42" s="763"/>
    </row>
    <row r="43" spans="1:16" s="1" customFormat="1" ht="27.95" customHeight="1" x14ac:dyDescent="0.2">
      <c r="A43" s="87"/>
      <c r="B43" s="15"/>
      <c r="C43" s="2098" t="s">
        <v>485</v>
      </c>
      <c r="D43" s="2541" t="s">
        <v>438</v>
      </c>
      <c r="E43" s="2541"/>
      <c r="F43" s="2542"/>
      <c r="G43" s="1452"/>
      <c r="H43" s="1453">
        <f>Personalkostenaufstellung!H396</f>
        <v>0</v>
      </c>
      <c r="I43" s="495">
        <f>Personalkostenaufstellung!Y396</f>
        <v>0</v>
      </c>
      <c r="J43" s="2060">
        <f>IFERROR((H43*I43)*(1+pnk+I74)*(1+risiko),0)</f>
        <v>0</v>
      </c>
      <c r="K43" s="11"/>
      <c r="N43" s="1018"/>
      <c r="O43" s="763"/>
    </row>
    <row r="44" spans="1:16" s="1" customFormat="1" ht="27.95" customHeight="1" x14ac:dyDescent="0.2">
      <c r="A44" s="87"/>
      <c r="B44" s="15"/>
      <c r="C44" s="2098" t="s">
        <v>486</v>
      </c>
      <c r="D44" s="2541" t="s">
        <v>439</v>
      </c>
      <c r="E44" s="2541"/>
      <c r="F44" s="2542"/>
      <c r="G44" s="1452"/>
      <c r="H44" s="1453">
        <f>Personalkostenaufstellung!H424</f>
        <v>0</v>
      </c>
      <c r="I44" s="495">
        <f>Personalkostenaufstellung!Y424</f>
        <v>0</v>
      </c>
      <c r="J44" s="2060">
        <f>IFERROR((H44*I44)*(1+pnk+I74)*(1+risiko),0)</f>
        <v>0</v>
      </c>
      <c r="K44" s="11"/>
      <c r="N44" s="1018"/>
      <c r="O44" s="763"/>
    </row>
    <row r="45" spans="1:16" s="1" customFormat="1" ht="9.9499999999999993" customHeight="1" thickBot="1" x14ac:dyDescent="0.25">
      <c r="A45" s="87"/>
      <c r="B45" s="15"/>
      <c r="C45" s="2064"/>
      <c r="D45" s="2072"/>
      <c r="E45" s="2072"/>
      <c r="F45" s="2072"/>
      <c r="G45" s="2073"/>
      <c r="H45" s="2073"/>
      <c r="I45" s="1038"/>
      <c r="J45" s="2063"/>
      <c r="K45" s="11"/>
      <c r="N45" s="1018"/>
      <c r="O45" s="1018"/>
    </row>
    <row r="46" spans="1:16" s="1" customFormat="1" ht="14.1" customHeight="1" thickBot="1" x14ac:dyDescent="0.25">
      <c r="A46" s="87"/>
      <c r="B46" s="88"/>
      <c r="C46" s="88"/>
      <c r="D46" s="115" t="s">
        <v>424</v>
      </c>
      <c r="E46" s="2061"/>
      <c r="F46" s="2061"/>
      <c r="G46" s="1454">
        <f>SUM(G43:G44)</f>
        <v>0</v>
      </c>
      <c r="H46" s="1454">
        <f>SUM(H43:H44)</f>
        <v>0</v>
      </c>
      <c r="I46" s="296">
        <f>IF(H46=0,0,(H43*I43+H44*I44)/H46)</f>
        <v>0</v>
      </c>
      <c r="J46" s="295" t="str">
        <f>IFERROR((H46*I46)*(1+pnk+I74)*(1+risiko),"")</f>
        <v/>
      </c>
      <c r="K46" s="11"/>
    </row>
    <row r="47" spans="1:16" s="1" customFormat="1" ht="14.1" customHeight="1" thickBot="1" x14ac:dyDescent="0.25">
      <c r="A47" s="87"/>
      <c r="B47" s="88"/>
      <c r="C47" s="88"/>
      <c r="D47" s="497"/>
      <c r="E47" s="327"/>
      <c r="F47" s="327"/>
      <c r="G47" s="2074"/>
      <c r="H47" s="2075" t="str">
        <f>IFERROR(IF('Allgemeine Angaben'!L47/Personalaufwendungen!H46&lt;&gt;20,"Bitte Stellenumfang entspr. gesetzl. Vorgaben ("&amp;TEXT(Personalkostenaufstellung!AQ1,"0,0000")&amp;" VK) angeben.",""),"")</f>
        <v/>
      </c>
      <c r="I47" s="2067"/>
      <c r="J47" s="2068"/>
      <c r="K47" s="11"/>
      <c r="M47" s="1718"/>
    </row>
    <row r="48" spans="1:16" s="1" customFormat="1" ht="14.1" customHeight="1" thickBot="1" x14ac:dyDescent="0.25">
      <c r="A48" s="87"/>
      <c r="B48" s="15" t="s">
        <v>124</v>
      </c>
      <c r="C48" s="15" t="s">
        <v>163</v>
      </c>
      <c r="D48" s="497"/>
      <c r="E48" s="327"/>
      <c r="F48" s="327"/>
      <c r="G48" s="1452"/>
      <c r="H48" s="2141">
        <f>Personalkostenaufstellung!H435</f>
        <v>0</v>
      </c>
      <c r="I48" s="2140">
        <f>Personalkostenaufstellung!Y435</f>
        <v>0</v>
      </c>
      <c r="J48" s="295" t="str">
        <f>IFERROR((H48*I48)*(1+pnk+I74)*(1+risiko),"")</f>
        <v/>
      </c>
      <c r="K48" s="11"/>
      <c r="M48" s="473"/>
    </row>
    <row r="49" spans="1:17" s="1" customFormat="1" ht="14.1" customHeight="1" x14ac:dyDescent="0.2">
      <c r="A49" s="87"/>
      <c r="B49" s="15"/>
      <c r="C49" s="88"/>
      <c r="D49" s="88"/>
      <c r="E49" s="88"/>
      <c r="F49" s="57"/>
      <c r="G49" s="2062"/>
      <c r="H49" s="2070"/>
      <c r="I49" s="2067"/>
      <c r="J49" s="2068"/>
      <c r="K49" s="11"/>
      <c r="M49" s="54"/>
    </row>
    <row r="50" spans="1:17" s="1" customFormat="1" ht="12.75" x14ac:dyDescent="0.2">
      <c r="A50" s="87"/>
      <c r="B50" s="15" t="s">
        <v>125</v>
      </c>
      <c r="C50" s="15" t="s">
        <v>90</v>
      </c>
      <c r="D50" s="88"/>
      <c r="E50" s="88"/>
      <c r="F50" s="88"/>
      <c r="G50" s="2062"/>
      <c r="H50" s="2070"/>
      <c r="I50" s="2067"/>
      <c r="J50" s="2068"/>
      <c r="K50" s="11"/>
    </row>
    <row r="51" spans="1:17" s="1" customFormat="1" ht="13.9" customHeight="1" x14ac:dyDescent="0.2">
      <c r="A51" s="87"/>
      <c r="B51" s="15"/>
      <c r="C51" s="88" t="s">
        <v>193</v>
      </c>
      <c r="D51" s="10"/>
      <c r="E51" s="88"/>
      <c r="F51" s="88"/>
      <c r="G51" s="1452"/>
      <c r="H51" s="1453">
        <f>Personalkostenaufstellung!H536</f>
        <v>0</v>
      </c>
      <c r="I51" s="2067"/>
      <c r="J51" s="2068"/>
      <c r="K51" s="11"/>
      <c r="M51" s="54"/>
      <c r="N51" s="1018"/>
      <c r="O51" s="763"/>
      <c r="P51" s="54"/>
    </row>
    <row r="52" spans="1:17" s="1" customFormat="1" ht="13.9" customHeight="1" x14ac:dyDescent="0.2">
      <c r="A52" s="25"/>
      <c r="C52" s="2547" t="s">
        <v>618</v>
      </c>
      <c r="D52" s="2547"/>
      <c r="E52" s="2547"/>
      <c r="F52" s="2548"/>
      <c r="G52" s="1982"/>
      <c r="H52" s="1771">
        <f>SUM(Personalkostenaufstellung!H467:H473)</f>
        <v>0</v>
      </c>
      <c r="J52" s="2068"/>
      <c r="K52" s="11"/>
    </row>
    <row r="53" spans="1:17" s="1" customFormat="1" ht="13.9" customHeight="1" x14ac:dyDescent="0.2">
      <c r="A53" s="87"/>
      <c r="B53" s="15"/>
      <c r="C53" s="2547" t="s">
        <v>619</v>
      </c>
      <c r="D53" s="2547"/>
      <c r="E53" s="2547"/>
      <c r="F53" s="2548"/>
      <c r="G53" s="1982"/>
      <c r="H53" s="1771">
        <f>SUM(Personalkostenaufstellung!H475:H504)</f>
        <v>0</v>
      </c>
      <c r="I53" s="1862">
        <f>IFERROR(ROUND(SUM(H52:H54)/SUM(H52:H54,H21,H23,H19),4),0)</f>
        <v>0</v>
      </c>
      <c r="J53" s="2063"/>
      <c r="K53" s="11"/>
    </row>
    <row r="54" spans="1:17" s="1" customFormat="1" ht="18" customHeight="1" x14ac:dyDescent="0.2">
      <c r="A54" s="87"/>
      <c r="B54" s="15"/>
      <c r="C54" s="2547" t="s">
        <v>620</v>
      </c>
      <c r="D54" s="2547"/>
      <c r="E54" s="2547"/>
      <c r="F54" s="2548"/>
      <c r="G54" s="1982"/>
      <c r="H54" s="1771">
        <f>SUM(Personalkostenaufstellung!H506:H535)</f>
        <v>0</v>
      </c>
      <c r="I54" s="1810" t="s">
        <v>650</v>
      </c>
      <c r="J54" s="2063"/>
      <c r="K54" s="11"/>
      <c r="N54" s="1018"/>
      <c r="O54" s="1018"/>
      <c r="Q54" s="1043"/>
    </row>
    <row r="55" spans="1:17" s="1865" customFormat="1" ht="18" customHeight="1" thickBot="1" x14ac:dyDescent="0.25">
      <c r="A55" s="1863"/>
      <c r="B55" s="2076"/>
      <c r="C55" s="2077" t="str">
        <f>IF(OR(I53&gt;40%,I53&lt;20%),"Anteil der Präsenzkräfte im Bereich Hauswirtschaft entspricht nicht dem PSK-Beschluss 2/2024, bitte Angaben in der Personalkostenaufstellung korrigieren.","")</f>
        <v>Anteil der Präsenzkräfte im Bereich Hauswirtschaft entspricht nicht dem PSK-Beschluss 2/2024, bitte Angaben in der Personalkostenaufstellung korrigieren.</v>
      </c>
      <c r="D55" s="2078"/>
      <c r="E55" s="2078"/>
      <c r="F55" s="2078"/>
      <c r="G55" s="2078"/>
      <c r="H55" s="2078"/>
      <c r="I55" s="2078"/>
      <c r="J55" s="2068"/>
      <c r="K55" s="1864"/>
      <c r="N55" s="1866"/>
      <c r="O55" s="1866"/>
      <c r="Q55" s="1867"/>
    </row>
    <row r="56" spans="1:17" s="1" customFormat="1" ht="14.1" customHeight="1" thickBot="1" x14ac:dyDescent="0.25">
      <c r="A56" s="87"/>
      <c r="B56" s="15"/>
      <c r="C56" s="88"/>
      <c r="D56" s="115" t="s">
        <v>194</v>
      </c>
      <c r="E56" s="2061"/>
      <c r="F56" s="2061"/>
      <c r="G56" s="1454">
        <f>G51</f>
        <v>0</v>
      </c>
      <c r="H56" s="1454">
        <f>H51</f>
        <v>0</v>
      </c>
      <c r="I56" s="496">
        <f>Personalkostenaufstellung!Y536</f>
        <v>0</v>
      </c>
      <c r="J56" s="295" t="str">
        <f>IFERROR((H56*I56)*(1+pnk+I74)*(1+risiko),"")</f>
        <v/>
      </c>
      <c r="K56" s="11"/>
      <c r="N56" s="1018"/>
      <c r="O56" s="1018"/>
      <c r="Q56" s="1043"/>
    </row>
    <row r="57" spans="1:17" s="1" customFormat="1" ht="14.1" customHeight="1" thickBot="1" x14ac:dyDescent="0.25">
      <c r="A57" s="87"/>
      <c r="B57" s="15"/>
      <c r="C57" s="88"/>
      <c r="D57" s="88"/>
      <c r="E57" s="88"/>
      <c r="F57" s="88"/>
      <c r="G57" s="47"/>
      <c r="H57" s="2070" t="str">
        <f>IF(H56&lt;&gt;Personalkostenaufstellung!H536,"VK-Prognose entspricht nicht dem VK-Umfang in der Mappe Personalkostenaufstellung","")</f>
        <v/>
      </c>
      <c r="I57" s="47"/>
      <c r="J57" s="2079"/>
      <c r="K57" s="11"/>
      <c r="N57" s="1018"/>
      <c r="O57" s="1018"/>
      <c r="Q57" s="1043"/>
    </row>
    <row r="58" spans="1:17" s="1" customFormat="1" ht="13.5" thickBot="1" x14ac:dyDescent="0.25">
      <c r="A58" s="87"/>
      <c r="B58" s="15" t="s">
        <v>126</v>
      </c>
      <c r="C58" s="15" t="s">
        <v>44</v>
      </c>
      <c r="D58" s="88"/>
      <c r="E58" s="88"/>
      <c r="F58" s="88"/>
      <c r="G58" s="1452"/>
      <c r="H58" s="1453">
        <f>Personalkostenaufstellung!H569</f>
        <v>0</v>
      </c>
      <c r="I58" s="496">
        <f>Personalkostenaufstellung!Y569</f>
        <v>0</v>
      </c>
      <c r="J58" s="295" t="str">
        <f>IFERROR((H58*I58)*(1+pnk+I74)*(1+risiko),"")</f>
        <v/>
      </c>
      <c r="K58" s="11"/>
      <c r="N58" s="1018"/>
      <c r="O58" s="1018"/>
      <c r="Q58" s="1043"/>
    </row>
    <row r="59" spans="1:17" s="1" customFormat="1" ht="14.1" customHeight="1" thickBot="1" x14ac:dyDescent="0.25">
      <c r="A59" s="87"/>
      <c r="B59" s="15"/>
      <c r="C59" s="88"/>
      <c r="D59" s="88"/>
      <c r="E59" s="88"/>
      <c r="F59" s="88"/>
      <c r="G59" s="2062"/>
      <c r="H59" s="2070"/>
      <c r="I59" s="2067"/>
      <c r="J59" s="2068"/>
      <c r="K59" s="11"/>
    </row>
    <row r="60" spans="1:17" s="10" customFormat="1" ht="13.5" thickBot="1" x14ac:dyDescent="0.25">
      <c r="A60" s="87"/>
      <c r="B60" s="15" t="s">
        <v>127</v>
      </c>
      <c r="C60" s="15" t="s">
        <v>45</v>
      </c>
      <c r="D60" s="88"/>
      <c r="E60" s="88"/>
      <c r="F60" s="88"/>
      <c r="G60" s="1452"/>
      <c r="H60" s="1453">
        <f>Personalkostenaufstellung!H582</f>
        <v>0</v>
      </c>
      <c r="I60" s="496">
        <f>Personalkostenaufstellung!Y582</f>
        <v>0</v>
      </c>
      <c r="J60" s="295" t="str">
        <f>IFERROR((H60*I60)*(1+pnk+I74)*(1+risiko),"")</f>
        <v/>
      </c>
      <c r="K60" s="11"/>
      <c r="L60" s="1"/>
    </row>
    <row r="61" spans="1:17" s="1" customFormat="1" ht="9.9499999999999993" customHeight="1" x14ac:dyDescent="0.2">
      <c r="A61" s="87"/>
      <c r="B61" s="15"/>
      <c r="C61" s="15"/>
      <c r="D61" s="88"/>
      <c r="E61" s="88"/>
      <c r="F61" s="88"/>
      <c r="G61" s="88"/>
      <c r="H61" s="842"/>
      <c r="I61" s="88"/>
      <c r="J61" s="2068"/>
      <c r="K61" s="11"/>
    </row>
    <row r="62" spans="1:17" s="1" customFormat="1" ht="9.9499999999999993" hidden="1" customHeight="1" x14ac:dyDescent="0.2">
      <c r="A62" s="87"/>
      <c r="B62" s="497"/>
      <c r="C62" s="497"/>
      <c r="D62" s="327"/>
      <c r="E62" s="327"/>
      <c r="F62" s="327"/>
      <c r="G62" s="2080"/>
      <c r="H62" s="2080"/>
      <c r="I62" s="2081"/>
      <c r="J62" s="2068"/>
      <c r="K62" s="11"/>
      <c r="N62" s="1041"/>
    </row>
    <row r="63" spans="1:17" s="1" customFormat="1" ht="9.9499999999999993" customHeight="1" x14ac:dyDescent="0.2">
      <c r="A63" s="87"/>
      <c r="B63" s="15"/>
      <c r="C63" s="15"/>
      <c r="D63" s="88"/>
      <c r="E63" s="88"/>
      <c r="F63" s="88"/>
      <c r="G63" s="2062"/>
      <c r="H63" s="50"/>
      <c r="I63" s="2062"/>
      <c r="J63" s="2063"/>
      <c r="K63" s="11"/>
      <c r="L63" s="10"/>
    </row>
    <row r="64" spans="1:17" s="1" customFormat="1" ht="13.5" thickBot="1" x14ac:dyDescent="0.25">
      <c r="A64" s="87"/>
      <c r="B64" s="15"/>
      <c r="C64" s="1061" t="s">
        <v>200</v>
      </c>
      <c r="D64" s="1062"/>
      <c r="E64" s="1062"/>
      <c r="F64" s="1062"/>
      <c r="G64" s="1063"/>
      <c r="H64" s="1063"/>
      <c r="I64" s="2142">
        <f>H25*I25+H46*I46+H48*I48+H56*I56+H58*I58+H60*I60+H15*I15</f>
        <v>0</v>
      </c>
      <c r="J64" s="346">
        <f>IFERROR(ROUND(SUM(J25,J46,J48,J56,J58,J60,J15),2),"")</f>
        <v>0</v>
      </c>
      <c r="K64" s="11"/>
    </row>
    <row r="65" spans="1:14" s="1" customFormat="1" ht="9.9499999999999993" customHeight="1" thickTop="1" x14ac:dyDescent="0.2">
      <c r="A65" s="87"/>
      <c r="B65" s="15"/>
      <c r="C65" s="15"/>
      <c r="D65" s="88"/>
      <c r="E65" s="88"/>
      <c r="F65" s="88"/>
      <c r="G65" s="88"/>
      <c r="H65" s="88"/>
      <c r="I65" s="88"/>
      <c r="J65" s="2059"/>
      <c r="K65" s="11"/>
    </row>
    <row r="66" spans="1:14" s="1" customFormat="1" ht="12.75" customHeight="1" x14ac:dyDescent="0.2">
      <c r="A66" s="87"/>
      <c r="B66" s="15" t="s">
        <v>202</v>
      </c>
      <c r="C66" s="15" t="s">
        <v>168</v>
      </c>
      <c r="D66" s="15"/>
      <c r="E66" s="88"/>
      <c r="F66" s="10"/>
      <c r="G66" s="10"/>
      <c r="H66" s="10"/>
      <c r="I66" s="10"/>
      <c r="J66" s="2082"/>
      <c r="K66" s="11"/>
    </row>
    <row r="67" spans="1:14" s="1" customFormat="1" ht="12.75" customHeight="1" x14ac:dyDescent="0.2">
      <c r="A67" s="87"/>
      <c r="B67" s="15"/>
      <c r="C67" s="88"/>
      <c r="D67" s="88" t="s">
        <v>195</v>
      </c>
      <c r="E67" s="88"/>
      <c r="F67" s="1064"/>
      <c r="G67" s="1065" t="s">
        <v>201</v>
      </c>
      <c r="H67" s="292"/>
      <c r="I67" s="2083"/>
      <c r="J67" s="2084"/>
      <c r="K67" s="11"/>
    </row>
    <row r="68" spans="1:14" s="1" customFormat="1" ht="12.75" customHeight="1" x14ac:dyDescent="0.2">
      <c r="A68" s="87"/>
      <c r="B68" s="15"/>
      <c r="C68" s="88"/>
      <c r="D68" s="88" t="s">
        <v>196</v>
      </c>
      <c r="E68" s="88"/>
      <c r="F68" s="1064"/>
      <c r="G68" s="1065" t="s">
        <v>201</v>
      </c>
      <c r="H68" s="292"/>
      <c r="I68" s="2083"/>
      <c r="J68" s="2084"/>
      <c r="K68" s="11"/>
    </row>
    <row r="69" spans="1:14" s="1" customFormat="1" ht="12.75" customHeight="1" x14ac:dyDescent="0.2">
      <c r="A69" s="87"/>
      <c r="B69" s="15"/>
      <c r="C69" s="88"/>
      <c r="D69" s="88" t="s">
        <v>197</v>
      </c>
      <c r="E69" s="88"/>
      <c r="F69" s="1064"/>
      <c r="G69" s="1065" t="s">
        <v>201</v>
      </c>
      <c r="H69" s="292"/>
      <c r="I69" s="2083"/>
      <c r="J69" s="2084"/>
      <c r="K69" s="11"/>
    </row>
    <row r="70" spans="1:14" s="1" customFormat="1" ht="12.75" customHeight="1" x14ac:dyDescent="0.2">
      <c r="A70" s="87"/>
      <c r="B70" s="15"/>
      <c r="C70" s="88"/>
      <c r="D70" s="88" t="s">
        <v>198</v>
      </c>
      <c r="E70" s="88"/>
      <c r="F70" s="88"/>
      <c r="G70" s="1066" t="s">
        <v>201</v>
      </c>
      <c r="H70" s="292"/>
      <c r="I70" s="2083"/>
      <c r="J70" s="2084"/>
      <c r="K70" s="11"/>
      <c r="N70" s="1040"/>
    </row>
    <row r="71" spans="1:14" s="1" customFormat="1" ht="9.9499999999999993" customHeight="1" thickBot="1" x14ac:dyDescent="0.25">
      <c r="A71" s="87"/>
      <c r="B71" s="88"/>
      <c r="C71" s="88"/>
      <c r="D71" s="88"/>
      <c r="E71" s="88"/>
      <c r="F71" s="327"/>
      <c r="G71" s="2085"/>
      <c r="H71" s="393"/>
      <c r="I71" s="2083"/>
      <c r="J71" s="2084"/>
      <c r="K71" s="11"/>
      <c r="N71" s="1041"/>
    </row>
    <row r="72" spans="1:14" s="1" customFormat="1" ht="14.1" customHeight="1" thickBot="1" x14ac:dyDescent="0.25">
      <c r="A72" s="87"/>
      <c r="B72" s="88"/>
      <c r="C72" s="88"/>
      <c r="D72" s="115" t="s">
        <v>199</v>
      </c>
      <c r="E72" s="2061"/>
      <c r="F72" s="2061"/>
      <c r="G72" s="88"/>
      <c r="H72" s="88"/>
      <c r="I72" s="294" t="str">
        <f>IFERROR(ROUND(J72/I64,4),"")</f>
        <v/>
      </c>
      <c r="J72" s="295">
        <f>SUM(H67:H70)</f>
        <v>0</v>
      </c>
      <c r="K72" s="11"/>
    </row>
    <row r="73" spans="1:14" s="1" customFormat="1" ht="9.9499999999999993" customHeight="1" thickBot="1" x14ac:dyDescent="0.25">
      <c r="A73" s="87"/>
      <c r="B73" s="88"/>
      <c r="C73" s="88"/>
      <c r="D73" s="88"/>
      <c r="E73" s="88"/>
      <c r="F73" s="88"/>
      <c r="G73" s="88"/>
      <c r="H73" s="88"/>
      <c r="I73" s="2086"/>
      <c r="J73" s="2084"/>
      <c r="K73" s="11"/>
    </row>
    <row r="74" spans="1:14" s="1" customFormat="1" ht="12.75" customHeight="1" thickBot="1" x14ac:dyDescent="0.25">
      <c r="A74" s="87"/>
      <c r="B74" s="15" t="s">
        <v>202</v>
      </c>
      <c r="C74" s="2087" t="s">
        <v>306</v>
      </c>
      <c r="D74" s="2088"/>
      <c r="E74" s="2088"/>
      <c r="F74" s="2088"/>
      <c r="G74" s="2088"/>
      <c r="H74" s="88"/>
      <c r="I74" s="2089" t="str">
        <f>IFERROR(ROUND(J74/I64,4),"")</f>
        <v/>
      </c>
      <c r="J74" s="499"/>
      <c r="K74" s="11"/>
      <c r="N74" s="1041"/>
    </row>
    <row r="75" spans="1:14" s="1" customFormat="1" ht="12.75" customHeight="1" thickBot="1" x14ac:dyDescent="0.25">
      <c r="A75" s="87"/>
      <c r="B75" s="88"/>
      <c r="C75" s="331" t="str">
        <f>IF(J74&gt;0,"Forderung für steuerfreie Sachbezüge nach § 8 Abs. 2 EStG begründen und mit entsprechenden Nachweisen belegen.","")</f>
        <v/>
      </c>
      <c r="D75" s="88"/>
      <c r="E75" s="88"/>
      <c r="F75" s="88"/>
      <c r="G75" s="88"/>
      <c r="H75" s="88"/>
      <c r="I75" s="2083"/>
      <c r="J75" s="2084"/>
      <c r="K75" s="11"/>
      <c r="N75" s="1041"/>
    </row>
    <row r="76" spans="1:14" s="1" customFormat="1" ht="12.75" customHeight="1" thickBot="1" x14ac:dyDescent="0.25">
      <c r="A76" s="87"/>
      <c r="B76" s="15" t="s">
        <v>202</v>
      </c>
      <c r="C76" s="15" t="s">
        <v>296</v>
      </c>
      <c r="D76" s="88"/>
      <c r="E76" s="88"/>
      <c r="F76" s="88"/>
      <c r="G76" s="79"/>
      <c r="H76" s="2090" t="s">
        <v>257</v>
      </c>
      <c r="I76" s="341"/>
      <c r="J76" s="296">
        <f>IFERROR(I64*risiko,"")</f>
        <v>0</v>
      </c>
      <c r="K76" s="11"/>
    </row>
    <row r="77" spans="1:14" s="1" customFormat="1" ht="12.75" x14ac:dyDescent="0.2">
      <c r="A77" s="87"/>
      <c r="B77" s="88"/>
      <c r="C77" s="88"/>
      <c r="D77" s="88"/>
      <c r="E77" s="88"/>
      <c r="F77" s="88"/>
      <c r="G77" s="88"/>
      <c r="H77" s="88"/>
      <c r="I77" s="2091" t="str">
        <f>IF(risiko&gt;0.02,"Hinweis: Risiken über 2 % sind zu begründen und mit Nachweisen zu belegen","")</f>
        <v/>
      </c>
      <c r="J77" s="2084"/>
      <c r="K77" s="11"/>
    </row>
    <row r="78" spans="1:14" s="10" customFormat="1" ht="13.5" customHeight="1" thickBot="1" x14ac:dyDescent="0.25">
      <c r="A78" s="87"/>
      <c r="B78" s="88"/>
      <c r="C78" s="88"/>
      <c r="D78" s="88"/>
      <c r="E78" s="88"/>
      <c r="F78" s="88"/>
      <c r="G78" s="2092" t="s">
        <v>255</v>
      </c>
      <c r="H78" s="2092" t="s">
        <v>255</v>
      </c>
      <c r="I78" s="2093" t="s">
        <v>275</v>
      </c>
      <c r="J78" s="2084"/>
      <c r="K78" s="11"/>
      <c r="L78" s="1"/>
    </row>
    <row r="79" spans="1:14" s="1" customFormat="1" ht="13.5" thickBot="1" x14ac:dyDescent="0.25">
      <c r="A79" s="87"/>
      <c r="B79" s="15" t="s">
        <v>137</v>
      </c>
      <c r="C79" s="15" t="s">
        <v>254</v>
      </c>
      <c r="D79" s="88"/>
      <c r="E79" s="88"/>
      <c r="F79" s="88"/>
      <c r="G79" s="1070"/>
      <c r="H79" s="1067">
        <f>Personalkostenaufstellung!V586</f>
        <v>0</v>
      </c>
      <c r="I79" s="498">
        <f>Personalkostenaufstellung!W586</f>
        <v>0</v>
      </c>
      <c r="J79" s="2084"/>
      <c r="K79" s="11"/>
    </row>
    <row r="80" spans="1:14" s="1" customFormat="1" ht="9.9499999999999993" customHeight="1" thickBot="1" x14ac:dyDescent="0.25">
      <c r="A80" s="38"/>
      <c r="B80" s="15"/>
      <c r="C80" s="15"/>
      <c r="D80" s="88"/>
      <c r="E80" s="88"/>
      <c r="F80" s="88"/>
      <c r="G80" s="2094"/>
      <c r="H80" s="847"/>
      <c r="I80" s="2095"/>
      <c r="J80" s="2084"/>
      <c r="K80" s="11"/>
    </row>
    <row r="81" spans="1:12" s="1" customFormat="1" ht="13.5" thickBot="1" x14ac:dyDescent="0.25">
      <c r="A81" s="38"/>
      <c r="B81" s="10"/>
      <c r="C81" s="6" t="s">
        <v>256</v>
      </c>
      <c r="D81" s="10"/>
      <c r="E81" s="10"/>
      <c r="F81" s="10"/>
      <c r="G81" s="1070"/>
      <c r="H81" s="1067">
        <f>Personalkostenaufstellung!V587</f>
        <v>0</v>
      </c>
      <c r="I81" s="498">
        <f>Personalkostenaufstellung!W587</f>
        <v>0</v>
      </c>
      <c r="J81" s="2084"/>
      <c r="K81" s="11"/>
      <c r="L81" s="10"/>
    </row>
    <row r="82" spans="1:12" s="1" customFormat="1" ht="12.75" hidden="1" x14ac:dyDescent="0.2">
      <c r="A82" s="38"/>
      <c r="B82" s="10"/>
      <c r="C82" s="10"/>
      <c r="D82" s="10"/>
      <c r="E82" s="10"/>
      <c r="F82" s="10"/>
      <c r="G82" s="10"/>
      <c r="H82" s="842"/>
      <c r="I82" s="10"/>
      <c r="J82" s="2082"/>
      <c r="K82" s="44"/>
    </row>
    <row r="83" spans="1:12" s="89" customFormat="1" ht="9.9499999999999993" customHeight="1" x14ac:dyDescent="0.2">
      <c r="A83" s="2096"/>
      <c r="B83" s="37"/>
      <c r="C83" s="82"/>
      <c r="D83" s="37"/>
      <c r="E83" s="37"/>
      <c r="F83" s="37"/>
      <c r="G83" s="37"/>
      <c r="H83" s="1068"/>
      <c r="I83" s="37"/>
      <c r="J83" s="1069"/>
      <c r="K83" s="42"/>
      <c r="L83" s="1"/>
    </row>
    <row r="84" spans="1:12" s="89" customFormat="1" ht="12.75" x14ac:dyDescent="0.2">
      <c r="B84" s="1"/>
      <c r="C84" s="1"/>
      <c r="D84" s="1"/>
      <c r="E84" s="1"/>
      <c r="F84" s="1"/>
      <c r="G84" s="1"/>
      <c r="H84" s="1"/>
      <c r="I84" s="1"/>
      <c r="J84" s="1"/>
      <c r="L84" s="1"/>
    </row>
    <row r="85" spans="1:12" s="89" customFormat="1" ht="14.1" customHeight="1" x14ac:dyDescent="0.2">
      <c r="B85" s="89" t="s">
        <v>48</v>
      </c>
      <c r="L85" s="1"/>
    </row>
    <row r="86" spans="1:12" s="89" customFormat="1" ht="14.1" customHeight="1" x14ac:dyDescent="0.2">
      <c r="B86" s="89" t="s">
        <v>49</v>
      </c>
    </row>
    <row r="87" spans="1:12" ht="15" customHeight="1" x14ac:dyDescent="0.2">
      <c r="A87" s="89"/>
      <c r="B87" s="89"/>
      <c r="C87" s="89"/>
      <c r="D87" s="89"/>
      <c r="E87" s="89"/>
      <c r="F87" s="89"/>
      <c r="G87" s="89"/>
      <c r="H87" s="89"/>
      <c r="I87" s="89"/>
      <c r="J87" s="89"/>
      <c r="K87" s="89"/>
      <c r="L87" s="89"/>
    </row>
    <row r="88" spans="1:12" ht="15" thickBot="1" x14ac:dyDescent="0.25">
      <c r="B88" s="89"/>
      <c r="C88" s="89"/>
      <c r="D88" s="89"/>
      <c r="E88" s="89"/>
      <c r="F88" s="89"/>
      <c r="G88" s="89"/>
      <c r="H88" s="89"/>
      <c r="I88" s="89"/>
      <c r="J88" s="89"/>
      <c r="L88" s="89"/>
    </row>
    <row r="89" spans="1:12" ht="15" thickBot="1" x14ac:dyDescent="0.25">
      <c r="C89" s="2374" t="s">
        <v>203</v>
      </c>
      <c r="D89" s="2375"/>
      <c r="E89" s="2375"/>
      <c r="F89" s="2375"/>
      <c r="G89" s="2375"/>
      <c r="H89" s="2375"/>
      <c r="I89" s="2376"/>
      <c r="L89" s="89"/>
    </row>
    <row r="92" spans="1:12" ht="14.25" customHeight="1" x14ac:dyDescent="0.2"/>
  </sheetData>
  <sheetProtection algorithmName="SHA-512" hashValue="D47e3u6xiIHWeDdOt4YJY/zKrGLcblb4xB1tRMkdgg9hgMsDeLij5YrRH2xGW7DyCv/9OVCJa9uET82QWvv04Q==" saltValue="iH7O/qDWH3hqqo+mPNubrQ==" spinCount="100000" sheet="1" objects="1" scenarios="1" selectLockedCells="1"/>
  <mergeCells count="21">
    <mergeCell ref="D19:F19"/>
    <mergeCell ref="D31:I31"/>
    <mergeCell ref="A1:K1"/>
    <mergeCell ref="A2:K2"/>
    <mergeCell ref="A3:K3"/>
    <mergeCell ref="D18:F18"/>
    <mergeCell ref="D20:F20"/>
    <mergeCell ref="C89:I89"/>
    <mergeCell ref="D34:I34"/>
    <mergeCell ref="D43:F43"/>
    <mergeCell ref="D22:F22"/>
    <mergeCell ref="D21:F21"/>
    <mergeCell ref="D23:F23"/>
    <mergeCell ref="D37:I37"/>
    <mergeCell ref="D44:F44"/>
    <mergeCell ref="C52:F52"/>
    <mergeCell ref="C53:F53"/>
    <mergeCell ref="C54:F54"/>
    <mergeCell ref="D29:F29"/>
    <mergeCell ref="D32:F32"/>
    <mergeCell ref="D35:F35"/>
  </mergeCells>
  <conditionalFormatting sqref="H48">
    <cfRule type="expression" dxfId="177" priority="78">
      <formula>$H$48=0</formula>
    </cfRule>
  </conditionalFormatting>
  <conditionalFormatting sqref="J64">
    <cfRule type="expression" dxfId="172" priority="75">
      <formula>$J$64=0</formula>
    </cfRule>
  </conditionalFormatting>
  <conditionalFormatting sqref="J72">
    <cfRule type="expression" dxfId="171" priority="74">
      <formula>$J$72=0</formula>
    </cfRule>
  </conditionalFormatting>
  <dataValidations count="8">
    <dataValidation allowBlank="1" showErrorMessage="1" sqref="H54 H81 H79" xr:uid="{00000000-0002-0000-0400-000000000000}"/>
    <dataValidation errorStyle="information" allowBlank="1" showInputMessage="1" showErrorMessage="1" errorTitle="Unternehmerrisiko" promptTitle="Unternehmerrisiko" prompt="siehe allgemeine Hinweise" sqref="I76" xr:uid="{00000000-0002-0000-0400-000001000000}"/>
    <dataValidation allowBlank="1" showErrorMessage="1" promptTitle="Eingabe" sqref="H62" xr:uid="{00000000-0002-0000-0400-000002000000}"/>
    <dataValidation allowBlank="1" showInputMessage="1" promptTitle="Eingabe " prompt="mit 3 Nachkommastellen" sqref="H44:H45 G45" xr:uid="{00000000-0002-0000-0400-000003000000}"/>
    <dataValidation type="whole" allowBlank="1" showInputMessage="1" showErrorMessage="1" promptTitle="Eingabe" prompt="ohne Nachkommastelle" sqref="G79 G81" xr:uid="{00000000-0002-0000-0400-000004000000}">
      <formula1>0</formula1>
      <formula2>20</formula2>
    </dataValidation>
    <dataValidation allowBlank="1" showInputMessage="1" sqref="H11:H13 H60 H58 H20:H23 H18" xr:uid="{00000000-0002-0000-0400-000005000000}"/>
    <dataValidation allowBlank="1" sqref="H51 H53" xr:uid="{00000000-0002-0000-0400-000006000000}"/>
    <dataValidation allowBlank="1" showInputMessage="1" showErrorMessage="1" promptTitle="Eingabe" prompt="mit 4 Nachkommastellen" sqref="G51:G54 G58 G60 G43:G44 G18:G23 G11:G13" xr:uid="{00000000-0002-0000-0400-000007000000}"/>
  </dataValidations>
  <hyperlinks>
    <hyperlink ref="C89" location="'Anlage 1'!A1" display="Anlage 1" xr:uid="{00000000-0004-0000-0400-000000000000}"/>
    <hyperlink ref="C89:I89" location="Sachaufwendungen!A1" display="gehe weiter zu Sachaufwendungen" xr:uid="{00000000-0004-0000-0400-000001000000}"/>
  </hyperlinks>
  <pageMargins left="0.70866141732283472" right="0.70866141732283472" top="0.78740157480314965" bottom="0.78740157480314965" header="0.31496062992125984" footer="0.31496062992125984"/>
  <pageSetup paperSize="9" scale="60" orientation="portrait"/>
  <headerFooter>
    <oddHeader>&amp;C&amp;9Seite 3</oddHeader>
    <oddFooter>&amp;L&amp;8Version: 24.04.2026&amp;C&amp;8Verhandlungsunterlagen vollstationär SGB XI ab 01.07.2026&amp;R&amp;8PSK vom 24.04.2026</oddFooter>
  </headerFooter>
  <ignoredErrors>
    <ignoredError sqref="H18 H11:H13" unlockedFormula="1"/>
    <ignoredError sqref="H19" formulaRange="1"/>
  </ignoredErrors>
  <extLst>
    <ext xmlns:x14="http://schemas.microsoft.com/office/spreadsheetml/2009/9/main" uri="{78C0D931-6437-407d-A8EE-F0AAD7539E65}">
      <x14:conditionalFormattings>
        <x14:conditionalFormatting xmlns:xm="http://schemas.microsoft.com/office/excel/2006/main">
          <x14:cfRule type="expression" priority="35" id="{5B4E4CA2-30EC-45C6-B217-57798BC89520}">
            <xm:f>'Allgemeine Angaben'!$F$7=""</xm:f>
            <x14:dxf>
              <font>
                <color theme="0"/>
              </font>
              <fill>
                <patternFill>
                  <bgColor theme="0"/>
                </patternFill>
              </fill>
            </x14:dxf>
          </x14:cfRule>
          <xm:sqref>C52:C54</xm:sqref>
        </x14:conditionalFormatting>
        <x14:conditionalFormatting xmlns:xm="http://schemas.microsoft.com/office/excel/2006/main">
          <x14:cfRule type="expression" priority="13" id="{75BD4893-B7C6-47F8-8C83-055E53A13664}">
            <xm:f>'Allgemeine Angaben'!$F$7=""</xm:f>
            <x14:dxf>
              <font>
                <color theme="0"/>
              </font>
              <fill>
                <patternFill patternType="none">
                  <bgColor auto="1"/>
                </patternFill>
              </fill>
            </x14:dxf>
          </x14:cfRule>
          <xm:sqref>C55</xm:sqref>
        </x14:conditionalFormatting>
        <x14:conditionalFormatting xmlns:xm="http://schemas.microsoft.com/office/excel/2006/main">
          <x14:cfRule type="expression" priority="654" id="{CD8D76FE-1515-43A3-B931-B64D79E770F3}">
            <xm:f>'Allgemeine Angaben'!$F$7=""</xm:f>
            <x14:dxf>
              <font>
                <color theme="0"/>
              </font>
              <fill>
                <patternFill>
                  <bgColor theme="0"/>
                </patternFill>
              </fill>
            </x14:dxf>
          </x14:cfRule>
          <x14:cfRule type="expression" priority="655" id="{7841CB27-F71C-4E34-BC3D-1BE75CA90F73}">
            <xm:f>KAT!$A$70="ja"</xm:f>
            <x14:dxf>
              <fill>
                <patternFill>
                  <bgColor rgb="FFCCECFF"/>
                </patternFill>
              </fill>
            </x14:dxf>
          </x14:cfRule>
          <xm:sqref>D19</xm:sqref>
        </x14:conditionalFormatting>
        <x14:conditionalFormatting xmlns:xm="http://schemas.microsoft.com/office/excel/2006/main">
          <x14:cfRule type="expression" priority="41" id="{E7263251-D835-4DB6-9188-6BFB1C1C86C4}">
            <xm:f>'Allgemeine Angaben'!$F$7=""</xm:f>
            <x14:dxf>
              <font>
                <color theme="0"/>
              </font>
              <fill>
                <patternFill>
                  <bgColor theme="0"/>
                </patternFill>
              </fill>
            </x14:dxf>
          </x14:cfRule>
          <xm:sqref>D21</xm:sqref>
        </x14:conditionalFormatting>
        <x14:conditionalFormatting xmlns:xm="http://schemas.microsoft.com/office/excel/2006/main">
          <x14:cfRule type="expression" priority="38" id="{1FD3EA8B-6CB6-4E97-9771-002DF8F3CEE9}">
            <xm:f>'Allgemeine Angaben'!$F$7=""</xm:f>
            <x14:dxf>
              <font>
                <color theme="0"/>
              </font>
              <fill>
                <patternFill>
                  <bgColor theme="0"/>
                </patternFill>
              </fill>
            </x14:dxf>
          </x14:cfRule>
          <xm:sqref>D23</xm:sqref>
        </x14:conditionalFormatting>
        <x14:conditionalFormatting xmlns:xm="http://schemas.microsoft.com/office/excel/2006/main">
          <x14:cfRule type="expression" priority="656" id="{0A735C89-BD11-4DE9-9EC4-B0BED6FF7446}">
            <xm:f>KAT!$A$70="nein"</xm:f>
            <x14:dxf>
              <fill>
                <patternFill>
                  <bgColor theme="0"/>
                </patternFill>
              </fill>
            </x14:dxf>
          </x14:cfRule>
          <xm:sqref>D31 D34 D37</xm:sqref>
        </x14:conditionalFormatting>
        <x14:conditionalFormatting xmlns:xm="http://schemas.microsoft.com/office/excel/2006/main">
          <x14:cfRule type="expression" priority="18" id="{16003FE9-3EB0-4661-9E87-0BDFEFA968D2}">
            <xm:f>'Allgemeine Angaben'!$D$6="4. Generation"</xm:f>
            <x14:dxf>
              <fill>
                <patternFill>
                  <bgColor rgb="FFFFFF99"/>
                </patternFill>
              </fill>
              <border>
                <left style="thin">
                  <color auto="1"/>
                </left>
                <right style="thin">
                  <color auto="1"/>
                </right>
                <top style="thin">
                  <color auto="1"/>
                </top>
                <bottom style="thin">
                  <color auto="1"/>
                </bottom>
                <vertical/>
                <horizontal/>
              </border>
            </x14:dxf>
          </x14:cfRule>
          <xm:sqref>G19</xm:sqref>
        </x14:conditionalFormatting>
        <x14:conditionalFormatting xmlns:xm="http://schemas.microsoft.com/office/excel/2006/main">
          <x14:cfRule type="expression" priority="46" id="{9FE3416B-5787-46F9-A99A-A1460DD23EE8}">
            <xm:f>'Allgemeine Angaben'!$D$6="4. Generation"</xm:f>
            <x14:dxf>
              <fill>
                <patternFill>
                  <bgColor rgb="FFFFFF99"/>
                </patternFill>
              </fill>
              <border>
                <left style="thin">
                  <color auto="1"/>
                </left>
                <right style="thin">
                  <color auto="1"/>
                </right>
                <top style="thin">
                  <color auto="1"/>
                </top>
                <bottom style="thin">
                  <color auto="1"/>
                </bottom>
                <vertical/>
                <horizontal/>
              </border>
            </x14:dxf>
          </x14:cfRule>
          <xm:sqref>G21</xm:sqref>
        </x14:conditionalFormatting>
        <x14:conditionalFormatting xmlns:xm="http://schemas.microsoft.com/office/excel/2006/main">
          <x14:cfRule type="expression" priority="45" id="{2055632F-4C2D-4A38-9710-82B28541B7F5}">
            <xm:f>'Allgemeine Angaben'!$D$6="4. Generation"</xm:f>
            <x14:dxf>
              <fill>
                <patternFill>
                  <bgColor rgb="FFFFFF99"/>
                </patternFill>
              </fill>
              <border>
                <left style="thin">
                  <color auto="1"/>
                </left>
                <right style="thin">
                  <color auto="1"/>
                </right>
                <top style="thin">
                  <color auto="1"/>
                </top>
                <bottom style="thin">
                  <color auto="1"/>
                </bottom>
                <vertical/>
                <horizontal/>
              </border>
            </x14:dxf>
          </x14:cfRule>
          <xm:sqref>G23</xm:sqref>
        </x14:conditionalFormatting>
        <x14:conditionalFormatting xmlns:xm="http://schemas.microsoft.com/office/excel/2006/main">
          <x14:cfRule type="expression" priority="659" id="{C1AEC4D4-6D68-480F-8851-454B8AE946D1}">
            <xm:f>KAT!$A$70="ja"</xm:f>
            <x14:dxf>
              <fill>
                <patternFill>
                  <bgColor rgb="FFCCECFF"/>
                </patternFill>
              </fill>
            </x14:dxf>
          </x14:cfRule>
          <x14:cfRule type="expression" priority="660" id="{5E7080FB-A1F4-4B3A-94D7-B4871A2C035E}">
            <xm:f>'Allgemeine Angaben'!$F$7=""</xm:f>
            <x14:dxf>
              <font>
                <color theme="0"/>
              </font>
              <fill>
                <patternFill>
                  <bgColor theme="0"/>
                </patternFill>
              </fill>
              <border>
                <left/>
                <right/>
                <vertical/>
                <horizontal/>
              </border>
            </x14:dxf>
          </x14:cfRule>
          <xm:sqref>G19:H19</xm:sqref>
        </x14:conditionalFormatting>
        <x14:conditionalFormatting xmlns:xm="http://schemas.microsoft.com/office/excel/2006/main">
          <x14:cfRule type="expression" priority="39" id="{79DE4081-0F78-4C32-AC40-4B1A07B2A661}">
            <xm:f>'Allgemeine Angaben'!$F$7=""</xm:f>
            <x14:dxf>
              <font>
                <color theme="0"/>
              </font>
              <fill>
                <patternFill>
                  <bgColor theme="0"/>
                </patternFill>
              </fill>
              <border>
                <left/>
                <right/>
                <vertical/>
                <horizontal/>
              </border>
            </x14:dxf>
          </x14:cfRule>
          <xm:sqref>G21:H21</xm:sqref>
        </x14:conditionalFormatting>
        <x14:conditionalFormatting xmlns:xm="http://schemas.microsoft.com/office/excel/2006/main">
          <x14:cfRule type="expression" priority="36" id="{08232259-8CE7-4BAA-A7E5-344DD0BD820B}">
            <xm:f>'Allgemeine Angaben'!$F$7=""</xm:f>
            <x14:dxf>
              <font>
                <color theme="0"/>
              </font>
              <fill>
                <patternFill>
                  <bgColor theme="0"/>
                </patternFill>
              </fill>
              <border>
                <left/>
                <right/>
                <bottom/>
                <vertical/>
                <horizontal/>
              </border>
            </x14:dxf>
          </x14:cfRule>
          <xm:sqref>G23:H23</xm:sqref>
        </x14:conditionalFormatting>
        <x14:conditionalFormatting xmlns:xm="http://schemas.microsoft.com/office/excel/2006/main">
          <x14:cfRule type="expression" priority="661" id="{C7BC786E-A9A8-4AFC-B223-0F7C72B4BF91}">
            <xm:f>KAT!$A$70="ja"</xm:f>
            <x14:dxf>
              <fill>
                <patternFill>
                  <bgColor rgb="FFCCECFF"/>
                </patternFill>
              </fill>
            </x14:dxf>
          </x14:cfRule>
          <x14:cfRule type="expression" priority="662" id="{F8F942FB-A4FA-4649-B5A8-3A49D294230F}">
            <xm:f>'Allgemeine Angaben'!$F$7=""</xm:f>
            <x14:dxf>
              <font>
                <color theme="0"/>
              </font>
              <fill>
                <patternFill>
                  <bgColor theme="0"/>
                </patternFill>
              </fill>
              <border>
                <left/>
                <right/>
                <bottom/>
                <vertical/>
                <horizontal/>
              </border>
            </x14:dxf>
          </x14:cfRule>
          <xm:sqref>G52:H54</xm:sqref>
        </x14:conditionalFormatting>
        <x14:conditionalFormatting xmlns:xm="http://schemas.microsoft.com/office/excel/2006/main">
          <x14:cfRule type="expression" priority="663" id="{338418BF-E548-4C9E-B1A1-3E1C99D765C5}">
            <xm:f>(KAT!$A$70="nein")</xm:f>
            <x14:dxf>
              <fill>
                <patternFill>
                  <bgColor theme="0"/>
                </patternFill>
              </fill>
            </x14:dxf>
          </x14:cfRule>
          <xm:sqref>H39 I64 I74 C75 I77</xm:sqref>
        </x14:conditionalFormatting>
        <x14:conditionalFormatting xmlns:xm="http://schemas.microsoft.com/office/excel/2006/main">
          <x14:cfRule type="expression" priority="668" id="{0E61E3C1-5E99-4D8C-AC03-F3D0DAD5007B}">
            <xm:f>KAT!A70="nein"</xm:f>
            <x14:dxf>
              <fill>
                <patternFill>
                  <bgColor theme="0"/>
                </patternFill>
              </fill>
            </x14:dxf>
          </x14:cfRule>
          <xm:sqref>H47</xm:sqref>
        </x14:conditionalFormatting>
        <x14:conditionalFormatting xmlns:xm="http://schemas.microsoft.com/office/excel/2006/main">
          <x14:cfRule type="expression" priority="642" id="{6870CB82-A35D-4D5B-9D2C-2E4E00492591}">
            <xm:f>KAT!$A$70="ja"</xm:f>
            <x14:dxf>
              <fill>
                <patternFill>
                  <bgColor rgb="FFCCECFF"/>
                </patternFill>
              </fill>
            </x14:dxf>
          </x14:cfRule>
          <xm:sqref>I53 G21:H21 G23:H23 D21 D23 C52:C54 C55:I55 J11:J13 J18 J20 J22 J43:J44</xm:sqref>
        </x14:conditionalFormatting>
        <x14:conditionalFormatting xmlns:xm="http://schemas.microsoft.com/office/excel/2006/main">
          <x14:cfRule type="expression" priority="125" id="{DE842BC3-8973-4299-B84E-BC29E2C7AE84}">
            <xm:f>'Allgemeine Angaben'!$F$7=""</xm:f>
            <x14:dxf>
              <font>
                <color theme="0"/>
              </font>
              <fill>
                <patternFill patternType="none">
                  <bgColor auto="1"/>
                </patternFill>
              </fill>
              <border>
                <left/>
                <right/>
                <top/>
                <bottom/>
              </border>
            </x14:dxf>
          </x14:cfRule>
          <xm:sqref>I53</xm:sqref>
        </x14:conditionalFormatting>
        <x14:conditionalFormatting xmlns:xm="http://schemas.microsoft.com/office/excel/2006/main">
          <x14:cfRule type="expression" priority="669" id="{9984A1F0-A546-4A36-9C3E-7E12A70FDDD9}">
            <xm:f>KAT!A70="ja"</xm:f>
            <x14:dxf>
              <fill>
                <patternFill>
                  <bgColor rgb="FFCCECFF"/>
                </patternFill>
              </fill>
            </x14:dxf>
          </x14:cfRule>
          <x14:cfRule type="expression" priority="670" id="{5A9C232A-3DF1-4D2F-9044-5BED4A12AEB1}">
            <xm:f>'Allgemeine Angaben'!$F$7=""</xm:f>
            <x14:dxf>
              <font>
                <color theme="0"/>
              </font>
              <fill>
                <patternFill>
                  <bgColor theme="0"/>
                </patternFill>
              </fill>
              <border>
                <left/>
                <right/>
                <top/>
                <bottom/>
                <vertical/>
                <horizontal/>
              </border>
            </x14:dxf>
          </x14:cfRule>
          <xm:sqref>I54</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FFCCFF"/>
    <pageSetUpPr fitToPage="1"/>
  </sheetPr>
  <dimension ref="A1:U78"/>
  <sheetViews>
    <sheetView showGridLines="0" zoomScaleNormal="100" workbookViewId="0">
      <selection activeCell="A5" sqref="A5"/>
    </sheetView>
  </sheetViews>
  <sheetFormatPr baseColWidth="10" defaultColWidth="11" defaultRowHeight="14.25" x14ac:dyDescent="0.2"/>
  <cols>
    <col min="1" max="1" width="3.625" style="4" customWidth="1"/>
    <col min="2" max="2" width="4.25" style="4" customWidth="1"/>
    <col min="3" max="3" width="3" style="4" customWidth="1"/>
    <col min="4" max="4" width="14.5" style="4" customWidth="1"/>
    <col min="5" max="5" width="2.625" style="4" customWidth="1"/>
    <col min="6" max="6" width="14.125" style="4" customWidth="1"/>
    <col min="7" max="7" width="3.375" style="4" customWidth="1"/>
    <col min="8" max="8" width="12.5" style="4" customWidth="1"/>
    <col min="9" max="9" width="2.625" style="4" customWidth="1"/>
    <col min="10" max="10" width="14.5" style="4" customWidth="1"/>
    <col min="11" max="11" width="2.625" style="4" customWidth="1"/>
    <col min="12" max="12" width="14.5" style="4" customWidth="1"/>
    <col min="13" max="13" width="5" style="4" customWidth="1"/>
    <col min="14" max="14" width="2.625" style="4" customWidth="1"/>
    <col min="15" max="15" width="12.125" style="4" hidden="1" customWidth="1"/>
    <col min="16" max="16" width="4.625" style="4" customWidth="1"/>
    <col min="17" max="17" width="3.625" style="4" customWidth="1"/>
    <col min="18" max="28" width="11" style="4" customWidth="1"/>
    <col min="29" max="16384" width="11" style="4"/>
  </cols>
  <sheetData>
    <row r="1" spans="1:18" ht="15" customHeight="1" x14ac:dyDescent="0.25">
      <c r="A1" s="2358" t="str">
        <f>'Allgemeine Angaben'!A1:N1</f>
        <v>Aufforderung zum Abschluss einer Pflegesatzvereinbarung gemäß §§ 84, 85 SGB XI</v>
      </c>
      <c r="B1" s="2359"/>
      <c r="C1" s="2359"/>
      <c r="D1" s="2359"/>
      <c r="E1" s="2359"/>
      <c r="F1" s="2359"/>
      <c r="G1" s="2359"/>
      <c r="H1" s="2359"/>
      <c r="I1" s="2359"/>
      <c r="J1" s="2359"/>
      <c r="K1" s="2359"/>
      <c r="L1" s="2550"/>
      <c r="M1" s="2550"/>
      <c r="N1" s="2550"/>
      <c r="O1" s="2550"/>
      <c r="P1" s="2550"/>
      <c r="Q1" s="2551"/>
      <c r="R1" s="614"/>
    </row>
    <row r="2" spans="1:18" ht="15" customHeight="1" x14ac:dyDescent="0.25">
      <c r="A2" s="2361" t="s">
        <v>1041</v>
      </c>
      <c r="B2" s="2362"/>
      <c r="C2" s="2362"/>
      <c r="D2" s="2362"/>
      <c r="E2" s="2362"/>
      <c r="F2" s="2362"/>
      <c r="G2" s="2362"/>
      <c r="H2" s="2362"/>
      <c r="I2" s="2362"/>
      <c r="J2" s="2362"/>
      <c r="K2" s="2362"/>
      <c r="L2" s="2552"/>
      <c r="M2" s="2552"/>
      <c r="N2" s="2552"/>
      <c r="O2" s="2552"/>
      <c r="P2" s="2552"/>
      <c r="Q2" s="2553"/>
      <c r="R2" s="615"/>
    </row>
    <row r="3" spans="1:18" ht="15" customHeight="1" x14ac:dyDescent="0.2">
      <c r="A3" s="2379" t="str">
        <f>'Allgemeine Angaben'!A3:N3</f>
        <v/>
      </c>
      <c r="B3" s="2380"/>
      <c r="C3" s="2380"/>
      <c r="D3" s="2380"/>
      <c r="E3" s="2380"/>
      <c r="F3" s="2380"/>
      <c r="G3" s="2380"/>
      <c r="H3" s="2380"/>
      <c r="I3" s="2380"/>
      <c r="J3" s="2380"/>
      <c r="K3" s="2380"/>
      <c r="L3" s="2552"/>
      <c r="M3" s="2552"/>
      <c r="N3" s="2552"/>
      <c r="O3" s="2552"/>
      <c r="P3" s="2552"/>
      <c r="Q3" s="2553"/>
    </row>
    <row r="4" spans="1:18" ht="15" customHeight="1" x14ac:dyDescent="0.2">
      <c r="A4" s="438"/>
      <c r="B4" s="439" t="str">
        <f>'Allgemeine Angaben'!B4</f>
        <v/>
      </c>
      <c r="C4" s="439"/>
      <c r="D4" s="439"/>
      <c r="E4" s="439"/>
      <c r="F4" s="439"/>
      <c r="G4" s="439"/>
      <c r="H4" s="439"/>
      <c r="I4" s="439"/>
      <c r="J4" s="441" t="str">
        <f>'Allgemeine Angaben'!K4</f>
        <v>Antrag vom:</v>
      </c>
      <c r="K4" s="439"/>
      <c r="L4" s="445">
        <f>'Allgemeine Angaben'!L4:M4</f>
        <v>0</v>
      </c>
      <c r="M4" s="439"/>
      <c r="N4" s="439"/>
      <c r="O4" s="439"/>
      <c r="P4" s="439"/>
      <c r="Q4" s="440"/>
    </row>
    <row r="5" spans="1:18" s="9" customFormat="1" ht="14.25" customHeight="1" x14ac:dyDescent="0.2">
      <c r="A5" s="2290"/>
      <c r="Q5" s="91"/>
    </row>
    <row r="6" spans="1:18" ht="14.25" customHeight="1" x14ac:dyDescent="0.2">
      <c r="A6" s="3"/>
      <c r="B6" s="1084"/>
      <c r="C6" s="840"/>
      <c r="D6" s="1086"/>
      <c r="E6" s="1087"/>
      <c r="F6" s="1983"/>
      <c r="G6" s="1983"/>
      <c r="H6" s="1983"/>
      <c r="I6" s="840"/>
      <c r="J6" s="1088"/>
      <c r="K6" s="1088"/>
      <c r="L6" s="840"/>
      <c r="M6" s="1084"/>
      <c r="N6" s="1084"/>
      <c r="O6" s="1084"/>
      <c r="P6" s="1084"/>
      <c r="Q6" s="1085"/>
    </row>
    <row r="7" spans="1:18" ht="15" customHeight="1" x14ac:dyDescent="0.2">
      <c r="A7" s="94"/>
      <c r="B7" s="95" t="s">
        <v>128</v>
      </c>
      <c r="C7" s="93"/>
      <c r="D7" s="93"/>
      <c r="E7" s="93"/>
      <c r="F7" s="93"/>
      <c r="G7" s="96"/>
      <c r="H7" s="96"/>
      <c r="I7" s="93"/>
      <c r="J7" s="93"/>
      <c r="K7" s="93"/>
      <c r="L7" s="96"/>
      <c r="M7" s="93"/>
      <c r="N7" s="93"/>
      <c r="O7" s="93"/>
      <c r="P7" s="93"/>
      <c r="Q7" s="5"/>
    </row>
    <row r="8" spans="1:18" ht="14.25" customHeight="1" x14ac:dyDescent="0.2">
      <c r="A8" s="3"/>
      <c r="Q8" s="1085"/>
    </row>
    <row r="9" spans="1:18" ht="14.25" customHeight="1" x14ac:dyDescent="0.25">
      <c r="A9" s="97"/>
      <c r="P9" s="52"/>
      <c r="Q9" s="5"/>
      <c r="R9" s="616"/>
    </row>
    <row r="10" spans="1:18" ht="40.15" customHeight="1" x14ac:dyDescent="0.25">
      <c r="A10" s="97"/>
      <c r="C10" s="132"/>
      <c r="D10" s="132"/>
      <c r="E10" s="132"/>
      <c r="F10" s="132"/>
      <c r="H10" s="1093"/>
      <c r="J10" s="98"/>
      <c r="L10" s="344"/>
      <c r="M10" s="2558" t="s">
        <v>52</v>
      </c>
      <c r="P10" s="2555" t="s">
        <v>53</v>
      </c>
      <c r="Q10" s="5"/>
      <c r="R10" s="616"/>
    </row>
    <row r="11" spans="1:18" ht="40.15" customHeight="1" x14ac:dyDescent="0.25">
      <c r="A11" s="97"/>
      <c r="C11" s="132"/>
      <c r="D11" s="132"/>
      <c r="E11" s="132"/>
      <c r="F11" s="132"/>
      <c r="H11" s="1113" t="s">
        <v>581</v>
      </c>
      <c r="J11" s="1102" t="s">
        <v>54</v>
      </c>
      <c r="L11" s="1103" t="s">
        <v>54</v>
      </c>
      <c r="M11" s="2559"/>
      <c r="P11" s="2556"/>
      <c r="Q11" s="5"/>
      <c r="R11" s="616"/>
    </row>
    <row r="12" spans="1:18" ht="24" customHeight="1" x14ac:dyDescent="0.2">
      <c r="A12" s="3"/>
      <c r="C12" s="132"/>
      <c r="D12" s="132"/>
      <c r="E12" s="132"/>
      <c r="F12" s="132"/>
      <c r="H12" s="1096"/>
      <c r="J12" s="99"/>
      <c r="L12" s="2554" t="s">
        <v>297</v>
      </c>
      <c r="M12" s="2559"/>
      <c r="P12" s="2556"/>
      <c r="Q12" s="5"/>
      <c r="R12" s="580"/>
    </row>
    <row r="13" spans="1:18" ht="14.25" customHeight="1" x14ac:dyDescent="0.2">
      <c r="A13" s="3"/>
      <c r="C13" s="132"/>
      <c r="D13" s="132"/>
      <c r="E13" s="132"/>
      <c r="F13" s="132"/>
      <c r="H13" s="1097"/>
      <c r="J13" s="100"/>
      <c r="L13" s="2554"/>
      <c r="M13" s="2559"/>
      <c r="P13" s="2556"/>
      <c r="Q13" s="5"/>
      <c r="R13" s="425"/>
    </row>
    <row r="14" spans="1:18" ht="14.25" customHeight="1" x14ac:dyDescent="0.2">
      <c r="A14" s="3"/>
      <c r="H14" s="1098" t="s">
        <v>55</v>
      </c>
      <c r="J14" s="1099" t="s">
        <v>55</v>
      </c>
      <c r="L14" s="343" t="s">
        <v>55</v>
      </c>
      <c r="M14" s="2560"/>
      <c r="P14" s="2557"/>
      <c r="Q14" s="1085"/>
    </row>
    <row r="15" spans="1:18" ht="14.25" customHeight="1" x14ac:dyDescent="0.2">
      <c r="A15" s="3"/>
      <c r="C15" s="6" t="s">
        <v>582</v>
      </c>
      <c r="G15" s="101"/>
      <c r="H15" s="101"/>
      <c r="J15" s="101"/>
      <c r="L15" s="101"/>
      <c r="P15" s="288"/>
      <c r="Q15" s="1085"/>
    </row>
    <row r="16" spans="1:18" ht="14.25" customHeight="1" x14ac:dyDescent="0.2">
      <c r="A16" s="3"/>
      <c r="C16" s="1951" t="s">
        <v>631</v>
      </c>
      <c r="Q16" s="1085"/>
    </row>
    <row r="17" spans="1:20" ht="14.25" customHeight="1" x14ac:dyDescent="0.2">
      <c r="A17" s="3"/>
      <c r="C17" s="2561"/>
      <c r="D17" s="2561"/>
      <c r="E17" s="2561"/>
      <c r="F17" s="1532" t="s">
        <v>583</v>
      </c>
      <c r="G17" s="1319"/>
      <c r="H17" s="1538"/>
      <c r="Q17" s="1085"/>
    </row>
    <row r="18" spans="1:20" ht="14.25" customHeight="1" x14ac:dyDescent="0.2">
      <c r="A18" s="3"/>
      <c r="C18" s="2561"/>
      <c r="D18" s="2561"/>
      <c r="E18" s="2561"/>
      <c r="F18" s="1533" t="s">
        <v>166</v>
      </c>
      <c r="H18" s="1538"/>
      <c r="Q18" s="1085"/>
    </row>
    <row r="19" spans="1:20" ht="14.25" customHeight="1" x14ac:dyDescent="0.2">
      <c r="A19" s="3"/>
      <c r="C19" s="1535" t="s">
        <v>584</v>
      </c>
      <c r="H19" s="1536"/>
      <c r="Q19" s="1085"/>
    </row>
    <row r="20" spans="1:20" ht="14.25" customHeight="1" x14ac:dyDescent="0.2">
      <c r="A20" s="3"/>
      <c r="F20" s="1537">
        <f>IF(C17&lt;&gt;"entsprechend von einem abweichenden Zeitraum",0,1)</f>
        <v>0</v>
      </c>
      <c r="Q20" s="1085"/>
    </row>
    <row r="21" spans="1:20" ht="14.25" customHeight="1" x14ac:dyDescent="0.2">
      <c r="A21" s="3"/>
      <c r="B21" s="102" t="s">
        <v>56</v>
      </c>
      <c r="C21" s="417" t="s">
        <v>57</v>
      </c>
      <c r="D21" s="418"/>
      <c r="E21" s="418"/>
      <c r="F21" s="418"/>
      <c r="G21" s="1984"/>
      <c r="H21" s="1090"/>
      <c r="I21" s="103"/>
      <c r="J21" s="337"/>
      <c r="K21" s="103"/>
      <c r="L21" s="347">
        <f>IFERROR(J21*(1+J53),"")</f>
        <v>0</v>
      </c>
      <c r="M21" s="104" t="str">
        <f t="shared" ref="M21:M29" si="0">IFERROR(L21/divisor,"")</f>
        <v/>
      </c>
      <c r="N21" s="105"/>
      <c r="O21" s="106"/>
      <c r="P21" s="106"/>
      <c r="Q21" s="1085"/>
    </row>
    <row r="22" spans="1:20" ht="14.25" customHeight="1" x14ac:dyDescent="0.2">
      <c r="A22" s="3"/>
      <c r="B22" s="102" t="s">
        <v>58</v>
      </c>
      <c r="C22" s="414" t="s">
        <v>59</v>
      </c>
      <c r="D22" s="415"/>
      <c r="E22" s="415"/>
      <c r="F22" s="416"/>
      <c r="G22" s="1984"/>
      <c r="H22" s="1090"/>
      <c r="I22" s="103"/>
      <c r="J22" s="337"/>
      <c r="K22" s="103"/>
      <c r="L22" s="347">
        <f>IFERROR(J22*(1+J53),"")</f>
        <v>0</v>
      </c>
      <c r="M22" s="104" t="str">
        <f t="shared" si="0"/>
        <v/>
      </c>
      <c r="N22" s="105"/>
      <c r="O22" s="106"/>
      <c r="P22" s="106"/>
      <c r="Q22" s="1085"/>
      <c r="S22" s="1120"/>
    </row>
    <row r="23" spans="1:20" ht="14.25" customHeight="1" x14ac:dyDescent="0.2">
      <c r="A23" s="3"/>
      <c r="B23" s="102" t="s">
        <v>60</v>
      </c>
      <c r="C23" s="1503" t="s">
        <v>61</v>
      </c>
      <c r="D23" s="1504"/>
      <c r="E23" s="1504"/>
      <c r="F23" s="1531"/>
      <c r="G23" s="1985"/>
      <c r="H23" s="1092"/>
      <c r="I23" s="107"/>
      <c r="J23" s="337"/>
      <c r="K23" s="107"/>
      <c r="L23" s="347">
        <f>IFERROR(J23*(1+J53),"")</f>
        <v>0</v>
      </c>
      <c r="M23" s="104" t="str">
        <f t="shared" si="0"/>
        <v/>
      </c>
      <c r="N23" s="108"/>
      <c r="O23" s="109"/>
      <c r="P23" s="109"/>
      <c r="Q23" s="1085"/>
      <c r="S23" s="1120"/>
    </row>
    <row r="24" spans="1:20" ht="13.9" customHeight="1" x14ac:dyDescent="0.2">
      <c r="A24" s="2247"/>
      <c r="B24" s="102" t="s">
        <v>62</v>
      </c>
      <c r="C24" s="414" t="s">
        <v>65</v>
      </c>
      <c r="D24" s="415"/>
      <c r="E24" s="415"/>
      <c r="F24" s="415"/>
      <c r="G24" s="1984"/>
      <c r="H24" s="1090"/>
      <c r="I24" s="103"/>
      <c r="J24" s="337"/>
      <c r="K24" s="103"/>
      <c r="L24" s="347">
        <f>IFERROR(J24*(1+J53),"")</f>
        <v>0</v>
      </c>
      <c r="M24" s="104" t="str">
        <f t="shared" si="0"/>
        <v/>
      </c>
      <c r="N24" s="105"/>
      <c r="O24" s="106"/>
      <c r="P24" s="106"/>
      <c r="R24" s="3"/>
    </row>
    <row r="25" spans="1:20" ht="13.9" customHeight="1" x14ac:dyDescent="0.2">
      <c r="A25" s="3"/>
      <c r="B25" s="102" t="s">
        <v>63</v>
      </c>
      <c r="C25" s="414" t="s">
        <v>67</v>
      </c>
      <c r="D25" s="415"/>
      <c r="E25" s="415"/>
      <c r="F25" s="415"/>
      <c r="G25" s="1984"/>
      <c r="H25" s="1090"/>
      <c r="I25" s="103"/>
      <c r="J25" s="337"/>
      <c r="K25" s="103"/>
      <c r="L25" s="347">
        <f>IFERROR(J25*(1+J53),"")</f>
        <v>0</v>
      </c>
      <c r="M25" s="104" t="str">
        <f t="shared" si="0"/>
        <v/>
      </c>
      <c r="N25" s="105"/>
      <c r="O25" s="106"/>
      <c r="P25" s="106"/>
      <c r="Q25" s="5"/>
    </row>
    <row r="26" spans="1:20" ht="13.9" customHeight="1" x14ac:dyDescent="0.25">
      <c r="A26" s="97"/>
      <c r="B26" s="102" t="s">
        <v>64</v>
      </c>
      <c r="C26" s="414" t="s">
        <v>69</v>
      </c>
      <c r="D26" s="415"/>
      <c r="E26" s="415"/>
      <c r="F26" s="415"/>
      <c r="G26" s="1984"/>
      <c r="H26" s="1090"/>
      <c r="I26" s="103"/>
      <c r="J26" s="337"/>
      <c r="K26" s="103"/>
      <c r="L26" s="347">
        <f>IFERROR(J26*(1+J53),"")</f>
        <v>0</v>
      </c>
      <c r="M26" s="104" t="str">
        <f t="shared" si="0"/>
        <v/>
      </c>
      <c r="N26" s="105"/>
      <c r="O26" s="106"/>
      <c r="P26" s="106"/>
      <c r="Q26" s="5"/>
      <c r="R26" s="616"/>
    </row>
    <row r="27" spans="1:20" ht="14.25" customHeight="1" x14ac:dyDescent="0.2">
      <c r="A27" s="3"/>
      <c r="B27" s="102" t="s">
        <v>66</v>
      </c>
      <c r="C27" s="414" t="s">
        <v>70</v>
      </c>
      <c r="D27" s="415"/>
      <c r="E27" s="415"/>
      <c r="F27" s="415"/>
      <c r="G27" s="1984"/>
      <c r="H27" s="1090"/>
      <c r="I27" s="103"/>
      <c r="J27" s="337"/>
      <c r="K27" s="103"/>
      <c r="L27" s="347">
        <f>IFERROR(J27*(1+J53),"")</f>
        <v>0</v>
      </c>
      <c r="M27" s="104" t="str">
        <f t="shared" si="0"/>
        <v/>
      </c>
      <c r="N27" s="105"/>
      <c r="O27" s="106"/>
      <c r="P27" s="106"/>
      <c r="Q27" s="5"/>
      <c r="R27" s="617"/>
    </row>
    <row r="28" spans="1:20" ht="14.25" customHeight="1" x14ac:dyDescent="0.25">
      <c r="A28" s="97"/>
      <c r="B28" s="102" t="s">
        <v>68</v>
      </c>
      <c r="C28" s="414" t="s">
        <v>71</v>
      </c>
      <c r="D28" s="415"/>
      <c r="E28" s="415"/>
      <c r="F28" s="415"/>
      <c r="G28" s="1984"/>
      <c r="H28" s="1090"/>
      <c r="I28" s="103"/>
      <c r="J28" s="337"/>
      <c r="K28" s="103"/>
      <c r="L28" s="347">
        <f>IFERROR(J28*(1+J53),"")</f>
        <v>0</v>
      </c>
      <c r="M28" s="104" t="str">
        <f t="shared" si="0"/>
        <v/>
      </c>
      <c r="N28" s="105"/>
      <c r="O28" s="106"/>
      <c r="P28" s="106"/>
      <c r="Q28" s="5"/>
      <c r="R28" s="616"/>
    </row>
    <row r="29" spans="1:20" ht="14.25" customHeight="1" thickBot="1" x14ac:dyDescent="0.25">
      <c r="A29" s="3"/>
      <c r="B29" s="111"/>
      <c r="C29" s="1498" t="s">
        <v>72</v>
      </c>
      <c r="D29" s="1499"/>
      <c r="E29" s="1499"/>
      <c r="F29" s="1499"/>
      <c r="G29" s="1101"/>
      <c r="H29" s="338">
        <f>SUM(H21:H23,H24:H26,H27:H28)</f>
        <v>0</v>
      </c>
      <c r="I29" s="103"/>
      <c r="J29" s="338">
        <f>SUM(J21:J23,J24:J26,J27:J28)</f>
        <v>0</v>
      </c>
      <c r="K29" s="103"/>
      <c r="L29" s="348">
        <f>SUM(L21:L23,L24:L26,L27:L28)</f>
        <v>0</v>
      </c>
      <c r="M29" s="112" t="str">
        <f t="shared" si="0"/>
        <v/>
      </c>
      <c r="N29" s="113"/>
      <c r="O29" s="114"/>
      <c r="P29" s="114"/>
      <c r="Q29" s="5"/>
    </row>
    <row r="30" spans="1:20" ht="40.15" customHeight="1" thickTop="1" x14ac:dyDescent="0.2">
      <c r="A30" s="3"/>
      <c r="D30" s="1539" t="str">
        <f>IF(J28&gt;0,"Erläutern Sie in Ihrem Anschreiben die Kostenbestandteile der sonstigen Aufwendungen.","")</f>
        <v/>
      </c>
      <c r="Q30" s="5"/>
    </row>
    <row r="31" spans="1:20" ht="15" customHeight="1" x14ac:dyDescent="0.2">
      <c r="A31" s="3"/>
      <c r="B31" s="2191" t="s">
        <v>169</v>
      </c>
      <c r="C31" s="93"/>
      <c r="D31" s="93"/>
      <c r="E31" s="93"/>
      <c r="F31" s="93"/>
      <c r="G31" s="93"/>
      <c r="H31" s="93"/>
      <c r="I31" s="93"/>
      <c r="J31" s="93"/>
      <c r="K31" s="93"/>
      <c r="L31" s="93"/>
      <c r="M31" s="93"/>
      <c r="N31" s="93"/>
      <c r="O31" s="93"/>
      <c r="P31" s="93"/>
      <c r="Q31" s="5"/>
    </row>
    <row r="32" spans="1:20" ht="14.25" customHeight="1" x14ac:dyDescent="0.2">
      <c r="A32" s="3"/>
      <c r="Q32" s="5"/>
      <c r="R32" s="580"/>
      <c r="T32" s="618"/>
    </row>
    <row r="33" spans="1:20" ht="14.25" customHeight="1" x14ac:dyDescent="0.2">
      <c r="A33" s="3"/>
      <c r="G33" s="44"/>
      <c r="H33" s="1089"/>
      <c r="J33" s="116"/>
      <c r="L33" s="342"/>
      <c r="M33" s="2558" t="s">
        <v>52</v>
      </c>
      <c r="P33" s="2555" t="s">
        <v>73</v>
      </c>
      <c r="Q33" s="5"/>
    </row>
    <row r="34" spans="1:20" ht="40.15" customHeight="1" x14ac:dyDescent="0.2">
      <c r="A34" s="3"/>
      <c r="H34" s="1540" t="s">
        <v>585</v>
      </c>
      <c r="J34" s="1104" t="s">
        <v>74</v>
      </c>
      <c r="L34" s="1103" t="s">
        <v>74</v>
      </c>
      <c r="M34" s="2559"/>
      <c r="P34" s="2556"/>
      <c r="Q34" s="5"/>
    </row>
    <row r="35" spans="1:20" s="48" customFormat="1" ht="38.25" customHeight="1" x14ac:dyDescent="0.2">
      <c r="A35" s="46"/>
      <c r="B35" s="4"/>
      <c r="C35" s="4"/>
      <c r="D35" s="4"/>
      <c r="E35" s="4"/>
      <c r="F35" s="4"/>
      <c r="G35" s="4"/>
      <c r="H35" s="1094"/>
      <c r="I35" s="4"/>
      <c r="J35" s="117"/>
      <c r="K35" s="4"/>
      <c r="L35" s="2567" t="s">
        <v>1040</v>
      </c>
      <c r="M35" s="2559"/>
      <c r="N35" s="4"/>
      <c r="O35" s="4"/>
      <c r="P35" s="2556"/>
      <c r="Q35" s="49"/>
      <c r="R35" s="4"/>
      <c r="S35" s="1120"/>
    </row>
    <row r="36" spans="1:20" s="48" customFormat="1" ht="14.25" customHeight="1" x14ac:dyDescent="0.2">
      <c r="A36" s="46"/>
      <c r="B36" s="4"/>
      <c r="C36" s="4"/>
      <c r="D36" s="4"/>
      <c r="E36" s="4"/>
      <c r="F36" s="4"/>
      <c r="G36" s="4"/>
      <c r="H36" s="1095"/>
      <c r="I36" s="4"/>
      <c r="J36" s="117"/>
      <c r="K36" s="4"/>
      <c r="L36" s="2567"/>
      <c r="M36" s="2559"/>
      <c r="N36" s="4"/>
      <c r="O36" s="4"/>
      <c r="P36" s="2556"/>
      <c r="Q36" s="49"/>
      <c r="R36" s="4"/>
      <c r="S36" s="1120"/>
    </row>
    <row r="37" spans="1:20" s="48" customFormat="1" ht="14.25" customHeight="1" x14ac:dyDescent="0.2">
      <c r="A37" s="46"/>
      <c r="B37" s="4"/>
      <c r="C37" s="4"/>
      <c r="D37" s="4"/>
      <c r="E37" s="4"/>
      <c r="F37" s="4"/>
      <c r="G37" s="4"/>
      <c r="H37" s="118" t="s">
        <v>55</v>
      </c>
      <c r="I37" s="101"/>
      <c r="J37" s="118" t="s">
        <v>55</v>
      </c>
      <c r="K37" s="101"/>
      <c r="L37" s="343" t="s">
        <v>55</v>
      </c>
      <c r="M37" s="2560"/>
      <c r="N37" s="4"/>
      <c r="O37" s="4"/>
      <c r="P37" s="2557"/>
      <c r="Q37" s="49"/>
      <c r="R37" s="4"/>
      <c r="S37" s="1120"/>
    </row>
    <row r="38" spans="1:20" s="48" customFormat="1" ht="14.25" customHeight="1" x14ac:dyDescent="0.2">
      <c r="A38" s="46"/>
      <c r="B38" s="4"/>
      <c r="C38" s="4"/>
      <c r="D38" s="4"/>
      <c r="E38" s="4"/>
      <c r="F38" s="4"/>
      <c r="G38" s="4"/>
      <c r="I38" s="4"/>
      <c r="J38" s="4"/>
      <c r="K38" s="4"/>
      <c r="L38" s="4"/>
      <c r="M38" s="4"/>
      <c r="N38" s="4"/>
      <c r="O38" s="4"/>
      <c r="P38" s="288"/>
      <c r="Q38" s="49"/>
      <c r="R38" s="4"/>
      <c r="S38" s="1120"/>
    </row>
    <row r="39" spans="1:20" s="48" customFormat="1" ht="14.25" customHeight="1" x14ac:dyDescent="0.2">
      <c r="A39" s="46"/>
      <c r="C39" s="45" t="str">
        <f>C15</f>
        <v>Aufwendungen der 12 Kalendermonate:</v>
      </c>
      <c r="Q39" s="49"/>
      <c r="R39" s="4"/>
      <c r="S39" s="1120"/>
    </row>
    <row r="40" spans="1:20" s="48" customFormat="1" ht="14.25" customHeight="1" x14ac:dyDescent="0.2">
      <c r="A40" s="46"/>
      <c r="C40" s="2562">
        <f>C17</f>
        <v>0</v>
      </c>
      <c r="D40" s="2562"/>
      <c r="E40" s="2562"/>
      <c r="F40" s="1868" t="str">
        <f>IF(C40="entsprechend von einem abweichenden Zeitraum","vom:","")</f>
        <v/>
      </c>
      <c r="H40" s="1872" t="str">
        <f>IF(C40="entsprechend von einem abweichenden Zeitraum",H17,"")</f>
        <v/>
      </c>
      <c r="Q40" s="110"/>
      <c r="R40" s="4"/>
      <c r="S40" s="1120"/>
    </row>
    <row r="41" spans="1:20" s="48" customFormat="1" ht="14.25" customHeight="1" x14ac:dyDescent="0.2">
      <c r="A41" s="46"/>
      <c r="C41" s="2562"/>
      <c r="D41" s="2562"/>
      <c r="E41" s="2562"/>
      <c r="F41" s="1868" t="str">
        <f>IF(C40="entsprechend von einem abweichenden Zeitraum","bis:","")</f>
        <v/>
      </c>
      <c r="H41" s="1872" t="str">
        <f>IF(C40="entsprechend von einem abweichenden Zeitraum",H18,"")</f>
        <v/>
      </c>
      <c r="Q41" s="49"/>
      <c r="R41" s="4"/>
      <c r="S41" s="1120"/>
    </row>
    <row r="42" spans="1:20" s="48" customFormat="1" ht="15" customHeight="1" x14ac:dyDescent="0.2">
      <c r="A42" s="46"/>
      <c r="P42" s="1873"/>
      <c r="Q42" s="49"/>
      <c r="R42" s="4"/>
      <c r="S42" s="1120"/>
    </row>
    <row r="43" spans="1:20" ht="14.25" customHeight="1" x14ac:dyDescent="0.2">
      <c r="A43" s="3"/>
      <c r="B43" s="119" t="s">
        <v>75</v>
      </c>
      <c r="C43" s="1500" t="s">
        <v>76</v>
      </c>
      <c r="D43" s="1501"/>
      <c r="E43" s="1501"/>
      <c r="F43" s="1502"/>
      <c r="G43" s="1101"/>
      <c r="H43" s="1090"/>
      <c r="I43" s="120"/>
      <c r="J43" s="337"/>
      <c r="K43" s="120"/>
      <c r="L43" s="347">
        <f>IFERROR(J43*(1+J53),"")</f>
        <v>0</v>
      </c>
      <c r="M43" s="121" t="str">
        <f t="shared" ref="M43:M49" si="1">IFERROR(L43/divisor,"")</f>
        <v/>
      </c>
      <c r="N43" s="105"/>
      <c r="O43" s="48"/>
      <c r="P43" s="48"/>
      <c r="Q43" s="5"/>
    </row>
    <row r="44" spans="1:20" ht="14.25" customHeight="1" x14ac:dyDescent="0.2">
      <c r="A44" s="3"/>
      <c r="B44" s="119" t="s">
        <v>77</v>
      </c>
      <c r="C44" s="414" t="s">
        <v>50</v>
      </c>
      <c r="D44" s="415"/>
      <c r="E44" s="415"/>
      <c r="F44" s="416"/>
      <c r="G44" s="1101"/>
      <c r="H44" s="1091"/>
      <c r="I44" s="120"/>
      <c r="J44" s="337"/>
      <c r="K44" s="120"/>
      <c r="L44" s="347">
        <f>IFERROR(J44*(1+J53),"")</f>
        <v>0</v>
      </c>
      <c r="M44" s="121" t="str">
        <f t="shared" si="1"/>
        <v/>
      </c>
      <c r="N44" s="105"/>
      <c r="O44" s="106"/>
      <c r="P44" s="106"/>
      <c r="Q44" s="5"/>
      <c r="R44" s="617"/>
    </row>
    <row r="45" spans="1:20" ht="14.25" customHeight="1" x14ac:dyDescent="0.2">
      <c r="A45" s="3"/>
      <c r="B45" s="119" t="s">
        <v>78</v>
      </c>
      <c r="C45" s="1497" t="s">
        <v>283</v>
      </c>
      <c r="D45" s="415"/>
      <c r="E45" s="415"/>
      <c r="F45" s="416"/>
      <c r="G45" s="1101"/>
      <c r="H45" s="1091"/>
      <c r="I45" s="120"/>
      <c r="J45" s="337"/>
      <c r="K45" s="120"/>
      <c r="L45" s="347">
        <f>IFERROR(J45*(1+J53),"")</f>
        <v>0</v>
      </c>
      <c r="M45" s="121" t="str">
        <f t="shared" si="1"/>
        <v/>
      </c>
      <c r="N45" s="105"/>
      <c r="O45" s="106"/>
      <c r="P45" s="106"/>
      <c r="Q45" s="5"/>
    </row>
    <row r="46" spans="1:20" ht="14.25" customHeight="1" x14ac:dyDescent="0.2">
      <c r="A46" s="3"/>
      <c r="B46" s="119" t="s">
        <v>79</v>
      </c>
      <c r="C46" s="414" t="s">
        <v>51</v>
      </c>
      <c r="D46" s="415"/>
      <c r="E46" s="415"/>
      <c r="F46" s="416"/>
      <c r="G46" s="1101"/>
      <c r="H46" s="1091"/>
      <c r="I46" s="120"/>
      <c r="J46" s="337"/>
      <c r="K46" s="120"/>
      <c r="L46" s="347">
        <f>IFERROR(J46*(1+J53),"")</f>
        <v>0</v>
      </c>
      <c r="M46" s="121" t="str">
        <f t="shared" si="1"/>
        <v/>
      </c>
      <c r="N46" s="105"/>
      <c r="O46" s="106"/>
      <c r="P46" s="106"/>
      <c r="Q46" s="5"/>
    </row>
    <row r="47" spans="1:20" ht="14.25" customHeight="1" x14ac:dyDescent="0.2">
      <c r="A47" s="3"/>
      <c r="B47" s="119" t="s">
        <v>80</v>
      </c>
      <c r="C47" s="414" t="s">
        <v>45</v>
      </c>
      <c r="D47" s="415"/>
      <c r="E47" s="415"/>
      <c r="F47" s="416"/>
      <c r="G47" s="1101"/>
      <c r="H47" s="1091"/>
      <c r="I47" s="120"/>
      <c r="J47" s="337"/>
      <c r="K47" s="120"/>
      <c r="L47" s="347">
        <f>IFERROR(J47*(1+J53),"")</f>
        <v>0</v>
      </c>
      <c r="M47" s="121" t="str">
        <f t="shared" si="1"/>
        <v/>
      </c>
      <c r="N47" s="105"/>
      <c r="O47" s="106"/>
      <c r="P47" s="106"/>
      <c r="Q47" s="5"/>
    </row>
    <row r="48" spans="1:20" ht="14.1" customHeight="1" x14ac:dyDescent="0.2">
      <c r="A48" s="3"/>
      <c r="B48" s="119" t="s">
        <v>81</v>
      </c>
      <c r="C48" s="2563"/>
      <c r="D48" s="2564"/>
      <c r="E48" s="2564"/>
      <c r="F48" s="2565"/>
      <c r="G48" s="1101"/>
      <c r="H48" s="1091"/>
      <c r="I48" s="120"/>
      <c r="J48" s="337"/>
      <c r="K48" s="120"/>
      <c r="L48" s="347">
        <f>IFERROR(J48*(1+J53),"")</f>
        <v>0</v>
      </c>
      <c r="M48" s="121" t="str">
        <f t="shared" si="1"/>
        <v/>
      </c>
      <c r="N48" s="105"/>
      <c r="O48" s="106"/>
      <c r="P48" s="106"/>
      <c r="Q48" s="5"/>
      <c r="R48" s="580"/>
      <c r="T48" s="618"/>
    </row>
    <row r="49" spans="1:21" ht="14.25" customHeight="1" x14ac:dyDescent="0.2">
      <c r="A49" s="3"/>
      <c r="B49" s="119" t="s">
        <v>1113</v>
      </c>
      <c r="C49" s="2566"/>
      <c r="D49" s="2564"/>
      <c r="E49" s="2564"/>
      <c r="F49" s="2565"/>
      <c r="G49" s="1101"/>
      <c r="H49" s="1091"/>
      <c r="I49" s="120"/>
      <c r="J49" s="337"/>
      <c r="K49" s="120"/>
      <c r="L49" s="347">
        <f>IFERROR(J49*(1+J53),"")</f>
        <v>0</v>
      </c>
      <c r="M49" s="121" t="str">
        <f t="shared" si="1"/>
        <v/>
      </c>
      <c r="N49" s="105"/>
      <c r="O49" s="106"/>
      <c r="P49" s="106"/>
      <c r="Q49" s="5"/>
    </row>
    <row r="50" spans="1:21" ht="14.1" customHeight="1" thickBot="1" x14ac:dyDescent="0.25">
      <c r="A50" s="3"/>
      <c r="B50" s="47"/>
      <c r="C50" s="122" t="s">
        <v>72</v>
      </c>
      <c r="D50" s="123"/>
      <c r="E50" s="123"/>
      <c r="F50" s="124"/>
      <c r="G50" s="1101"/>
      <c r="H50" s="338">
        <f>SUM(H43:H49)</f>
        <v>0</v>
      </c>
      <c r="I50" s="125"/>
      <c r="J50" s="338">
        <f>SUM(J43:J49)</f>
        <v>0</v>
      </c>
      <c r="K50" s="125"/>
      <c r="L50" s="348">
        <f>SUM(L43:L49)</f>
        <v>0</v>
      </c>
      <c r="M50" s="112" t="str">
        <f>IFERROR(L50/divisor,"")</f>
        <v/>
      </c>
      <c r="N50" s="47"/>
      <c r="O50" s="47"/>
      <c r="P50" s="47"/>
      <c r="Q50" s="49"/>
    </row>
    <row r="51" spans="1:21" s="48" customFormat="1" ht="14.25" customHeight="1" thickTop="1" x14ac:dyDescent="0.2">
      <c r="A51" s="46"/>
      <c r="B51" s="47"/>
      <c r="C51" s="50" t="str">
        <f>IF(AND(J48&gt;0,J49&gt;0,C48="",C49=""),"Kostenbestandteile für Punkt 3.7 und 3.8 angegeben.",IF(AND(J48&gt;0,C48=""),"Kostenbestandteile für Punkt 3.7 angeben.",IF(AND(J49&gt;0,C49=""),"Kostenbestandteile für Punkt 3.8 angeben.","")))</f>
        <v/>
      </c>
      <c r="D51" s="47"/>
      <c r="E51" s="47"/>
      <c r="F51" s="47"/>
      <c r="G51" s="1100"/>
      <c r="H51" s="47"/>
      <c r="I51" s="47"/>
      <c r="J51" s="47"/>
      <c r="K51" s="47"/>
      <c r="L51" s="47"/>
      <c r="M51" s="47"/>
      <c r="N51" s="47"/>
      <c r="O51" s="47"/>
      <c r="P51" s="47"/>
      <c r="Q51" s="49"/>
      <c r="R51" s="50"/>
    </row>
    <row r="52" spans="1:21" s="48" customFormat="1" ht="14.25" customHeight="1" thickBot="1" x14ac:dyDescent="0.25">
      <c r="A52" s="46"/>
      <c r="B52" s="47"/>
      <c r="C52" s="1912"/>
      <c r="D52" s="47"/>
      <c r="E52" s="47"/>
      <c r="F52" s="47"/>
      <c r="G52" s="47"/>
      <c r="H52" s="47"/>
      <c r="I52" s="47"/>
      <c r="J52" s="47"/>
      <c r="K52" s="47"/>
      <c r="L52" s="47"/>
      <c r="M52" s="47"/>
      <c r="N52" s="47"/>
      <c r="O52" s="47"/>
      <c r="P52" s="47"/>
      <c r="Q52" s="49"/>
    </row>
    <row r="53" spans="1:21" s="48" customFormat="1" ht="14.25" customHeight="1" thickBot="1" x14ac:dyDescent="0.25">
      <c r="A53" s="46"/>
      <c r="B53" s="461" t="s">
        <v>296</v>
      </c>
      <c r="C53" s="20"/>
      <c r="D53" s="21"/>
      <c r="E53" s="21"/>
      <c r="F53" s="21"/>
      <c r="G53" s="351" t="s">
        <v>258</v>
      </c>
      <c r="H53" s="293"/>
      <c r="I53" s="329"/>
      <c r="J53" s="352"/>
      <c r="K53" s="45"/>
      <c r="L53" s="384" t="str">
        <f>IF((J29+J50&gt;0),(J29+J50)*J53,"")</f>
        <v/>
      </c>
      <c r="M53" s="47"/>
      <c r="N53" s="47"/>
      <c r="O53" s="47"/>
      <c r="P53" s="47"/>
      <c r="Q53" s="49"/>
      <c r="R53" s="586"/>
    </row>
    <row r="54" spans="1:21" s="48" customFormat="1" ht="14.25" customHeight="1" x14ac:dyDescent="0.2">
      <c r="A54" s="46"/>
      <c r="J54" s="2184" t="str">
        <f>IF(J53&gt;0.02,"Hinweis: Risiken über 2 % sind zu begründen und mit Nachweisen zu belegen","")</f>
        <v/>
      </c>
      <c r="Q54" s="49"/>
      <c r="R54" s="619"/>
    </row>
    <row r="55" spans="1:21" s="48" customFormat="1" ht="14.25" customHeight="1" x14ac:dyDescent="0.2">
      <c r="A55" s="46"/>
      <c r="Q55" s="49"/>
    </row>
    <row r="56" spans="1:21" s="48" customFormat="1" ht="15" customHeight="1" x14ac:dyDescent="0.2">
      <c r="A56" s="46"/>
      <c r="B56" s="95" t="s">
        <v>1098</v>
      </c>
      <c r="C56" s="93"/>
      <c r="D56" s="93"/>
      <c r="E56" s="93"/>
      <c r="F56" s="93"/>
      <c r="G56" s="93"/>
      <c r="H56" s="93"/>
      <c r="I56" s="93"/>
      <c r="J56" s="93"/>
      <c r="K56" s="93"/>
      <c r="L56" s="93"/>
      <c r="M56" s="93"/>
      <c r="N56" s="93"/>
      <c r="O56" s="93"/>
      <c r="P56" s="93"/>
      <c r="Q56" s="49"/>
      <c r="R56" s="591"/>
      <c r="S56" s="591"/>
      <c r="T56" s="591"/>
      <c r="U56" s="591"/>
    </row>
    <row r="57" spans="1:21" s="48" customFormat="1" ht="14.25" customHeight="1" x14ac:dyDescent="0.2">
      <c r="A57" s="46"/>
      <c r="Q57" s="49"/>
      <c r="R57" s="591"/>
      <c r="S57" s="591"/>
      <c r="T57" s="591"/>
      <c r="U57" s="591"/>
    </row>
    <row r="58" spans="1:21" s="48" customFormat="1" ht="14.25" customHeight="1" x14ac:dyDescent="0.2">
      <c r="A58" s="46"/>
      <c r="C58" s="2188" t="s">
        <v>1103</v>
      </c>
      <c r="D58" s="2151"/>
      <c r="E58" s="2151"/>
      <c r="F58" s="2151"/>
      <c r="G58" s="2151"/>
      <c r="H58" s="2186"/>
      <c r="I58" s="2187"/>
      <c r="J58" s="2228">
        <f>Personalaufwendungen!J64+Personalaufwendungen!I79*Personalaufwendungen!H79+Personalaufwendungen!I81*Personalaufwendungen!H81</f>
        <v>0</v>
      </c>
      <c r="K58" s="2143"/>
      <c r="L58" s="2143"/>
      <c r="M58" s="2143"/>
      <c r="N58" s="2143"/>
      <c r="O58" s="2143"/>
      <c r="P58" s="2143"/>
      <c r="Q58" s="49"/>
      <c r="R58" s="591"/>
      <c r="S58" s="591"/>
      <c r="T58" s="591"/>
      <c r="U58" s="591"/>
    </row>
    <row r="59" spans="1:21" s="47" customFormat="1" ht="15" customHeight="1" x14ac:dyDescent="0.2">
      <c r="A59" s="58"/>
      <c r="C59" s="2187"/>
      <c r="D59" s="2150" t="s">
        <v>1099</v>
      </c>
      <c r="E59" s="2151"/>
      <c r="F59" s="2151"/>
      <c r="G59" s="2151"/>
      <c r="H59" s="2186"/>
      <c r="I59" s="2187"/>
      <c r="J59" s="2228" t="str">
        <f>Personalaufwendungen!J46</f>
        <v/>
      </c>
      <c r="K59" s="2143"/>
      <c r="L59" s="2143"/>
      <c r="M59" s="2143"/>
      <c r="N59" s="2143"/>
      <c r="O59" s="2143"/>
      <c r="P59" s="2143"/>
      <c r="Q59" s="62"/>
      <c r="R59" s="591"/>
      <c r="S59" s="591"/>
      <c r="T59" s="591"/>
      <c r="U59" s="591"/>
    </row>
    <row r="60" spans="1:21" s="47" customFormat="1" ht="15" customHeight="1" x14ac:dyDescent="0.2">
      <c r="A60" s="58"/>
      <c r="C60" s="2187"/>
      <c r="D60" s="2150" t="s">
        <v>1100</v>
      </c>
      <c r="E60" s="2151"/>
      <c r="F60" s="2151"/>
      <c r="G60" s="2151"/>
      <c r="H60" s="2186"/>
      <c r="I60" s="2187"/>
      <c r="J60" s="2228" t="str">
        <f>Personalaufwendungen!J48</f>
        <v/>
      </c>
      <c r="K60" s="2143"/>
      <c r="L60" s="2143"/>
      <c r="M60" s="2143"/>
      <c r="N60" s="2143"/>
      <c r="O60" s="2143"/>
      <c r="P60" s="2143"/>
      <c r="Q60" s="62"/>
      <c r="R60" s="591"/>
      <c r="S60" s="591"/>
      <c r="T60" s="591"/>
      <c r="U60" s="591"/>
    </row>
    <row r="61" spans="1:21" s="47" customFormat="1" ht="7.15" customHeight="1" x14ac:dyDescent="0.2">
      <c r="A61" s="58"/>
      <c r="D61" s="2151"/>
      <c r="E61" s="2151"/>
      <c r="F61" s="2151"/>
      <c r="G61" s="2147"/>
      <c r="H61" s="2147"/>
      <c r="I61" s="2143"/>
      <c r="J61" s="2185"/>
      <c r="K61" s="2143"/>
      <c r="L61" s="2143"/>
      <c r="M61" s="2143"/>
      <c r="N61" s="2143"/>
      <c r="O61" s="2143"/>
      <c r="P61" s="2143"/>
      <c r="Q61" s="62"/>
      <c r="R61" s="591"/>
      <c r="S61" s="591"/>
      <c r="T61" s="591"/>
      <c r="U61" s="591"/>
    </row>
    <row r="62" spans="1:21" s="47" customFormat="1" ht="15" customHeight="1" x14ac:dyDescent="0.2">
      <c r="A62" s="58"/>
      <c r="B62" s="2145"/>
      <c r="C62" s="2182" t="s">
        <v>1106</v>
      </c>
      <c r="D62" s="2147"/>
      <c r="E62" s="2147"/>
      <c r="F62" s="2147"/>
      <c r="G62" s="2147"/>
      <c r="H62" s="2148"/>
      <c r="I62" s="2143"/>
      <c r="J62" s="2229">
        <f>IFERROR(J58-J59-J60,0)</f>
        <v>0</v>
      </c>
      <c r="K62" s="2143"/>
      <c r="L62" s="2143"/>
      <c r="M62" s="2143"/>
      <c r="N62" s="2143"/>
      <c r="O62" s="2143"/>
      <c r="P62" s="2143"/>
      <c r="Q62" s="62"/>
      <c r="R62" s="591"/>
      <c r="S62" s="591"/>
      <c r="T62" s="591"/>
      <c r="U62" s="591"/>
    </row>
    <row r="63" spans="1:21" s="47" customFormat="1" ht="14.25" customHeight="1" x14ac:dyDescent="0.2">
      <c r="A63" s="58"/>
      <c r="B63" s="2146"/>
      <c r="C63" s="2181" t="s">
        <v>1158</v>
      </c>
      <c r="D63" s="2147"/>
      <c r="E63" s="2147"/>
      <c r="F63" s="2147"/>
      <c r="G63" s="2147"/>
      <c r="H63" s="2148"/>
      <c r="I63" s="2143"/>
      <c r="J63" s="2229">
        <f>L29</f>
        <v>0</v>
      </c>
      <c r="K63" s="2143"/>
      <c r="L63" s="2143"/>
      <c r="M63" s="2143"/>
      <c r="N63" s="2143"/>
      <c r="O63" s="2143"/>
      <c r="P63" s="2143"/>
      <c r="Q63" s="62"/>
      <c r="R63" s="591"/>
      <c r="S63" s="591"/>
      <c r="T63" s="591"/>
      <c r="U63" s="591"/>
    </row>
    <row r="64" spans="1:21" s="47" customFormat="1" ht="14.25" customHeight="1" x14ac:dyDescent="0.2">
      <c r="A64" s="58"/>
      <c r="B64" s="2146"/>
      <c r="C64" s="2144" t="s">
        <v>1101</v>
      </c>
      <c r="D64" s="2147"/>
      <c r="E64" s="2147"/>
      <c r="F64" s="2147"/>
      <c r="G64" s="2147"/>
      <c r="H64" s="2148"/>
      <c r="I64" s="2143"/>
      <c r="J64" s="2229">
        <f>L50</f>
        <v>0</v>
      </c>
      <c r="K64" s="2143"/>
      <c r="L64" s="2143"/>
      <c r="M64" s="2143"/>
      <c r="N64" s="2143"/>
      <c r="O64" s="2143"/>
      <c r="P64" s="2143"/>
      <c r="Q64" s="62"/>
      <c r="R64" s="591"/>
      <c r="S64" s="591"/>
      <c r="T64" s="591"/>
      <c r="U64" s="591"/>
    </row>
    <row r="65" spans="1:21" s="47" customFormat="1" ht="6" customHeight="1" x14ac:dyDescent="0.2">
      <c r="A65" s="58"/>
      <c r="B65" s="2146"/>
      <c r="C65" s="2143"/>
      <c r="D65" s="2143"/>
      <c r="E65" s="2143"/>
      <c r="F65" s="2143"/>
      <c r="G65" s="2143"/>
      <c r="H65" s="2143"/>
      <c r="I65" s="2143"/>
      <c r="J65" s="2149"/>
      <c r="K65" s="2143"/>
      <c r="L65" s="2143"/>
      <c r="M65" s="2143"/>
      <c r="N65" s="2143"/>
      <c r="O65" s="2143"/>
      <c r="P65" s="2143"/>
      <c r="Q65" s="62"/>
      <c r="R65" s="591"/>
      <c r="S65" s="591"/>
      <c r="T65" s="591"/>
      <c r="U65" s="591"/>
    </row>
    <row r="66" spans="1:21" s="47" customFormat="1" ht="14.25" customHeight="1" thickBot="1" x14ac:dyDescent="0.25">
      <c r="A66" s="58"/>
      <c r="B66" s="45" t="s">
        <v>1104</v>
      </c>
      <c r="D66" s="2143"/>
      <c r="E66" s="2143"/>
      <c r="F66" s="2143"/>
      <c r="G66" s="2143"/>
      <c r="H66" s="2143"/>
      <c r="I66" s="2143"/>
      <c r="J66" s="2230">
        <f>SUM(J62:J64)</f>
        <v>0</v>
      </c>
      <c r="K66" s="2143"/>
      <c r="L66" s="2143"/>
      <c r="M66" s="2143"/>
      <c r="N66" s="2143"/>
      <c r="O66" s="2143"/>
      <c r="P66" s="2143"/>
      <c r="Q66" s="62"/>
      <c r="R66" s="591"/>
      <c r="S66" s="591"/>
      <c r="T66" s="591"/>
      <c r="U66" s="591"/>
    </row>
    <row r="67" spans="1:21" s="47" customFormat="1" ht="14.25" customHeight="1" thickTop="1" thickBot="1" x14ac:dyDescent="0.25">
      <c r="A67" s="58"/>
      <c r="B67" s="45"/>
      <c r="D67" s="2143"/>
      <c r="E67" s="2143"/>
      <c r="F67" s="2143"/>
      <c r="G67" s="2143"/>
      <c r="H67" s="2143"/>
      <c r="I67" s="2143"/>
      <c r="J67" s="2149"/>
      <c r="K67" s="2143"/>
      <c r="L67" s="2143"/>
      <c r="M67" s="2143"/>
      <c r="N67" s="2143"/>
      <c r="O67" s="2143"/>
      <c r="P67" s="2143"/>
      <c r="Q67" s="62"/>
      <c r="R67" s="591"/>
      <c r="S67" s="591"/>
      <c r="T67" s="591"/>
      <c r="U67" s="591"/>
    </row>
    <row r="68" spans="1:21" s="47" customFormat="1" ht="14.25" customHeight="1" thickBot="1" x14ac:dyDescent="0.25">
      <c r="A68" s="58"/>
      <c r="B68" s="45" t="s">
        <v>1105</v>
      </c>
      <c r="C68" s="45" t="s">
        <v>1098</v>
      </c>
      <c r="D68" s="45"/>
      <c r="E68" s="2143"/>
      <c r="G68" s="2143"/>
      <c r="H68" s="349" t="s">
        <v>1102</v>
      </c>
      <c r="I68" s="2143"/>
      <c r="J68" s="352"/>
      <c r="K68" s="2143"/>
      <c r="L68" s="384">
        <f>J66*J68</f>
        <v>0</v>
      </c>
      <c r="M68" s="2143"/>
      <c r="N68" s="2143"/>
      <c r="O68" s="2143"/>
      <c r="P68" s="2143"/>
      <c r="Q68" s="62"/>
      <c r="R68" s="591"/>
      <c r="S68" s="591"/>
      <c r="T68" s="591"/>
      <c r="U68" s="591"/>
    </row>
    <row r="69" spans="1:21" s="47" customFormat="1" ht="14.25" customHeight="1" thickBot="1" x14ac:dyDescent="0.25">
      <c r="A69" s="58"/>
      <c r="C69" s="45"/>
      <c r="D69" s="2143"/>
      <c r="E69" s="2143"/>
      <c r="F69" s="2143"/>
      <c r="G69" s="2143"/>
      <c r="I69" s="2143"/>
      <c r="J69" s="2184" t="str">
        <f>IF(J68&gt;KAT!D66,"Hinweis: Verwaltungskosten über 7% sind zu begründen","")</f>
        <v/>
      </c>
      <c r="K69" s="2143"/>
      <c r="L69" s="2143"/>
      <c r="M69" s="2143"/>
      <c r="N69" s="2143"/>
      <c r="O69" s="2143"/>
      <c r="P69" s="2143"/>
      <c r="Q69" s="62"/>
      <c r="R69" s="591"/>
      <c r="S69" s="591"/>
      <c r="T69" s="591"/>
      <c r="U69" s="591"/>
    </row>
    <row r="70" spans="1:21" s="47" customFormat="1" ht="14.25" customHeight="1" thickBot="1" x14ac:dyDescent="0.25">
      <c r="A70" s="58"/>
      <c r="B70" s="2152" t="s">
        <v>1112</v>
      </c>
      <c r="C70" s="45"/>
      <c r="D70" s="2143"/>
      <c r="E70" s="2143"/>
      <c r="F70" s="2143"/>
      <c r="G70" s="2143"/>
      <c r="I70" s="2143"/>
      <c r="J70" s="2189"/>
      <c r="K70" s="2143"/>
      <c r="L70" s="384">
        <f>IF(J70="ja",J71*J72,0)</f>
        <v>0</v>
      </c>
      <c r="M70" s="2143"/>
      <c r="N70" s="2143"/>
      <c r="O70" s="2143"/>
      <c r="P70" s="2143"/>
      <c r="Q70" s="62"/>
      <c r="R70" s="591"/>
      <c r="S70" s="591"/>
      <c r="T70" s="591"/>
      <c r="U70" s="591"/>
    </row>
    <row r="71" spans="1:21" s="47" customFormat="1" ht="14.25" customHeight="1" x14ac:dyDescent="0.2">
      <c r="A71" s="58"/>
      <c r="B71" s="2143"/>
      <c r="C71" s="45"/>
      <c r="D71" s="2150" t="s">
        <v>1115</v>
      </c>
      <c r="E71" s="2151"/>
      <c r="F71" s="2151"/>
      <c r="G71" s="2151"/>
      <c r="H71" s="2186"/>
      <c r="I71" s="2187"/>
      <c r="J71" s="2231">
        <f>IF(AND('Allgemeine Angaben'!L47&gt;0,KAT!D59-Personalkostenaufstellung!H435&gt;0),KAT!D59-Personalkostenaufstellung!H435,0)</f>
        <v>0</v>
      </c>
      <c r="K71" s="2143"/>
      <c r="L71" s="2143"/>
      <c r="M71" s="2143"/>
      <c r="N71" s="2143"/>
      <c r="O71" s="2143"/>
      <c r="P71" s="2143"/>
      <c r="Q71" s="62"/>
      <c r="R71" s="591"/>
      <c r="S71" s="591"/>
      <c r="T71" s="591"/>
      <c r="U71" s="591"/>
    </row>
    <row r="72" spans="1:21" s="47" customFormat="1" ht="14.25" customHeight="1" x14ac:dyDescent="0.2">
      <c r="A72" s="58"/>
      <c r="B72" s="45"/>
      <c r="C72" s="45"/>
      <c r="D72" s="2150" t="s">
        <v>1159</v>
      </c>
      <c r="E72" s="2151"/>
      <c r="F72" s="2151"/>
      <c r="G72" s="2151"/>
      <c r="H72" s="2186"/>
      <c r="I72" s="2187"/>
      <c r="J72" s="2228">
        <v>95400</v>
      </c>
      <c r="K72" s="2143"/>
      <c r="L72" s="2143"/>
      <c r="M72" s="2143"/>
      <c r="N72" s="2143"/>
      <c r="O72" s="2143"/>
      <c r="P72" s="2143"/>
      <c r="Q72" s="62"/>
      <c r="R72" s="591"/>
      <c r="S72" s="591"/>
      <c r="T72" s="591"/>
      <c r="U72" s="591"/>
    </row>
    <row r="73" spans="1:21" s="47" customFormat="1" ht="14.25" customHeight="1" thickBot="1" x14ac:dyDescent="0.25">
      <c r="A73" s="58"/>
      <c r="B73" s="45"/>
      <c r="C73" s="45"/>
      <c r="D73" s="2152"/>
      <c r="E73" s="2143"/>
      <c r="F73" s="2143"/>
      <c r="G73" s="2143"/>
      <c r="H73" s="2143"/>
      <c r="I73" s="2143"/>
      <c r="J73" s="2143"/>
      <c r="K73" s="2143"/>
      <c r="L73" s="2143"/>
      <c r="M73" s="2143"/>
      <c r="N73" s="2143"/>
      <c r="O73" s="2143"/>
      <c r="P73" s="2143"/>
      <c r="Q73" s="62"/>
      <c r="R73" s="591"/>
      <c r="S73" s="591"/>
      <c r="T73" s="591"/>
      <c r="U73" s="591"/>
    </row>
    <row r="74" spans="1:21" s="47" customFormat="1" ht="14.25" customHeight="1" thickBot="1" x14ac:dyDescent="0.25">
      <c r="A74" s="58"/>
      <c r="B74" s="45" t="s">
        <v>1107</v>
      </c>
      <c r="C74" s="45" t="str">
        <f>"Verwaltungsbudget "&amp;IF(J70&lt;&gt;"nein","(inkl. Budgetaufschlag)","")</f>
        <v>Verwaltungsbudget (inkl. Budgetaufschlag)</v>
      </c>
      <c r="D74" s="2152"/>
      <c r="J74" s="349"/>
      <c r="L74" s="384">
        <f>L68+L70</f>
        <v>0</v>
      </c>
      <c r="Q74" s="62"/>
      <c r="R74" s="591"/>
      <c r="S74" s="591"/>
      <c r="T74" s="591"/>
      <c r="U74" s="591"/>
    </row>
    <row r="75" spans="1:21" ht="14.25" customHeight="1" x14ac:dyDescent="0.2">
      <c r="A75" s="51"/>
      <c r="B75" s="52"/>
      <c r="C75" s="52"/>
      <c r="D75" s="52"/>
      <c r="E75" s="52"/>
      <c r="F75" s="52"/>
      <c r="G75" s="37"/>
      <c r="H75" s="37"/>
      <c r="I75" s="37"/>
      <c r="J75" s="37"/>
      <c r="K75" s="37"/>
      <c r="L75" s="37"/>
      <c r="M75" s="52"/>
      <c r="N75" s="52"/>
      <c r="O75" s="52"/>
      <c r="P75" s="52"/>
      <c r="Q75" s="559"/>
      <c r="R75" s="620"/>
    </row>
    <row r="77" spans="1:21" ht="6.75" customHeight="1" thickBot="1" x14ac:dyDescent="0.25"/>
    <row r="78" spans="1:21" ht="15" thickBot="1" x14ac:dyDescent="0.25">
      <c r="D78" s="2374" t="s">
        <v>204</v>
      </c>
      <c r="E78" s="2382"/>
      <c r="F78" s="2382"/>
      <c r="G78" s="2382"/>
      <c r="H78" s="2382"/>
      <c r="I78" s="2382"/>
      <c r="J78" s="2382"/>
      <c r="K78" s="2382"/>
      <c r="L78" s="2383"/>
    </row>
  </sheetData>
  <sheetProtection algorithmName="SHA-512" hashValue="MM6IVcDRhMB4zb1XoaFB3hvQ+sK1dOmmghO3MLyQIPWqB6Y312kwf7k/9eSXpC8ypPQXP6ZTBE/0XZrV05Jcsw==" saltValue="3okl8WBK57uEXvIQ9aGIuA==" spinCount="100000" sheet="1" objects="1" scenarios="1" selectLockedCells="1"/>
  <mergeCells count="14">
    <mergeCell ref="P33:P37"/>
    <mergeCell ref="M33:M37"/>
    <mergeCell ref="C17:E18"/>
    <mergeCell ref="D78:L78"/>
    <mergeCell ref="C40:E41"/>
    <mergeCell ref="C48:F48"/>
    <mergeCell ref="C49:F49"/>
    <mergeCell ref="L35:L36"/>
    <mergeCell ref="L12:L13"/>
    <mergeCell ref="A1:Q1"/>
    <mergeCell ref="A2:Q2"/>
    <mergeCell ref="A3:Q3"/>
    <mergeCell ref="P10:P14"/>
    <mergeCell ref="M10:M14"/>
  </mergeCells>
  <phoneticPr fontId="87" type="noConversion"/>
  <conditionalFormatting sqref="C17 G17">
    <cfRule type="expression" dxfId="168" priority="17">
      <formula>$C$17="Bitte auswählen."</formula>
    </cfRule>
  </conditionalFormatting>
  <conditionalFormatting sqref="C40">
    <cfRule type="expression" dxfId="167" priority="11">
      <formula>$C$17="Bitte auswählen."</formula>
    </cfRule>
  </conditionalFormatting>
  <conditionalFormatting sqref="F17:F18 C19">
    <cfRule type="expression" dxfId="163" priority="16">
      <formula>$F$20=0</formula>
    </cfRule>
  </conditionalFormatting>
  <conditionalFormatting sqref="G29 G43:G51">
    <cfRule type="expression" dxfId="159" priority="31">
      <formula>$G$29=0</formula>
    </cfRule>
  </conditionalFormatting>
  <conditionalFormatting sqref="H17:H19">
    <cfRule type="expression" dxfId="157" priority="15">
      <formula>$F$20=0</formula>
    </cfRule>
  </conditionalFormatting>
  <conditionalFormatting sqref="H40:H41">
    <cfRule type="expression" dxfId="156" priority="10">
      <formula>$C$40="entsprechend dem Zeitraum der Ist-Personalkosten"</formula>
    </cfRule>
  </conditionalFormatting>
  <conditionalFormatting sqref="L21:L28 L43:L49">
    <cfRule type="cellIs" dxfId="153" priority="25" operator="equal">
      <formula>0</formula>
    </cfRule>
  </conditionalFormatting>
  <conditionalFormatting sqref="L29">
    <cfRule type="expression" dxfId="152" priority="30">
      <formula>$L$29=0</formula>
    </cfRule>
  </conditionalFormatting>
  <conditionalFormatting sqref="L50">
    <cfRule type="expression" dxfId="151" priority="28">
      <formula>$L$50=0</formula>
    </cfRule>
  </conditionalFormatting>
  <dataValidations count="4">
    <dataValidation type="whole" operator="greaterThan" allowBlank="1" showInputMessage="1" showErrorMessage="1" errorTitle="Eingabemöglichkeit" error="nur ganze Zahlen (bitte kaufmännisch runden)" prompt="nur ganze Zahlen, kaufmännisch gerundet" sqref="J21:J28 G21:H28 J43:J49 G43:H49" xr:uid="{00000000-0002-0000-0500-000000000000}">
      <formula1>-1</formula1>
    </dataValidation>
    <dataValidation errorStyle="information" allowBlank="1" showInputMessage="1" showErrorMessage="1" errorTitle="Unternehmerrisiko" promptTitle="Unternehmerrisiko" prompt="siehe allgemeine Hinweise" sqref="J53" xr:uid="{00000000-0002-0000-0500-000001000000}"/>
    <dataValidation type="list" allowBlank="1" showInputMessage="1" showErrorMessage="1" sqref="C17:E18" xr:uid="{00000000-0002-0000-0500-000002000000}">
      <formula1>"entsprechend dem Zeitraum der Ist-Personalkosten,entsprechend von einem abweichenden Zeitraum"</formula1>
    </dataValidation>
    <dataValidation type="list" allowBlank="1" showInputMessage="1" showErrorMessage="1" sqref="J70" xr:uid="{00000000-0002-0000-0500-000003000000}">
      <formula1>"ja,nein"</formula1>
    </dataValidation>
  </dataValidations>
  <hyperlinks>
    <hyperlink ref="D78" location="'Anlage 1'!A1" display="Anlage 1" xr:uid="{00000000-0004-0000-0500-000002000000}"/>
    <hyperlink ref="D78:L78" location="Forderung!A1" display="gehe weiter zu B_Forderung" xr:uid="{00000000-0004-0000-0500-000003000000}"/>
  </hyperlinks>
  <pageMargins left="0.70866141732283472" right="0.70866141732283472" top="0.78740157480314965" bottom="0.78740157480314965" header="0.31496062992125984" footer="0.31496062992125984"/>
  <pageSetup paperSize="9" scale="63" orientation="portrait"/>
  <headerFooter>
    <oddHeader>&amp;C&amp;9Seite 4</oddHeader>
    <oddFooter>&amp;L&amp;8Version: 24.04.2026&amp;C&amp;8Verhandlungsunterlagen vollstationär SGB XI ab 01.07.2026&amp;R&amp;8PSK vom 24.04.2026</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15</xdr:col>
                    <xdr:colOff>57150</xdr:colOff>
                    <xdr:row>21</xdr:row>
                    <xdr:rowOff>28575</xdr:rowOff>
                  </from>
                  <to>
                    <xdr:col>15</xdr:col>
                    <xdr:colOff>314325</xdr:colOff>
                    <xdr:row>22</xdr:row>
                    <xdr:rowOff>28575</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15</xdr:col>
                    <xdr:colOff>57150</xdr:colOff>
                    <xdr:row>22</xdr:row>
                    <xdr:rowOff>28575</xdr:rowOff>
                  </from>
                  <to>
                    <xdr:col>15</xdr:col>
                    <xdr:colOff>314325</xdr:colOff>
                    <xdr:row>23</xdr:row>
                    <xdr:rowOff>28575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15</xdr:col>
                    <xdr:colOff>57150</xdr:colOff>
                    <xdr:row>23</xdr:row>
                    <xdr:rowOff>0</xdr:rowOff>
                  </from>
                  <to>
                    <xdr:col>15</xdr:col>
                    <xdr:colOff>314325</xdr:colOff>
                    <xdr:row>24</xdr:row>
                    <xdr:rowOff>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15</xdr:col>
                    <xdr:colOff>57150</xdr:colOff>
                    <xdr:row>23</xdr:row>
                    <xdr:rowOff>0</xdr:rowOff>
                  </from>
                  <to>
                    <xdr:col>15</xdr:col>
                    <xdr:colOff>314325</xdr:colOff>
                    <xdr:row>24</xdr:row>
                    <xdr:rowOff>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15</xdr:col>
                    <xdr:colOff>57150</xdr:colOff>
                    <xdr:row>24</xdr:row>
                    <xdr:rowOff>28575</xdr:rowOff>
                  </from>
                  <to>
                    <xdr:col>15</xdr:col>
                    <xdr:colOff>314325</xdr:colOff>
                    <xdr:row>25</xdr:row>
                    <xdr:rowOff>28575</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15</xdr:col>
                    <xdr:colOff>57150</xdr:colOff>
                    <xdr:row>25</xdr:row>
                    <xdr:rowOff>28575</xdr:rowOff>
                  </from>
                  <to>
                    <xdr:col>15</xdr:col>
                    <xdr:colOff>314325</xdr:colOff>
                    <xdr:row>26</xdr:row>
                    <xdr:rowOff>28575</xdr:rowOff>
                  </to>
                </anchor>
              </controlPr>
            </control>
          </mc:Choice>
        </mc:AlternateContent>
        <mc:AlternateContent xmlns:mc="http://schemas.openxmlformats.org/markup-compatibility/2006">
          <mc:Choice Requires="x14">
            <control shapeId="4108" r:id="rId9" name="Check Box 12">
              <controlPr defaultSize="0" autoFill="0" autoLine="0" autoPict="0">
                <anchor moveWithCells="1">
                  <from>
                    <xdr:col>15</xdr:col>
                    <xdr:colOff>57150</xdr:colOff>
                    <xdr:row>26</xdr:row>
                    <xdr:rowOff>28575</xdr:rowOff>
                  </from>
                  <to>
                    <xdr:col>15</xdr:col>
                    <xdr:colOff>314325</xdr:colOff>
                    <xdr:row>27</xdr:row>
                    <xdr:rowOff>28575</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15</xdr:col>
                    <xdr:colOff>57150</xdr:colOff>
                    <xdr:row>27</xdr:row>
                    <xdr:rowOff>28575</xdr:rowOff>
                  </from>
                  <to>
                    <xdr:col>15</xdr:col>
                    <xdr:colOff>314325</xdr:colOff>
                    <xdr:row>28</xdr:row>
                    <xdr:rowOff>28575</xdr:rowOff>
                  </to>
                </anchor>
              </controlPr>
            </control>
          </mc:Choice>
        </mc:AlternateContent>
        <mc:AlternateContent xmlns:mc="http://schemas.openxmlformats.org/markup-compatibility/2006">
          <mc:Choice Requires="x14">
            <control shapeId="4110" r:id="rId11" name="Check Box 14">
              <controlPr defaultSize="0" autoFill="0" autoLine="0" autoPict="0">
                <anchor moveWithCells="1">
                  <from>
                    <xdr:col>15</xdr:col>
                    <xdr:colOff>57150</xdr:colOff>
                    <xdr:row>42</xdr:row>
                    <xdr:rowOff>28575</xdr:rowOff>
                  </from>
                  <to>
                    <xdr:col>15</xdr:col>
                    <xdr:colOff>314325</xdr:colOff>
                    <xdr:row>43</xdr:row>
                    <xdr:rowOff>28575</xdr:rowOff>
                  </to>
                </anchor>
              </controlPr>
            </control>
          </mc:Choice>
        </mc:AlternateContent>
        <mc:AlternateContent xmlns:mc="http://schemas.openxmlformats.org/markup-compatibility/2006">
          <mc:Choice Requires="x14">
            <control shapeId="4111" r:id="rId12" name="Check Box 15">
              <controlPr defaultSize="0" autoFill="0" autoLine="0" autoPict="0">
                <anchor moveWithCells="1">
                  <from>
                    <xdr:col>15</xdr:col>
                    <xdr:colOff>57150</xdr:colOff>
                    <xdr:row>43</xdr:row>
                    <xdr:rowOff>28575</xdr:rowOff>
                  </from>
                  <to>
                    <xdr:col>15</xdr:col>
                    <xdr:colOff>314325</xdr:colOff>
                    <xdr:row>44</xdr:row>
                    <xdr:rowOff>28575</xdr:rowOff>
                  </to>
                </anchor>
              </controlPr>
            </control>
          </mc:Choice>
        </mc:AlternateContent>
        <mc:AlternateContent xmlns:mc="http://schemas.openxmlformats.org/markup-compatibility/2006">
          <mc:Choice Requires="x14">
            <control shapeId="4112" r:id="rId13" name="Check Box 16">
              <controlPr defaultSize="0" autoFill="0" autoLine="0" autoPict="0">
                <anchor moveWithCells="1">
                  <from>
                    <xdr:col>15</xdr:col>
                    <xdr:colOff>57150</xdr:colOff>
                    <xdr:row>44</xdr:row>
                    <xdr:rowOff>28575</xdr:rowOff>
                  </from>
                  <to>
                    <xdr:col>15</xdr:col>
                    <xdr:colOff>314325</xdr:colOff>
                    <xdr:row>45</xdr:row>
                    <xdr:rowOff>28575</xdr:rowOff>
                  </to>
                </anchor>
              </controlPr>
            </control>
          </mc:Choice>
        </mc:AlternateContent>
        <mc:AlternateContent xmlns:mc="http://schemas.openxmlformats.org/markup-compatibility/2006">
          <mc:Choice Requires="x14">
            <control shapeId="4113" r:id="rId14" name="Check Box 17">
              <controlPr defaultSize="0" autoFill="0" autoLine="0" autoPict="0">
                <anchor moveWithCells="1">
                  <from>
                    <xdr:col>15</xdr:col>
                    <xdr:colOff>57150</xdr:colOff>
                    <xdr:row>45</xdr:row>
                    <xdr:rowOff>28575</xdr:rowOff>
                  </from>
                  <to>
                    <xdr:col>15</xdr:col>
                    <xdr:colOff>314325</xdr:colOff>
                    <xdr:row>46</xdr:row>
                    <xdr:rowOff>38100</xdr:rowOff>
                  </to>
                </anchor>
              </controlPr>
            </control>
          </mc:Choice>
        </mc:AlternateContent>
        <mc:AlternateContent xmlns:mc="http://schemas.openxmlformats.org/markup-compatibility/2006">
          <mc:Choice Requires="x14">
            <control shapeId="4114" r:id="rId15" name="Check Box 18">
              <controlPr defaultSize="0" autoFill="0" autoLine="0" autoPict="0">
                <anchor moveWithCells="1">
                  <from>
                    <xdr:col>15</xdr:col>
                    <xdr:colOff>57150</xdr:colOff>
                    <xdr:row>46</xdr:row>
                    <xdr:rowOff>0</xdr:rowOff>
                  </from>
                  <to>
                    <xdr:col>15</xdr:col>
                    <xdr:colOff>314325</xdr:colOff>
                    <xdr:row>47</xdr:row>
                    <xdr:rowOff>0</xdr:rowOff>
                  </to>
                </anchor>
              </controlPr>
            </control>
          </mc:Choice>
        </mc:AlternateContent>
        <mc:AlternateContent xmlns:mc="http://schemas.openxmlformats.org/markup-compatibility/2006">
          <mc:Choice Requires="x14">
            <control shapeId="4116" r:id="rId16" name="Check Box 20">
              <controlPr defaultSize="0" autoFill="0" autoLine="0" autoPict="0">
                <anchor moveWithCells="1">
                  <from>
                    <xdr:col>15</xdr:col>
                    <xdr:colOff>57150</xdr:colOff>
                    <xdr:row>48</xdr:row>
                    <xdr:rowOff>28575</xdr:rowOff>
                  </from>
                  <to>
                    <xdr:col>15</xdr:col>
                    <xdr:colOff>314325</xdr:colOff>
                    <xdr:row>49</xdr:row>
                    <xdr:rowOff>38100</xdr:rowOff>
                  </to>
                </anchor>
              </controlPr>
            </control>
          </mc:Choice>
        </mc:AlternateContent>
        <mc:AlternateContent xmlns:mc="http://schemas.openxmlformats.org/markup-compatibility/2006">
          <mc:Choice Requires="x14">
            <control shapeId="4117" r:id="rId17" name="Check Box 21">
              <controlPr defaultSize="0" autoFill="0" autoLine="0" autoPict="0">
                <anchor moveWithCells="1">
                  <from>
                    <xdr:col>15</xdr:col>
                    <xdr:colOff>57150</xdr:colOff>
                    <xdr:row>20</xdr:row>
                    <xdr:rowOff>28575</xdr:rowOff>
                  </from>
                  <to>
                    <xdr:col>15</xdr:col>
                    <xdr:colOff>314325</xdr:colOff>
                    <xdr:row>21</xdr:row>
                    <xdr:rowOff>28575</xdr:rowOff>
                  </to>
                </anchor>
              </controlPr>
            </control>
          </mc:Choice>
        </mc:AlternateContent>
        <mc:AlternateContent xmlns:mc="http://schemas.openxmlformats.org/markup-compatibility/2006">
          <mc:Choice Requires="x14">
            <control shapeId="4118" r:id="rId18" name="Check Box 22">
              <controlPr defaultSize="0" autoFill="0" autoLine="0" autoPict="0">
                <anchor moveWithCells="1">
                  <from>
                    <xdr:col>3</xdr:col>
                    <xdr:colOff>990600</xdr:colOff>
                    <xdr:row>11</xdr:row>
                    <xdr:rowOff>0</xdr:rowOff>
                  </from>
                  <to>
                    <xdr:col>3</xdr:col>
                    <xdr:colOff>990600</xdr:colOff>
                    <xdr:row>11</xdr:row>
                    <xdr:rowOff>171450</xdr:rowOff>
                  </to>
                </anchor>
              </controlPr>
            </control>
          </mc:Choice>
        </mc:AlternateContent>
        <mc:AlternateContent xmlns:mc="http://schemas.openxmlformats.org/markup-compatibility/2006">
          <mc:Choice Requires="x14">
            <control shapeId="4119" r:id="rId19" name="Check Box 23">
              <controlPr defaultSize="0" autoFill="0" autoLine="0" autoPict="0">
                <anchor moveWithCells="1">
                  <from>
                    <xdr:col>3</xdr:col>
                    <xdr:colOff>990600</xdr:colOff>
                    <xdr:row>13</xdr:row>
                    <xdr:rowOff>0</xdr:rowOff>
                  </from>
                  <to>
                    <xdr:col>3</xdr:col>
                    <xdr:colOff>990600</xdr:colOff>
                    <xdr:row>14</xdr:row>
                    <xdr:rowOff>0</xdr:rowOff>
                  </to>
                </anchor>
              </controlPr>
            </control>
          </mc:Choice>
        </mc:AlternateContent>
        <mc:AlternateContent xmlns:mc="http://schemas.openxmlformats.org/markup-compatibility/2006">
          <mc:Choice Requires="x14">
            <control shapeId="4120" r:id="rId20" name="Check Box 24">
              <controlPr defaultSize="0" autoFill="0" autoLine="0" autoPict="0">
                <anchor moveWithCells="1">
                  <from>
                    <xdr:col>3</xdr:col>
                    <xdr:colOff>990600</xdr:colOff>
                    <xdr:row>20</xdr:row>
                    <xdr:rowOff>0</xdr:rowOff>
                  </from>
                  <to>
                    <xdr:col>3</xdr:col>
                    <xdr:colOff>990600</xdr:colOff>
                    <xdr:row>21</xdr:row>
                    <xdr:rowOff>0</xdr:rowOff>
                  </to>
                </anchor>
              </controlPr>
            </control>
          </mc:Choice>
        </mc:AlternateContent>
        <mc:AlternateContent xmlns:mc="http://schemas.openxmlformats.org/markup-compatibility/2006">
          <mc:Choice Requires="x14">
            <control shapeId="4121" r:id="rId21" name="Check Box 25">
              <controlPr defaultSize="0" autoFill="0" autoLine="0" autoPict="0">
                <anchor moveWithCells="1">
                  <from>
                    <xdr:col>3</xdr:col>
                    <xdr:colOff>990600</xdr:colOff>
                    <xdr:row>22</xdr:row>
                    <xdr:rowOff>0</xdr:rowOff>
                  </from>
                  <to>
                    <xdr:col>3</xdr:col>
                    <xdr:colOff>990600</xdr:colOff>
                    <xdr:row>23</xdr:row>
                    <xdr:rowOff>0</xdr:rowOff>
                  </to>
                </anchor>
              </controlPr>
            </control>
          </mc:Choice>
        </mc:AlternateContent>
        <mc:AlternateContent xmlns:mc="http://schemas.openxmlformats.org/markup-compatibility/2006">
          <mc:Choice Requires="x14">
            <control shapeId="4122" r:id="rId22" name="Check Box 26">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123" r:id="rId23" name="Check Box 27">
              <controlPr defaultSize="0" autoFill="0" autoLine="0" autoPict="0">
                <anchor moveWithCells="1">
                  <from>
                    <xdr:col>3</xdr:col>
                    <xdr:colOff>990600</xdr:colOff>
                    <xdr:row>24</xdr:row>
                    <xdr:rowOff>0</xdr:rowOff>
                  </from>
                  <to>
                    <xdr:col>3</xdr:col>
                    <xdr:colOff>990600</xdr:colOff>
                    <xdr:row>25</xdr:row>
                    <xdr:rowOff>0</xdr:rowOff>
                  </to>
                </anchor>
              </controlPr>
            </control>
          </mc:Choice>
        </mc:AlternateContent>
        <mc:AlternateContent xmlns:mc="http://schemas.openxmlformats.org/markup-compatibility/2006">
          <mc:Choice Requires="x14">
            <control shapeId="4127" r:id="rId24" name="Check Box 31">
              <controlPr defaultSize="0" autoFill="0" autoLine="0" autoPict="0">
                <anchor moveWithCells="1">
                  <from>
                    <xdr:col>3</xdr:col>
                    <xdr:colOff>914400</xdr:colOff>
                    <xdr:row>24</xdr:row>
                    <xdr:rowOff>0</xdr:rowOff>
                  </from>
                  <to>
                    <xdr:col>3</xdr:col>
                    <xdr:colOff>914400</xdr:colOff>
                    <xdr:row>25</xdr:row>
                    <xdr:rowOff>0</xdr:rowOff>
                  </to>
                </anchor>
              </controlPr>
            </control>
          </mc:Choice>
        </mc:AlternateContent>
        <mc:AlternateContent xmlns:mc="http://schemas.openxmlformats.org/markup-compatibility/2006">
          <mc:Choice Requires="x14">
            <control shapeId="4140" r:id="rId25" name="Check Box 44">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142" r:id="rId26" name="Check Box 46">
              <controlPr defaultSize="0" autoFill="0" autoLine="0" autoPict="0">
                <anchor moveWithCells="1">
                  <from>
                    <xdr:col>3</xdr:col>
                    <xdr:colOff>914400</xdr:colOff>
                    <xdr:row>23</xdr:row>
                    <xdr:rowOff>0</xdr:rowOff>
                  </from>
                  <to>
                    <xdr:col>3</xdr:col>
                    <xdr:colOff>914400</xdr:colOff>
                    <xdr:row>24</xdr:row>
                    <xdr:rowOff>0</xdr:rowOff>
                  </to>
                </anchor>
              </controlPr>
            </control>
          </mc:Choice>
        </mc:AlternateContent>
        <mc:AlternateContent xmlns:mc="http://schemas.openxmlformats.org/markup-compatibility/2006">
          <mc:Choice Requires="x14">
            <control shapeId="4143" r:id="rId27" name="Check Box 47">
              <controlPr defaultSize="0" autoFill="0" autoLine="0" autoPict="0">
                <anchor moveWithCells="1">
                  <from>
                    <xdr:col>3</xdr:col>
                    <xdr:colOff>990600</xdr:colOff>
                    <xdr:row>22</xdr:row>
                    <xdr:rowOff>0</xdr:rowOff>
                  </from>
                  <to>
                    <xdr:col>3</xdr:col>
                    <xdr:colOff>990600</xdr:colOff>
                    <xdr:row>23</xdr:row>
                    <xdr:rowOff>0</xdr:rowOff>
                  </to>
                </anchor>
              </controlPr>
            </control>
          </mc:Choice>
        </mc:AlternateContent>
        <mc:AlternateContent xmlns:mc="http://schemas.openxmlformats.org/markup-compatibility/2006">
          <mc:Choice Requires="x14">
            <control shapeId="4145" r:id="rId28" name="Check Box 49">
              <controlPr defaultSize="0" autoFill="0" autoLine="0" autoPict="0">
                <anchor moveWithCells="1">
                  <from>
                    <xdr:col>3</xdr:col>
                    <xdr:colOff>914400</xdr:colOff>
                    <xdr:row>22</xdr:row>
                    <xdr:rowOff>0</xdr:rowOff>
                  </from>
                  <to>
                    <xdr:col>3</xdr:col>
                    <xdr:colOff>914400</xdr:colOff>
                    <xdr:row>23</xdr:row>
                    <xdr:rowOff>0</xdr:rowOff>
                  </to>
                </anchor>
              </controlPr>
            </control>
          </mc:Choice>
        </mc:AlternateContent>
        <mc:AlternateContent xmlns:mc="http://schemas.openxmlformats.org/markup-compatibility/2006">
          <mc:Choice Requires="x14">
            <control shapeId="4146" r:id="rId29" name="Check Box 50">
              <controlPr defaultSize="0" autoFill="0" autoLine="0" autoPict="0">
                <anchor moveWithCells="1">
                  <from>
                    <xdr:col>3</xdr:col>
                    <xdr:colOff>990600</xdr:colOff>
                    <xdr:row>20</xdr:row>
                    <xdr:rowOff>0</xdr:rowOff>
                  </from>
                  <to>
                    <xdr:col>3</xdr:col>
                    <xdr:colOff>990600</xdr:colOff>
                    <xdr:row>21</xdr:row>
                    <xdr:rowOff>0</xdr:rowOff>
                  </to>
                </anchor>
              </controlPr>
            </control>
          </mc:Choice>
        </mc:AlternateContent>
        <mc:AlternateContent xmlns:mc="http://schemas.openxmlformats.org/markup-compatibility/2006">
          <mc:Choice Requires="x14">
            <control shapeId="4148" r:id="rId30" name="Check Box 52">
              <controlPr defaultSize="0" autoFill="0" autoLine="0" autoPict="0">
                <anchor moveWithCells="1">
                  <from>
                    <xdr:col>3</xdr:col>
                    <xdr:colOff>914400</xdr:colOff>
                    <xdr:row>20</xdr:row>
                    <xdr:rowOff>0</xdr:rowOff>
                  </from>
                  <to>
                    <xdr:col>3</xdr:col>
                    <xdr:colOff>914400</xdr:colOff>
                    <xdr:row>21</xdr:row>
                    <xdr:rowOff>0</xdr:rowOff>
                  </to>
                </anchor>
              </controlPr>
            </control>
          </mc:Choice>
        </mc:AlternateContent>
        <mc:AlternateContent xmlns:mc="http://schemas.openxmlformats.org/markup-compatibility/2006">
          <mc:Choice Requires="x14">
            <control shapeId="4149" r:id="rId31" name="Check Box 53">
              <controlPr defaultSize="0" autoFill="0" autoLine="0" autoPict="0">
                <anchor moveWithCells="1">
                  <from>
                    <xdr:col>3</xdr:col>
                    <xdr:colOff>990600</xdr:colOff>
                    <xdr:row>13</xdr:row>
                    <xdr:rowOff>0</xdr:rowOff>
                  </from>
                  <to>
                    <xdr:col>3</xdr:col>
                    <xdr:colOff>990600</xdr:colOff>
                    <xdr:row>14</xdr:row>
                    <xdr:rowOff>0</xdr:rowOff>
                  </to>
                </anchor>
              </controlPr>
            </control>
          </mc:Choice>
        </mc:AlternateContent>
        <mc:AlternateContent xmlns:mc="http://schemas.openxmlformats.org/markup-compatibility/2006">
          <mc:Choice Requires="x14">
            <control shapeId="4151" r:id="rId32" name="Check Box 55">
              <controlPr defaultSize="0" autoFill="0" autoLine="0" autoPict="0">
                <anchor moveWithCells="1">
                  <from>
                    <xdr:col>3</xdr:col>
                    <xdr:colOff>914400</xdr:colOff>
                    <xdr:row>13</xdr:row>
                    <xdr:rowOff>0</xdr:rowOff>
                  </from>
                  <to>
                    <xdr:col>3</xdr:col>
                    <xdr:colOff>914400</xdr:colOff>
                    <xdr:row>14</xdr:row>
                    <xdr:rowOff>0</xdr:rowOff>
                  </to>
                </anchor>
              </controlPr>
            </control>
          </mc:Choice>
        </mc:AlternateContent>
        <mc:AlternateContent xmlns:mc="http://schemas.openxmlformats.org/markup-compatibility/2006">
          <mc:Choice Requires="x14">
            <control shapeId="4152" r:id="rId33" name="Check Box 56">
              <controlPr defaultSize="0" autoFill="0" autoLine="0" autoPict="0">
                <anchor moveWithCells="1">
                  <from>
                    <xdr:col>3</xdr:col>
                    <xdr:colOff>990600</xdr:colOff>
                    <xdr:row>11</xdr:row>
                    <xdr:rowOff>0</xdr:rowOff>
                  </from>
                  <to>
                    <xdr:col>3</xdr:col>
                    <xdr:colOff>990600</xdr:colOff>
                    <xdr:row>11</xdr:row>
                    <xdr:rowOff>171450</xdr:rowOff>
                  </to>
                </anchor>
              </controlPr>
            </control>
          </mc:Choice>
        </mc:AlternateContent>
        <mc:AlternateContent xmlns:mc="http://schemas.openxmlformats.org/markup-compatibility/2006">
          <mc:Choice Requires="x14">
            <control shapeId="4154" r:id="rId34" name="Check Box 58">
              <controlPr defaultSize="0" autoFill="0" autoLine="0" autoPict="0">
                <anchor moveWithCells="1">
                  <from>
                    <xdr:col>3</xdr:col>
                    <xdr:colOff>914400</xdr:colOff>
                    <xdr:row>11</xdr:row>
                    <xdr:rowOff>0</xdr:rowOff>
                  </from>
                  <to>
                    <xdr:col>3</xdr:col>
                    <xdr:colOff>914400</xdr:colOff>
                    <xdr:row>11</xdr:row>
                    <xdr:rowOff>171450</xdr:rowOff>
                  </to>
                </anchor>
              </controlPr>
            </control>
          </mc:Choice>
        </mc:AlternateContent>
        <mc:AlternateContent xmlns:mc="http://schemas.openxmlformats.org/markup-compatibility/2006">
          <mc:Choice Requires="x14">
            <control shapeId="4155" r:id="rId35" name="Check Box 59">
              <controlPr defaultSize="0" autoFill="0" autoLine="0" autoPict="0">
                <anchor moveWithCells="1">
                  <from>
                    <xdr:col>3</xdr:col>
                    <xdr:colOff>990600</xdr:colOff>
                    <xdr:row>9</xdr:row>
                    <xdr:rowOff>0</xdr:rowOff>
                  </from>
                  <to>
                    <xdr:col>3</xdr:col>
                    <xdr:colOff>990600</xdr:colOff>
                    <xdr:row>9</xdr:row>
                    <xdr:rowOff>171450</xdr:rowOff>
                  </to>
                </anchor>
              </controlPr>
            </control>
          </mc:Choice>
        </mc:AlternateContent>
        <mc:AlternateContent xmlns:mc="http://schemas.openxmlformats.org/markup-compatibility/2006">
          <mc:Choice Requires="x14">
            <control shapeId="4157" r:id="rId36" name="Check Box 61">
              <controlPr defaultSize="0" autoFill="0" autoLine="0" autoPict="0">
                <anchor moveWithCells="1">
                  <from>
                    <xdr:col>3</xdr:col>
                    <xdr:colOff>914400</xdr:colOff>
                    <xdr:row>9</xdr:row>
                    <xdr:rowOff>0</xdr:rowOff>
                  </from>
                  <to>
                    <xdr:col>3</xdr:col>
                    <xdr:colOff>914400</xdr:colOff>
                    <xdr:row>9</xdr:row>
                    <xdr:rowOff>171450</xdr:rowOff>
                  </to>
                </anchor>
              </controlPr>
            </control>
          </mc:Choice>
        </mc:AlternateContent>
        <mc:AlternateContent xmlns:mc="http://schemas.openxmlformats.org/markup-compatibility/2006">
          <mc:Choice Requires="x14">
            <control shapeId="4161" r:id="rId37" name="Check Box 65">
              <controlPr defaultSize="0" autoFill="0" autoLine="0" autoPict="0">
                <anchor moveWithCells="1">
                  <from>
                    <xdr:col>3</xdr:col>
                    <xdr:colOff>990600</xdr:colOff>
                    <xdr:row>11</xdr:row>
                    <xdr:rowOff>0</xdr:rowOff>
                  </from>
                  <to>
                    <xdr:col>3</xdr:col>
                    <xdr:colOff>990600</xdr:colOff>
                    <xdr:row>11</xdr:row>
                    <xdr:rowOff>171450</xdr:rowOff>
                  </to>
                </anchor>
              </controlPr>
            </control>
          </mc:Choice>
        </mc:AlternateContent>
        <mc:AlternateContent xmlns:mc="http://schemas.openxmlformats.org/markup-compatibility/2006">
          <mc:Choice Requires="x14">
            <control shapeId="4163" r:id="rId38" name="Check Box 67">
              <controlPr defaultSize="0" autoFill="0" autoLine="0" autoPict="0">
                <anchor moveWithCells="1">
                  <from>
                    <xdr:col>3</xdr:col>
                    <xdr:colOff>914400</xdr:colOff>
                    <xdr:row>11</xdr:row>
                    <xdr:rowOff>0</xdr:rowOff>
                  </from>
                  <to>
                    <xdr:col>3</xdr:col>
                    <xdr:colOff>914400</xdr:colOff>
                    <xdr:row>11</xdr:row>
                    <xdr:rowOff>171450</xdr:rowOff>
                  </to>
                </anchor>
              </controlPr>
            </control>
          </mc:Choice>
        </mc:AlternateContent>
        <mc:AlternateContent xmlns:mc="http://schemas.openxmlformats.org/markup-compatibility/2006">
          <mc:Choice Requires="x14">
            <control shapeId="4165" r:id="rId39" name="Check Box 69">
              <controlPr defaultSize="0" autoFill="0" autoLine="0" autoPict="0">
                <anchor moveWithCells="1">
                  <from>
                    <xdr:col>3</xdr:col>
                    <xdr:colOff>990600</xdr:colOff>
                    <xdr:row>13</xdr:row>
                    <xdr:rowOff>0</xdr:rowOff>
                  </from>
                  <to>
                    <xdr:col>3</xdr:col>
                    <xdr:colOff>990600</xdr:colOff>
                    <xdr:row>14</xdr:row>
                    <xdr:rowOff>0</xdr:rowOff>
                  </to>
                </anchor>
              </controlPr>
            </control>
          </mc:Choice>
        </mc:AlternateContent>
        <mc:AlternateContent xmlns:mc="http://schemas.openxmlformats.org/markup-compatibility/2006">
          <mc:Choice Requires="x14">
            <control shapeId="4166" r:id="rId40" name="Check Box 70">
              <controlPr defaultSize="0" autoFill="0" autoLine="0" autoPict="0">
                <anchor moveWithCells="1">
                  <from>
                    <xdr:col>3</xdr:col>
                    <xdr:colOff>990600</xdr:colOff>
                    <xdr:row>13</xdr:row>
                    <xdr:rowOff>0</xdr:rowOff>
                  </from>
                  <to>
                    <xdr:col>3</xdr:col>
                    <xdr:colOff>990600</xdr:colOff>
                    <xdr:row>14</xdr:row>
                    <xdr:rowOff>0</xdr:rowOff>
                  </to>
                </anchor>
              </controlPr>
            </control>
          </mc:Choice>
        </mc:AlternateContent>
        <mc:AlternateContent xmlns:mc="http://schemas.openxmlformats.org/markup-compatibility/2006">
          <mc:Choice Requires="x14">
            <control shapeId="4168" r:id="rId41" name="Check Box 72">
              <controlPr defaultSize="0" autoFill="0" autoLine="0" autoPict="0">
                <anchor moveWithCells="1">
                  <from>
                    <xdr:col>3</xdr:col>
                    <xdr:colOff>914400</xdr:colOff>
                    <xdr:row>13</xdr:row>
                    <xdr:rowOff>0</xdr:rowOff>
                  </from>
                  <to>
                    <xdr:col>3</xdr:col>
                    <xdr:colOff>914400</xdr:colOff>
                    <xdr:row>14</xdr:row>
                    <xdr:rowOff>0</xdr:rowOff>
                  </to>
                </anchor>
              </controlPr>
            </control>
          </mc:Choice>
        </mc:AlternateContent>
        <mc:AlternateContent xmlns:mc="http://schemas.openxmlformats.org/markup-compatibility/2006">
          <mc:Choice Requires="x14">
            <control shapeId="4169" r:id="rId42" name="Check Box 73">
              <controlPr defaultSize="0" autoFill="0" autoLine="0" autoPict="0">
                <anchor moveWithCells="1">
                  <from>
                    <xdr:col>3</xdr:col>
                    <xdr:colOff>990600</xdr:colOff>
                    <xdr:row>13</xdr:row>
                    <xdr:rowOff>0</xdr:rowOff>
                  </from>
                  <to>
                    <xdr:col>3</xdr:col>
                    <xdr:colOff>990600</xdr:colOff>
                    <xdr:row>14</xdr:row>
                    <xdr:rowOff>0</xdr:rowOff>
                  </to>
                </anchor>
              </controlPr>
            </control>
          </mc:Choice>
        </mc:AlternateContent>
        <mc:AlternateContent xmlns:mc="http://schemas.openxmlformats.org/markup-compatibility/2006">
          <mc:Choice Requires="x14">
            <control shapeId="4170" r:id="rId43" name="Check Box 74">
              <controlPr defaultSize="0" autoFill="0" autoLine="0" autoPict="0">
                <anchor moveWithCells="1">
                  <from>
                    <xdr:col>3</xdr:col>
                    <xdr:colOff>914400</xdr:colOff>
                    <xdr:row>13</xdr:row>
                    <xdr:rowOff>0</xdr:rowOff>
                  </from>
                  <to>
                    <xdr:col>3</xdr:col>
                    <xdr:colOff>914400</xdr:colOff>
                    <xdr:row>14</xdr:row>
                    <xdr:rowOff>0</xdr:rowOff>
                  </to>
                </anchor>
              </controlPr>
            </control>
          </mc:Choice>
        </mc:AlternateContent>
        <mc:AlternateContent xmlns:mc="http://schemas.openxmlformats.org/markup-compatibility/2006">
          <mc:Choice Requires="x14">
            <control shapeId="4172" r:id="rId44" name="Check Box 76">
              <controlPr defaultSize="0" autoFill="0" autoLine="0" autoPict="0">
                <anchor moveWithCells="1">
                  <from>
                    <xdr:col>3</xdr:col>
                    <xdr:colOff>990600</xdr:colOff>
                    <xdr:row>20</xdr:row>
                    <xdr:rowOff>0</xdr:rowOff>
                  </from>
                  <to>
                    <xdr:col>3</xdr:col>
                    <xdr:colOff>990600</xdr:colOff>
                    <xdr:row>21</xdr:row>
                    <xdr:rowOff>0</xdr:rowOff>
                  </to>
                </anchor>
              </controlPr>
            </control>
          </mc:Choice>
        </mc:AlternateContent>
        <mc:AlternateContent xmlns:mc="http://schemas.openxmlformats.org/markup-compatibility/2006">
          <mc:Choice Requires="x14">
            <control shapeId="4173" r:id="rId45" name="Check Box 77">
              <controlPr defaultSize="0" autoFill="0" autoLine="0" autoPict="0">
                <anchor moveWithCells="1">
                  <from>
                    <xdr:col>3</xdr:col>
                    <xdr:colOff>990600</xdr:colOff>
                    <xdr:row>20</xdr:row>
                    <xdr:rowOff>0</xdr:rowOff>
                  </from>
                  <to>
                    <xdr:col>3</xdr:col>
                    <xdr:colOff>990600</xdr:colOff>
                    <xdr:row>21</xdr:row>
                    <xdr:rowOff>0</xdr:rowOff>
                  </to>
                </anchor>
              </controlPr>
            </control>
          </mc:Choice>
        </mc:AlternateContent>
        <mc:AlternateContent xmlns:mc="http://schemas.openxmlformats.org/markup-compatibility/2006">
          <mc:Choice Requires="x14">
            <control shapeId="4175" r:id="rId46" name="Check Box 79">
              <controlPr defaultSize="0" autoFill="0" autoLine="0" autoPict="0">
                <anchor moveWithCells="1">
                  <from>
                    <xdr:col>3</xdr:col>
                    <xdr:colOff>914400</xdr:colOff>
                    <xdr:row>20</xdr:row>
                    <xdr:rowOff>0</xdr:rowOff>
                  </from>
                  <to>
                    <xdr:col>3</xdr:col>
                    <xdr:colOff>914400</xdr:colOff>
                    <xdr:row>21</xdr:row>
                    <xdr:rowOff>0</xdr:rowOff>
                  </to>
                </anchor>
              </controlPr>
            </control>
          </mc:Choice>
        </mc:AlternateContent>
        <mc:AlternateContent xmlns:mc="http://schemas.openxmlformats.org/markup-compatibility/2006">
          <mc:Choice Requires="x14">
            <control shapeId="4176" r:id="rId47" name="Check Box 80">
              <controlPr defaultSize="0" autoFill="0" autoLine="0" autoPict="0">
                <anchor moveWithCells="1">
                  <from>
                    <xdr:col>3</xdr:col>
                    <xdr:colOff>990600</xdr:colOff>
                    <xdr:row>20</xdr:row>
                    <xdr:rowOff>0</xdr:rowOff>
                  </from>
                  <to>
                    <xdr:col>3</xdr:col>
                    <xdr:colOff>990600</xdr:colOff>
                    <xdr:row>21</xdr:row>
                    <xdr:rowOff>0</xdr:rowOff>
                  </to>
                </anchor>
              </controlPr>
            </control>
          </mc:Choice>
        </mc:AlternateContent>
        <mc:AlternateContent xmlns:mc="http://schemas.openxmlformats.org/markup-compatibility/2006">
          <mc:Choice Requires="x14">
            <control shapeId="4177" r:id="rId48" name="Check Box 81">
              <controlPr defaultSize="0" autoFill="0" autoLine="0" autoPict="0">
                <anchor moveWithCells="1">
                  <from>
                    <xdr:col>3</xdr:col>
                    <xdr:colOff>914400</xdr:colOff>
                    <xdr:row>20</xdr:row>
                    <xdr:rowOff>0</xdr:rowOff>
                  </from>
                  <to>
                    <xdr:col>3</xdr:col>
                    <xdr:colOff>914400</xdr:colOff>
                    <xdr:row>21</xdr:row>
                    <xdr:rowOff>0</xdr:rowOff>
                  </to>
                </anchor>
              </controlPr>
            </control>
          </mc:Choice>
        </mc:AlternateContent>
        <mc:AlternateContent xmlns:mc="http://schemas.openxmlformats.org/markup-compatibility/2006">
          <mc:Choice Requires="x14">
            <control shapeId="4179" r:id="rId49" name="Check Box 83">
              <controlPr defaultSize="0" autoFill="0" autoLine="0" autoPict="0">
                <anchor moveWithCells="1">
                  <from>
                    <xdr:col>3</xdr:col>
                    <xdr:colOff>990600</xdr:colOff>
                    <xdr:row>22</xdr:row>
                    <xdr:rowOff>0</xdr:rowOff>
                  </from>
                  <to>
                    <xdr:col>3</xdr:col>
                    <xdr:colOff>990600</xdr:colOff>
                    <xdr:row>23</xdr:row>
                    <xdr:rowOff>0</xdr:rowOff>
                  </to>
                </anchor>
              </controlPr>
            </control>
          </mc:Choice>
        </mc:AlternateContent>
        <mc:AlternateContent xmlns:mc="http://schemas.openxmlformats.org/markup-compatibility/2006">
          <mc:Choice Requires="x14">
            <control shapeId="4180" r:id="rId50" name="Check Box 84">
              <controlPr defaultSize="0" autoFill="0" autoLine="0" autoPict="0">
                <anchor moveWithCells="1">
                  <from>
                    <xdr:col>3</xdr:col>
                    <xdr:colOff>990600</xdr:colOff>
                    <xdr:row>22</xdr:row>
                    <xdr:rowOff>0</xdr:rowOff>
                  </from>
                  <to>
                    <xdr:col>3</xdr:col>
                    <xdr:colOff>990600</xdr:colOff>
                    <xdr:row>23</xdr:row>
                    <xdr:rowOff>0</xdr:rowOff>
                  </to>
                </anchor>
              </controlPr>
            </control>
          </mc:Choice>
        </mc:AlternateContent>
        <mc:AlternateContent xmlns:mc="http://schemas.openxmlformats.org/markup-compatibility/2006">
          <mc:Choice Requires="x14">
            <control shapeId="4182" r:id="rId51" name="Check Box 86">
              <controlPr defaultSize="0" autoFill="0" autoLine="0" autoPict="0">
                <anchor moveWithCells="1">
                  <from>
                    <xdr:col>3</xdr:col>
                    <xdr:colOff>914400</xdr:colOff>
                    <xdr:row>22</xdr:row>
                    <xdr:rowOff>0</xdr:rowOff>
                  </from>
                  <to>
                    <xdr:col>3</xdr:col>
                    <xdr:colOff>914400</xdr:colOff>
                    <xdr:row>23</xdr:row>
                    <xdr:rowOff>0</xdr:rowOff>
                  </to>
                </anchor>
              </controlPr>
            </control>
          </mc:Choice>
        </mc:AlternateContent>
        <mc:AlternateContent xmlns:mc="http://schemas.openxmlformats.org/markup-compatibility/2006">
          <mc:Choice Requires="x14">
            <control shapeId="4183" r:id="rId52" name="Check Box 87">
              <controlPr defaultSize="0" autoFill="0" autoLine="0" autoPict="0">
                <anchor moveWithCells="1">
                  <from>
                    <xdr:col>3</xdr:col>
                    <xdr:colOff>990600</xdr:colOff>
                    <xdr:row>22</xdr:row>
                    <xdr:rowOff>0</xdr:rowOff>
                  </from>
                  <to>
                    <xdr:col>3</xdr:col>
                    <xdr:colOff>990600</xdr:colOff>
                    <xdr:row>23</xdr:row>
                    <xdr:rowOff>0</xdr:rowOff>
                  </to>
                </anchor>
              </controlPr>
            </control>
          </mc:Choice>
        </mc:AlternateContent>
        <mc:AlternateContent xmlns:mc="http://schemas.openxmlformats.org/markup-compatibility/2006">
          <mc:Choice Requires="x14">
            <control shapeId="4184" r:id="rId53" name="Check Box 88">
              <controlPr defaultSize="0" autoFill="0" autoLine="0" autoPict="0">
                <anchor moveWithCells="1">
                  <from>
                    <xdr:col>3</xdr:col>
                    <xdr:colOff>914400</xdr:colOff>
                    <xdr:row>22</xdr:row>
                    <xdr:rowOff>0</xdr:rowOff>
                  </from>
                  <to>
                    <xdr:col>3</xdr:col>
                    <xdr:colOff>914400</xdr:colOff>
                    <xdr:row>23</xdr:row>
                    <xdr:rowOff>0</xdr:rowOff>
                  </to>
                </anchor>
              </controlPr>
            </control>
          </mc:Choice>
        </mc:AlternateContent>
        <mc:AlternateContent xmlns:mc="http://schemas.openxmlformats.org/markup-compatibility/2006">
          <mc:Choice Requires="x14">
            <control shapeId="4186" r:id="rId54" name="Check Box 90">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187" r:id="rId55" name="Check Box 91">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189" r:id="rId56" name="Check Box 93">
              <controlPr defaultSize="0" autoFill="0" autoLine="0" autoPict="0">
                <anchor moveWithCells="1">
                  <from>
                    <xdr:col>3</xdr:col>
                    <xdr:colOff>914400</xdr:colOff>
                    <xdr:row>23</xdr:row>
                    <xdr:rowOff>0</xdr:rowOff>
                  </from>
                  <to>
                    <xdr:col>3</xdr:col>
                    <xdr:colOff>914400</xdr:colOff>
                    <xdr:row>24</xdr:row>
                    <xdr:rowOff>0</xdr:rowOff>
                  </to>
                </anchor>
              </controlPr>
            </control>
          </mc:Choice>
        </mc:AlternateContent>
        <mc:AlternateContent xmlns:mc="http://schemas.openxmlformats.org/markup-compatibility/2006">
          <mc:Choice Requires="x14">
            <control shapeId="4190" r:id="rId57" name="Check Box 94">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191" r:id="rId58" name="Check Box 95">
              <controlPr defaultSize="0" autoFill="0" autoLine="0" autoPict="0">
                <anchor moveWithCells="1">
                  <from>
                    <xdr:col>3</xdr:col>
                    <xdr:colOff>914400</xdr:colOff>
                    <xdr:row>23</xdr:row>
                    <xdr:rowOff>0</xdr:rowOff>
                  </from>
                  <to>
                    <xdr:col>3</xdr:col>
                    <xdr:colOff>914400</xdr:colOff>
                    <xdr:row>24</xdr:row>
                    <xdr:rowOff>0</xdr:rowOff>
                  </to>
                </anchor>
              </controlPr>
            </control>
          </mc:Choice>
        </mc:AlternateContent>
        <mc:AlternateContent xmlns:mc="http://schemas.openxmlformats.org/markup-compatibility/2006">
          <mc:Choice Requires="x14">
            <control shapeId="4193" r:id="rId59" name="Check Box 97">
              <controlPr defaultSize="0" autoFill="0" autoLine="0" autoPict="0">
                <anchor moveWithCells="1">
                  <from>
                    <xdr:col>3</xdr:col>
                    <xdr:colOff>990600</xdr:colOff>
                    <xdr:row>24</xdr:row>
                    <xdr:rowOff>0</xdr:rowOff>
                  </from>
                  <to>
                    <xdr:col>3</xdr:col>
                    <xdr:colOff>990600</xdr:colOff>
                    <xdr:row>25</xdr:row>
                    <xdr:rowOff>0</xdr:rowOff>
                  </to>
                </anchor>
              </controlPr>
            </control>
          </mc:Choice>
        </mc:AlternateContent>
        <mc:AlternateContent xmlns:mc="http://schemas.openxmlformats.org/markup-compatibility/2006">
          <mc:Choice Requires="x14">
            <control shapeId="4194" r:id="rId60" name="Check Box 98">
              <controlPr defaultSize="0" autoFill="0" autoLine="0" autoPict="0">
                <anchor moveWithCells="1">
                  <from>
                    <xdr:col>3</xdr:col>
                    <xdr:colOff>990600</xdr:colOff>
                    <xdr:row>24</xdr:row>
                    <xdr:rowOff>0</xdr:rowOff>
                  </from>
                  <to>
                    <xdr:col>3</xdr:col>
                    <xdr:colOff>990600</xdr:colOff>
                    <xdr:row>25</xdr:row>
                    <xdr:rowOff>0</xdr:rowOff>
                  </to>
                </anchor>
              </controlPr>
            </control>
          </mc:Choice>
        </mc:AlternateContent>
        <mc:AlternateContent xmlns:mc="http://schemas.openxmlformats.org/markup-compatibility/2006">
          <mc:Choice Requires="x14">
            <control shapeId="4196" r:id="rId61" name="Check Box 100">
              <controlPr defaultSize="0" autoFill="0" autoLine="0" autoPict="0">
                <anchor moveWithCells="1">
                  <from>
                    <xdr:col>3</xdr:col>
                    <xdr:colOff>914400</xdr:colOff>
                    <xdr:row>24</xdr:row>
                    <xdr:rowOff>0</xdr:rowOff>
                  </from>
                  <to>
                    <xdr:col>3</xdr:col>
                    <xdr:colOff>914400</xdr:colOff>
                    <xdr:row>25</xdr:row>
                    <xdr:rowOff>0</xdr:rowOff>
                  </to>
                </anchor>
              </controlPr>
            </control>
          </mc:Choice>
        </mc:AlternateContent>
        <mc:AlternateContent xmlns:mc="http://schemas.openxmlformats.org/markup-compatibility/2006">
          <mc:Choice Requires="x14">
            <control shapeId="4197" r:id="rId62" name="Check Box 101">
              <controlPr defaultSize="0" autoFill="0" autoLine="0" autoPict="0">
                <anchor moveWithCells="1">
                  <from>
                    <xdr:col>3</xdr:col>
                    <xdr:colOff>990600</xdr:colOff>
                    <xdr:row>24</xdr:row>
                    <xdr:rowOff>0</xdr:rowOff>
                  </from>
                  <to>
                    <xdr:col>3</xdr:col>
                    <xdr:colOff>990600</xdr:colOff>
                    <xdr:row>25</xdr:row>
                    <xdr:rowOff>0</xdr:rowOff>
                  </to>
                </anchor>
              </controlPr>
            </control>
          </mc:Choice>
        </mc:AlternateContent>
        <mc:AlternateContent xmlns:mc="http://schemas.openxmlformats.org/markup-compatibility/2006">
          <mc:Choice Requires="x14">
            <control shapeId="4198" r:id="rId63" name="Check Box 102">
              <controlPr defaultSize="0" autoFill="0" autoLine="0" autoPict="0">
                <anchor moveWithCells="1">
                  <from>
                    <xdr:col>3</xdr:col>
                    <xdr:colOff>914400</xdr:colOff>
                    <xdr:row>24</xdr:row>
                    <xdr:rowOff>0</xdr:rowOff>
                  </from>
                  <to>
                    <xdr:col>3</xdr:col>
                    <xdr:colOff>914400</xdr:colOff>
                    <xdr:row>25</xdr:row>
                    <xdr:rowOff>0</xdr:rowOff>
                  </to>
                </anchor>
              </controlPr>
            </control>
          </mc:Choice>
        </mc:AlternateContent>
        <mc:AlternateContent xmlns:mc="http://schemas.openxmlformats.org/markup-compatibility/2006">
          <mc:Choice Requires="x14">
            <control shapeId="4200" r:id="rId64" name="Check Box 104">
              <controlPr defaultSize="0" autoFill="0" autoLine="0" autoPict="0">
                <anchor moveWithCells="1">
                  <from>
                    <xdr:col>15</xdr:col>
                    <xdr:colOff>57150</xdr:colOff>
                    <xdr:row>47</xdr:row>
                    <xdr:rowOff>28575</xdr:rowOff>
                  </from>
                  <to>
                    <xdr:col>15</xdr:col>
                    <xdr:colOff>314325</xdr:colOff>
                    <xdr:row>48</xdr:row>
                    <xdr:rowOff>28575</xdr:rowOff>
                  </to>
                </anchor>
              </controlPr>
            </control>
          </mc:Choice>
        </mc:AlternateContent>
        <mc:AlternateContent xmlns:mc="http://schemas.openxmlformats.org/markup-compatibility/2006">
          <mc:Choice Requires="x14">
            <control shapeId="4210" r:id="rId65" name="Check Box 114">
              <controlPr defaultSize="0" autoFill="0" autoLine="0" autoPict="0">
                <anchor moveWithCells="1">
                  <from>
                    <xdr:col>3</xdr:col>
                    <xdr:colOff>990600</xdr:colOff>
                    <xdr:row>26</xdr:row>
                    <xdr:rowOff>0</xdr:rowOff>
                  </from>
                  <to>
                    <xdr:col>3</xdr:col>
                    <xdr:colOff>990600</xdr:colOff>
                    <xdr:row>27</xdr:row>
                    <xdr:rowOff>0</xdr:rowOff>
                  </to>
                </anchor>
              </controlPr>
            </control>
          </mc:Choice>
        </mc:AlternateContent>
        <mc:AlternateContent xmlns:mc="http://schemas.openxmlformats.org/markup-compatibility/2006">
          <mc:Choice Requires="x14">
            <control shapeId="4211" r:id="rId66" name="Check Box 115">
              <controlPr defaultSize="0" autoFill="0" autoLine="0" autoPict="0">
                <anchor moveWithCells="1">
                  <from>
                    <xdr:col>3</xdr:col>
                    <xdr:colOff>914400</xdr:colOff>
                    <xdr:row>26</xdr:row>
                    <xdr:rowOff>0</xdr:rowOff>
                  </from>
                  <to>
                    <xdr:col>3</xdr:col>
                    <xdr:colOff>914400</xdr:colOff>
                    <xdr:row>27</xdr:row>
                    <xdr:rowOff>0</xdr:rowOff>
                  </to>
                </anchor>
              </controlPr>
            </control>
          </mc:Choice>
        </mc:AlternateContent>
        <mc:AlternateContent xmlns:mc="http://schemas.openxmlformats.org/markup-compatibility/2006">
          <mc:Choice Requires="x14">
            <control shapeId="4212" r:id="rId67" name="Check Box 116">
              <controlPr defaultSize="0" autoFill="0" autoLine="0" autoPict="0">
                <anchor moveWithCells="1">
                  <from>
                    <xdr:col>3</xdr:col>
                    <xdr:colOff>990600</xdr:colOff>
                    <xdr:row>26</xdr:row>
                    <xdr:rowOff>0</xdr:rowOff>
                  </from>
                  <to>
                    <xdr:col>3</xdr:col>
                    <xdr:colOff>990600</xdr:colOff>
                    <xdr:row>27</xdr:row>
                    <xdr:rowOff>0</xdr:rowOff>
                  </to>
                </anchor>
              </controlPr>
            </control>
          </mc:Choice>
        </mc:AlternateContent>
        <mc:AlternateContent xmlns:mc="http://schemas.openxmlformats.org/markup-compatibility/2006">
          <mc:Choice Requires="x14">
            <control shapeId="4213" r:id="rId68" name="Check Box 117">
              <controlPr defaultSize="0" autoFill="0" autoLine="0" autoPict="0">
                <anchor moveWithCells="1">
                  <from>
                    <xdr:col>3</xdr:col>
                    <xdr:colOff>990600</xdr:colOff>
                    <xdr:row>26</xdr:row>
                    <xdr:rowOff>0</xdr:rowOff>
                  </from>
                  <to>
                    <xdr:col>3</xdr:col>
                    <xdr:colOff>990600</xdr:colOff>
                    <xdr:row>27</xdr:row>
                    <xdr:rowOff>0</xdr:rowOff>
                  </to>
                </anchor>
              </controlPr>
            </control>
          </mc:Choice>
        </mc:AlternateContent>
        <mc:AlternateContent xmlns:mc="http://schemas.openxmlformats.org/markup-compatibility/2006">
          <mc:Choice Requires="x14">
            <control shapeId="4215" r:id="rId69" name="Check Box 119">
              <controlPr defaultSize="0" autoFill="0" autoLine="0" autoPict="0">
                <anchor moveWithCells="1">
                  <from>
                    <xdr:col>3</xdr:col>
                    <xdr:colOff>914400</xdr:colOff>
                    <xdr:row>26</xdr:row>
                    <xdr:rowOff>0</xdr:rowOff>
                  </from>
                  <to>
                    <xdr:col>3</xdr:col>
                    <xdr:colOff>914400</xdr:colOff>
                    <xdr:row>27</xdr:row>
                    <xdr:rowOff>0</xdr:rowOff>
                  </to>
                </anchor>
              </controlPr>
            </control>
          </mc:Choice>
        </mc:AlternateContent>
        <mc:AlternateContent xmlns:mc="http://schemas.openxmlformats.org/markup-compatibility/2006">
          <mc:Choice Requires="x14">
            <control shapeId="4216" r:id="rId70" name="Check Box 120">
              <controlPr defaultSize="0" autoFill="0" autoLine="0" autoPict="0">
                <anchor moveWithCells="1">
                  <from>
                    <xdr:col>3</xdr:col>
                    <xdr:colOff>990600</xdr:colOff>
                    <xdr:row>26</xdr:row>
                    <xdr:rowOff>0</xdr:rowOff>
                  </from>
                  <to>
                    <xdr:col>3</xdr:col>
                    <xdr:colOff>990600</xdr:colOff>
                    <xdr:row>27</xdr:row>
                    <xdr:rowOff>0</xdr:rowOff>
                  </to>
                </anchor>
              </controlPr>
            </control>
          </mc:Choice>
        </mc:AlternateContent>
        <mc:AlternateContent xmlns:mc="http://schemas.openxmlformats.org/markup-compatibility/2006">
          <mc:Choice Requires="x14">
            <control shapeId="4217" r:id="rId71" name="Check Box 121">
              <controlPr defaultSize="0" autoFill="0" autoLine="0" autoPict="0">
                <anchor moveWithCells="1">
                  <from>
                    <xdr:col>3</xdr:col>
                    <xdr:colOff>914400</xdr:colOff>
                    <xdr:row>26</xdr:row>
                    <xdr:rowOff>0</xdr:rowOff>
                  </from>
                  <to>
                    <xdr:col>3</xdr:col>
                    <xdr:colOff>914400</xdr:colOff>
                    <xdr:row>27</xdr:row>
                    <xdr:rowOff>0</xdr:rowOff>
                  </to>
                </anchor>
              </controlPr>
            </control>
          </mc:Choice>
        </mc:AlternateContent>
        <mc:AlternateContent xmlns:mc="http://schemas.openxmlformats.org/markup-compatibility/2006">
          <mc:Choice Requires="x14">
            <control shapeId="4223" r:id="rId72" name="Check Box 127">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224" r:id="rId73" name="Check Box 128">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225" r:id="rId74" name="Check Box 129">
              <controlPr defaultSize="0" autoFill="0" autoLine="0" autoPict="0">
                <anchor moveWithCells="1">
                  <from>
                    <xdr:col>3</xdr:col>
                    <xdr:colOff>914400</xdr:colOff>
                    <xdr:row>23</xdr:row>
                    <xdr:rowOff>0</xdr:rowOff>
                  </from>
                  <to>
                    <xdr:col>3</xdr:col>
                    <xdr:colOff>914400</xdr:colOff>
                    <xdr:row>24</xdr:row>
                    <xdr:rowOff>0</xdr:rowOff>
                  </to>
                </anchor>
              </controlPr>
            </control>
          </mc:Choice>
        </mc:AlternateContent>
        <mc:AlternateContent xmlns:mc="http://schemas.openxmlformats.org/markup-compatibility/2006">
          <mc:Choice Requires="x14">
            <control shapeId="4226" r:id="rId75" name="Check Box 130">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227" r:id="rId76" name="Check Box 131">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228" r:id="rId77" name="Check Box 132">
              <controlPr defaultSize="0" autoFill="0" autoLine="0" autoPict="0">
                <anchor moveWithCells="1">
                  <from>
                    <xdr:col>3</xdr:col>
                    <xdr:colOff>914400</xdr:colOff>
                    <xdr:row>23</xdr:row>
                    <xdr:rowOff>0</xdr:rowOff>
                  </from>
                  <to>
                    <xdr:col>3</xdr:col>
                    <xdr:colOff>914400</xdr:colOff>
                    <xdr:row>24</xdr:row>
                    <xdr:rowOff>0</xdr:rowOff>
                  </to>
                </anchor>
              </controlPr>
            </control>
          </mc:Choice>
        </mc:AlternateContent>
        <mc:AlternateContent xmlns:mc="http://schemas.openxmlformats.org/markup-compatibility/2006">
          <mc:Choice Requires="x14">
            <control shapeId="4229" r:id="rId78" name="Check Box 133">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230" r:id="rId79" name="Check Box 134">
              <controlPr defaultSize="0" autoFill="0" autoLine="0" autoPict="0">
                <anchor moveWithCells="1">
                  <from>
                    <xdr:col>3</xdr:col>
                    <xdr:colOff>914400</xdr:colOff>
                    <xdr:row>23</xdr:row>
                    <xdr:rowOff>0</xdr:rowOff>
                  </from>
                  <to>
                    <xdr:col>3</xdr:col>
                    <xdr:colOff>914400</xdr:colOff>
                    <xdr:row>24</xdr:row>
                    <xdr:rowOff>0</xdr:rowOff>
                  </to>
                </anchor>
              </controlPr>
            </control>
          </mc:Choice>
        </mc:AlternateContent>
        <mc:AlternateContent xmlns:mc="http://schemas.openxmlformats.org/markup-compatibility/2006">
          <mc:Choice Requires="x14">
            <control shapeId="4231" r:id="rId80" name="Check Box 135">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232" r:id="rId81" name="Check Box 136">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233" r:id="rId82" name="Check Box 137">
              <controlPr defaultSize="0" autoFill="0" autoLine="0" autoPict="0">
                <anchor moveWithCells="1">
                  <from>
                    <xdr:col>3</xdr:col>
                    <xdr:colOff>914400</xdr:colOff>
                    <xdr:row>23</xdr:row>
                    <xdr:rowOff>0</xdr:rowOff>
                  </from>
                  <to>
                    <xdr:col>3</xdr:col>
                    <xdr:colOff>914400</xdr:colOff>
                    <xdr:row>24</xdr:row>
                    <xdr:rowOff>0</xdr:rowOff>
                  </to>
                </anchor>
              </controlPr>
            </control>
          </mc:Choice>
        </mc:AlternateContent>
        <mc:AlternateContent xmlns:mc="http://schemas.openxmlformats.org/markup-compatibility/2006">
          <mc:Choice Requires="x14">
            <control shapeId="4234" r:id="rId83" name="Check Box 138">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235" r:id="rId84" name="Check Box 139">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236" r:id="rId85" name="Check Box 140">
              <controlPr defaultSize="0" autoFill="0" autoLine="0" autoPict="0">
                <anchor moveWithCells="1">
                  <from>
                    <xdr:col>3</xdr:col>
                    <xdr:colOff>914400</xdr:colOff>
                    <xdr:row>23</xdr:row>
                    <xdr:rowOff>0</xdr:rowOff>
                  </from>
                  <to>
                    <xdr:col>3</xdr:col>
                    <xdr:colOff>914400</xdr:colOff>
                    <xdr:row>24</xdr:row>
                    <xdr:rowOff>0</xdr:rowOff>
                  </to>
                </anchor>
              </controlPr>
            </control>
          </mc:Choice>
        </mc:AlternateContent>
        <mc:AlternateContent xmlns:mc="http://schemas.openxmlformats.org/markup-compatibility/2006">
          <mc:Choice Requires="x14">
            <control shapeId="4237" r:id="rId86" name="Check Box 141">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238" r:id="rId87" name="Check Box 142">
              <controlPr defaultSize="0" autoFill="0" autoLine="0" autoPict="0">
                <anchor moveWithCells="1">
                  <from>
                    <xdr:col>3</xdr:col>
                    <xdr:colOff>914400</xdr:colOff>
                    <xdr:row>23</xdr:row>
                    <xdr:rowOff>0</xdr:rowOff>
                  </from>
                  <to>
                    <xdr:col>3</xdr:col>
                    <xdr:colOff>914400</xdr:colOff>
                    <xdr:row>24</xdr:row>
                    <xdr:rowOff>0</xdr:rowOff>
                  </to>
                </anchor>
              </controlPr>
            </control>
          </mc:Choice>
        </mc:AlternateContent>
        <mc:AlternateContent xmlns:mc="http://schemas.openxmlformats.org/markup-compatibility/2006">
          <mc:Choice Requires="x14">
            <control shapeId="4239" r:id="rId88" name="Check Box 143">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240" r:id="rId89" name="Check Box 144">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241" r:id="rId90" name="Check Box 145">
              <controlPr defaultSize="0" autoFill="0" autoLine="0" autoPict="0">
                <anchor moveWithCells="1">
                  <from>
                    <xdr:col>3</xdr:col>
                    <xdr:colOff>914400</xdr:colOff>
                    <xdr:row>23</xdr:row>
                    <xdr:rowOff>0</xdr:rowOff>
                  </from>
                  <to>
                    <xdr:col>3</xdr:col>
                    <xdr:colOff>914400</xdr:colOff>
                    <xdr:row>24</xdr:row>
                    <xdr:rowOff>0</xdr:rowOff>
                  </to>
                </anchor>
              </controlPr>
            </control>
          </mc:Choice>
        </mc:AlternateContent>
        <mc:AlternateContent xmlns:mc="http://schemas.openxmlformats.org/markup-compatibility/2006">
          <mc:Choice Requires="x14">
            <control shapeId="4242" r:id="rId91" name="Check Box 146">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243" r:id="rId92" name="Check Box 147">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244" r:id="rId93" name="Check Box 148">
              <controlPr defaultSize="0" autoFill="0" autoLine="0" autoPict="0">
                <anchor moveWithCells="1">
                  <from>
                    <xdr:col>3</xdr:col>
                    <xdr:colOff>914400</xdr:colOff>
                    <xdr:row>23</xdr:row>
                    <xdr:rowOff>0</xdr:rowOff>
                  </from>
                  <to>
                    <xdr:col>3</xdr:col>
                    <xdr:colOff>914400</xdr:colOff>
                    <xdr:row>24</xdr:row>
                    <xdr:rowOff>0</xdr:rowOff>
                  </to>
                </anchor>
              </controlPr>
            </control>
          </mc:Choice>
        </mc:AlternateContent>
        <mc:AlternateContent xmlns:mc="http://schemas.openxmlformats.org/markup-compatibility/2006">
          <mc:Choice Requires="x14">
            <control shapeId="4245" r:id="rId94" name="Check Box 149">
              <controlPr defaultSize="0" autoFill="0" autoLine="0" autoPict="0">
                <anchor moveWithCells="1">
                  <from>
                    <xdr:col>3</xdr:col>
                    <xdr:colOff>990600</xdr:colOff>
                    <xdr:row>23</xdr:row>
                    <xdr:rowOff>0</xdr:rowOff>
                  </from>
                  <to>
                    <xdr:col>3</xdr:col>
                    <xdr:colOff>990600</xdr:colOff>
                    <xdr:row>24</xdr:row>
                    <xdr:rowOff>0</xdr:rowOff>
                  </to>
                </anchor>
              </controlPr>
            </control>
          </mc:Choice>
        </mc:AlternateContent>
        <mc:AlternateContent xmlns:mc="http://schemas.openxmlformats.org/markup-compatibility/2006">
          <mc:Choice Requires="x14">
            <control shapeId="4246" r:id="rId95" name="Check Box 150">
              <controlPr defaultSize="0" autoFill="0" autoLine="0" autoPict="0">
                <anchor moveWithCells="1">
                  <from>
                    <xdr:col>3</xdr:col>
                    <xdr:colOff>914400</xdr:colOff>
                    <xdr:row>23</xdr:row>
                    <xdr:rowOff>0</xdr:rowOff>
                  </from>
                  <to>
                    <xdr:col>3</xdr:col>
                    <xdr:colOff>914400</xdr:colOff>
                    <xdr:row>24</xdr:row>
                    <xdr:rowOff>0</xdr:rowOff>
                  </to>
                </anchor>
              </controlPr>
            </control>
          </mc:Choice>
        </mc:AlternateContent>
        <mc:AlternateContent xmlns:mc="http://schemas.openxmlformats.org/markup-compatibility/2006">
          <mc:Choice Requires="x14">
            <control shapeId="4247" r:id="rId96" name="Check Box 151">
              <controlPr defaultSize="0" autoFill="0" autoLine="0" autoPict="0">
                <anchor moveWithCells="1">
                  <from>
                    <xdr:col>3</xdr:col>
                    <xdr:colOff>990600</xdr:colOff>
                    <xdr:row>24</xdr:row>
                    <xdr:rowOff>0</xdr:rowOff>
                  </from>
                  <to>
                    <xdr:col>3</xdr:col>
                    <xdr:colOff>990600</xdr:colOff>
                    <xdr:row>25</xdr:row>
                    <xdr:rowOff>0</xdr:rowOff>
                  </to>
                </anchor>
              </controlPr>
            </control>
          </mc:Choice>
        </mc:AlternateContent>
        <mc:AlternateContent xmlns:mc="http://schemas.openxmlformats.org/markup-compatibility/2006">
          <mc:Choice Requires="x14">
            <control shapeId="4248" r:id="rId97" name="Check Box 152">
              <controlPr defaultSize="0" autoFill="0" autoLine="0" autoPict="0">
                <anchor moveWithCells="1">
                  <from>
                    <xdr:col>3</xdr:col>
                    <xdr:colOff>990600</xdr:colOff>
                    <xdr:row>24</xdr:row>
                    <xdr:rowOff>0</xdr:rowOff>
                  </from>
                  <to>
                    <xdr:col>3</xdr:col>
                    <xdr:colOff>990600</xdr:colOff>
                    <xdr:row>25</xdr:row>
                    <xdr:rowOff>0</xdr:rowOff>
                  </to>
                </anchor>
              </controlPr>
            </control>
          </mc:Choice>
        </mc:AlternateContent>
        <mc:AlternateContent xmlns:mc="http://schemas.openxmlformats.org/markup-compatibility/2006">
          <mc:Choice Requires="x14">
            <control shapeId="4249" r:id="rId98" name="Check Box 153">
              <controlPr defaultSize="0" autoFill="0" autoLine="0" autoPict="0">
                <anchor moveWithCells="1">
                  <from>
                    <xdr:col>3</xdr:col>
                    <xdr:colOff>914400</xdr:colOff>
                    <xdr:row>24</xdr:row>
                    <xdr:rowOff>0</xdr:rowOff>
                  </from>
                  <to>
                    <xdr:col>3</xdr:col>
                    <xdr:colOff>914400</xdr:colOff>
                    <xdr:row>25</xdr:row>
                    <xdr:rowOff>0</xdr:rowOff>
                  </to>
                </anchor>
              </controlPr>
            </control>
          </mc:Choice>
        </mc:AlternateContent>
        <mc:AlternateContent xmlns:mc="http://schemas.openxmlformats.org/markup-compatibility/2006">
          <mc:Choice Requires="x14">
            <control shapeId="4250" r:id="rId99" name="Check Box 154">
              <controlPr defaultSize="0" autoFill="0" autoLine="0" autoPict="0">
                <anchor moveWithCells="1">
                  <from>
                    <xdr:col>3</xdr:col>
                    <xdr:colOff>990600</xdr:colOff>
                    <xdr:row>24</xdr:row>
                    <xdr:rowOff>0</xdr:rowOff>
                  </from>
                  <to>
                    <xdr:col>3</xdr:col>
                    <xdr:colOff>990600</xdr:colOff>
                    <xdr:row>25</xdr:row>
                    <xdr:rowOff>0</xdr:rowOff>
                  </to>
                </anchor>
              </controlPr>
            </control>
          </mc:Choice>
        </mc:AlternateContent>
        <mc:AlternateContent xmlns:mc="http://schemas.openxmlformats.org/markup-compatibility/2006">
          <mc:Choice Requires="x14">
            <control shapeId="4251" r:id="rId100" name="Check Box 155">
              <controlPr defaultSize="0" autoFill="0" autoLine="0" autoPict="0">
                <anchor moveWithCells="1">
                  <from>
                    <xdr:col>3</xdr:col>
                    <xdr:colOff>990600</xdr:colOff>
                    <xdr:row>24</xdr:row>
                    <xdr:rowOff>0</xdr:rowOff>
                  </from>
                  <to>
                    <xdr:col>3</xdr:col>
                    <xdr:colOff>990600</xdr:colOff>
                    <xdr:row>25</xdr:row>
                    <xdr:rowOff>0</xdr:rowOff>
                  </to>
                </anchor>
              </controlPr>
            </control>
          </mc:Choice>
        </mc:AlternateContent>
        <mc:AlternateContent xmlns:mc="http://schemas.openxmlformats.org/markup-compatibility/2006">
          <mc:Choice Requires="x14">
            <control shapeId="4252" r:id="rId101" name="Check Box 156">
              <controlPr defaultSize="0" autoFill="0" autoLine="0" autoPict="0">
                <anchor moveWithCells="1">
                  <from>
                    <xdr:col>3</xdr:col>
                    <xdr:colOff>914400</xdr:colOff>
                    <xdr:row>24</xdr:row>
                    <xdr:rowOff>0</xdr:rowOff>
                  </from>
                  <to>
                    <xdr:col>3</xdr:col>
                    <xdr:colOff>914400</xdr:colOff>
                    <xdr:row>25</xdr:row>
                    <xdr:rowOff>0</xdr:rowOff>
                  </to>
                </anchor>
              </controlPr>
            </control>
          </mc:Choice>
        </mc:AlternateContent>
        <mc:AlternateContent xmlns:mc="http://schemas.openxmlformats.org/markup-compatibility/2006">
          <mc:Choice Requires="x14">
            <control shapeId="4253" r:id="rId102" name="Check Box 157">
              <controlPr defaultSize="0" autoFill="0" autoLine="0" autoPict="0">
                <anchor moveWithCells="1">
                  <from>
                    <xdr:col>3</xdr:col>
                    <xdr:colOff>990600</xdr:colOff>
                    <xdr:row>24</xdr:row>
                    <xdr:rowOff>0</xdr:rowOff>
                  </from>
                  <to>
                    <xdr:col>3</xdr:col>
                    <xdr:colOff>990600</xdr:colOff>
                    <xdr:row>25</xdr:row>
                    <xdr:rowOff>0</xdr:rowOff>
                  </to>
                </anchor>
              </controlPr>
            </control>
          </mc:Choice>
        </mc:AlternateContent>
        <mc:AlternateContent xmlns:mc="http://schemas.openxmlformats.org/markup-compatibility/2006">
          <mc:Choice Requires="x14">
            <control shapeId="4254" r:id="rId103" name="Check Box 158">
              <controlPr defaultSize="0" autoFill="0" autoLine="0" autoPict="0">
                <anchor moveWithCells="1">
                  <from>
                    <xdr:col>3</xdr:col>
                    <xdr:colOff>914400</xdr:colOff>
                    <xdr:row>24</xdr:row>
                    <xdr:rowOff>0</xdr:rowOff>
                  </from>
                  <to>
                    <xdr:col>3</xdr:col>
                    <xdr:colOff>914400</xdr:colOff>
                    <xdr:row>25</xdr:row>
                    <xdr:rowOff>0</xdr:rowOff>
                  </to>
                </anchor>
              </controlPr>
            </control>
          </mc:Choice>
        </mc:AlternateContent>
        <mc:AlternateContent xmlns:mc="http://schemas.openxmlformats.org/markup-compatibility/2006">
          <mc:Choice Requires="x14">
            <control shapeId="4255" r:id="rId104" name="Check Box 159">
              <controlPr defaultSize="0" autoFill="0" autoLine="0" autoPict="0">
                <anchor moveWithCells="1">
                  <from>
                    <xdr:col>3</xdr:col>
                    <xdr:colOff>990600</xdr:colOff>
                    <xdr:row>25</xdr:row>
                    <xdr:rowOff>0</xdr:rowOff>
                  </from>
                  <to>
                    <xdr:col>3</xdr:col>
                    <xdr:colOff>990600</xdr:colOff>
                    <xdr:row>26</xdr:row>
                    <xdr:rowOff>0</xdr:rowOff>
                  </to>
                </anchor>
              </controlPr>
            </control>
          </mc:Choice>
        </mc:AlternateContent>
        <mc:AlternateContent xmlns:mc="http://schemas.openxmlformats.org/markup-compatibility/2006">
          <mc:Choice Requires="x14">
            <control shapeId="4256" r:id="rId105" name="Check Box 160">
              <controlPr defaultSize="0" autoFill="0" autoLine="0" autoPict="0">
                <anchor moveWithCells="1">
                  <from>
                    <xdr:col>3</xdr:col>
                    <xdr:colOff>990600</xdr:colOff>
                    <xdr:row>25</xdr:row>
                    <xdr:rowOff>0</xdr:rowOff>
                  </from>
                  <to>
                    <xdr:col>3</xdr:col>
                    <xdr:colOff>990600</xdr:colOff>
                    <xdr:row>26</xdr:row>
                    <xdr:rowOff>0</xdr:rowOff>
                  </to>
                </anchor>
              </controlPr>
            </control>
          </mc:Choice>
        </mc:AlternateContent>
        <mc:AlternateContent xmlns:mc="http://schemas.openxmlformats.org/markup-compatibility/2006">
          <mc:Choice Requires="x14">
            <control shapeId="4257" r:id="rId106" name="Check Box 161">
              <controlPr defaultSize="0" autoFill="0" autoLine="0" autoPict="0">
                <anchor moveWithCells="1">
                  <from>
                    <xdr:col>3</xdr:col>
                    <xdr:colOff>914400</xdr:colOff>
                    <xdr:row>25</xdr:row>
                    <xdr:rowOff>0</xdr:rowOff>
                  </from>
                  <to>
                    <xdr:col>3</xdr:col>
                    <xdr:colOff>914400</xdr:colOff>
                    <xdr:row>26</xdr:row>
                    <xdr:rowOff>0</xdr:rowOff>
                  </to>
                </anchor>
              </controlPr>
            </control>
          </mc:Choice>
        </mc:AlternateContent>
        <mc:AlternateContent xmlns:mc="http://schemas.openxmlformats.org/markup-compatibility/2006">
          <mc:Choice Requires="x14">
            <control shapeId="4258" r:id="rId107" name="Check Box 162">
              <controlPr defaultSize="0" autoFill="0" autoLine="0" autoPict="0">
                <anchor moveWithCells="1">
                  <from>
                    <xdr:col>3</xdr:col>
                    <xdr:colOff>990600</xdr:colOff>
                    <xdr:row>25</xdr:row>
                    <xdr:rowOff>0</xdr:rowOff>
                  </from>
                  <to>
                    <xdr:col>3</xdr:col>
                    <xdr:colOff>990600</xdr:colOff>
                    <xdr:row>26</xdr:row>
                    <xdr:rowOff>0</xdr:rowOff>
                  </to>
                </anchor>
              </controlPr>
            </control>
          </mc:Choice>
        </mc:AlternateContent>
        <mc:AlternateContent xmlns:mc="http://schemas.openxmlformats.org/markup-compatibility/2006">
          <mc:Choice Requires="x14">
            <control shapeId="4259" r:id="rId108" name="Check Box 163">
              <controlPr defaultSize="0" autoFill="0" autoLine="0" autoPict="0">
                <anchor moveWithCells="1">
                  <from>
                    <xdr:col>3</xdr:col>
                    <xdr:colOff>990600</xdr:colOff>
                    <xdr:row>25</xdr:row>
                    <xdr:rowOff>0</xdr:rowOff>
                  </from>
                  <to>
                    <xdr:col>3</xdr:col>
                    <xdr:colOff>990600</xdr:colOff>
                    <xdr:row>26</xdr:row>
                    <xdr:rowOff>0</xdr:rowOff>
                  </to>
                </anchor>
              </controlPr>
            </control>
          </mc:Choice>
        </mc:AlternateContent>
        <mc:AlternateContent xmlns:mc="http://schemas.openxmlformats.org/markup-compatibility/2006">
          <mc:Choice Requires="x14">
            <control shapeId="4260" r:id="rId109" name="Check Box 164">
              <controlPr defaultSize="0" autoFill="0" autoLine="0" autoPict="0">
                <anchor moveWithCells="1">
                  <from>
                    <xdr:col>3</xdr:col>
                    <xdr:colOff>914400</xdr:colOff>
                    <xdr:row>25</xdr:row>
                    <xdr:rowOff>0</xdr:rowOff>
                  </from>
                  <to>
                    <xdr:col>3</xdr:col>
                    <xdr:colOff>914400</xdr:colOff>
                    <xdr:row>26</xdr:row>
                    <xdr:rowOff>0</xdr:rowOff>
                  </to>
                </anchor>
              </controlPr>
            </control>
          </mc:Choice>
        </mc:AlternateContent>
        <mc:AlternateContent xmlns:mc="http://schemas.openxmlformats.org/markup-compatibility/2006">
          <mc:Choice Requires="x14">
            <control shapeId="4261" r:id="rId110" name="Check Box 165">
              <controlPr defaultSize="0" autoFill="0" autoLine="0" autoPict="0">
                <anchor moveWithCells="1">
                  <from>
                    <xdr:col>3</xdr:col>
                    <xdr:colOff>990600</xdr:colOff>
                    <xdr:row>25</xdr:row>
                    <xdr:rowOff>0</xdr:rowOff>
                  </from>
                  <to>
                    <xdr:col>3</xdr:col>
                    <xdr:colOff>990600</xdr:colOff>
                    <xdr:row>26</xdr:row>
                    <xdr:rowOff>0</xdr:rowOff>
                  </to>
                </anchor>
              </controlPr>
            </control>
          </mc:Choice>
        </mc:AlternateContent>
        <mc:AlternateContent xmlns:mc="http://schemas.openxmlformats.org/markup-compatibility/2006">
          <mc:Choice Requires="x14">
            <control shapeId="4262" r:id="rId111" name="Check Box 166">
              <controlPr defaultSize="0" autoFill="0" autoLine="0" autoPict="0">
                <anchor moveWithCells="1">
                  <from>
                    <xdr:col>3</xdr:col>
                    <xdr:colOff>914400</xdr:colOff>
                    <xdr:row>25</xdr:row>
                    <xdr:rowOff>0</xdr:rowOff>
                  </from>
                  <to>
                    <xdr:col>3</xdr:col>
                    <xdr:colOff>914400</xdr:colOff>
                    <xdr:row>26</xdr:row>
                    <xdr:rowOff>0</xdr:rowOff>
                  </to>
                </anchor>
              </controlPr>
            </control>
          </mc:Choice>
        </mc:AlternateContent>
        <mc:AlternateContent xmlns:mc="http://schemas.openxmlformats.org/markup-compatibility/2006">
          <mc:Choice Requires="x14">
            <control shapeId="4263" r:id="rId112" name="Check Box 167">
              <controlPr defaultSize="0" autoFill="0" autoLine="0" autoPict="0">
                <anchor moveWithCells="1">
                  <from>
                    <xdr:col>3</xdr:col>
                    <xdr:colOff>990600</xdr:colOff>
                    <xdr:row>26</xdr:row>
                    <xdr:rowOff>0</xdr:rowOff>
                  </from>
                  <to>
                    <xdr:col>3</xdr:col>
                    <xdr:colOff>990600</xdr:colOff>
                    <xdr:row>27</xdr:row>
                    <xdr:rowOff>0</xdr:rowOff>
                  </to>
                </anchor>
              </controlPr>
            </control>
          </mc:Choice>
        </mc:AlternateContent>
        <mc:AlternateContent xmlns:mc="http://schemas.openxmlformats.org/markup-compatibility/2006">
          <mc:Choice Requires="x14">
            <control shapeId="4264" r:id="rId113" name="Check Box 168">
              <controlPr defaultSize="0" autoFill="0" autoLine="0" autoPict="0">
                <anchor moveWithCells="1">
                  <from>
                    <xdr:col>3</xdr:col>
                    <xdr:colOff>990600</xdr:colOff>
                    <xdr:row>26</xdr:row>
                    <xdr:rowOff>0</xdr:rowOff>
                  </from>
                  <to>
                    <xdr:col>3</xdr:col>
                    <xdr:colOff>990600</xdr:colOff>
                    <xdr:row>27</xdr:row>
                    <xdr:rowOff>0</xdr:rowOff>
                  </to>
                </anchor>
              </controlPr>
            </control>
          </mc:Choice>
        </mc:AlternateContent>
        <mc:AlternateContent xmlns:mc="http://schemas.openxmlformats.org/markup-compatibility/2006">
          <mc:Choice Requires="x14">
            <control shapeId="4265" r:id="rId114" name="Check Box 169">
              <controlPr defaultSize="0" autoFill="0" autoLine="0" autoPict="0">
                <anchor moveWithCells="1">
                  <from>
                    <xdr:col>3</xdr:col>
                    <xdr:colOff>914400</xdr:colOff>
                    <xdr:row>26</xdr:row>
                    <xdr:rowOff>0</xdr:rowOff>
                  </from>
                  <to>
                    <xdr:col>3</xdr:col>
                    <xdr:colOff>914400</xdr:colOff>
                    <xdr:row>27</xdr:row>
                    <xdr:rowOff>0</xdr:rowOff>
                  </to>
                </anchor>
              </controlPr>
            </control>
          </mc:Choice>
        </mc:AlternateContent>
        <mc:AlternateContent xmlns:mc="http://schemas.openxmlformats.org/markup-compatibility/2006">
          <mc:Choice Requires="x14">
            <control shapeId="4266" r:id="rId115" name="Check Box 170">
              <controlPr defaultSize="0" autoFill="0" autoLine="0" autoPict="0">
                <anchor moveWithCells="1">
                  <from>
                    <xdr:col>3</xdr:col>
                    <xdr:colOff>990600</xdr:colOff>
                    <xdr:row>26</xdr:row>
                    <xdr:rowOff>0</xdr:rowOff>
                  </from>
                  <to>
                    <xdr:col>3</xdr:col>
                    <xdr:colOff>990600</xdr:colOff>
                    <xdr:row>27</xdr:row>
                    <xdr:rowOff>0</xdr:rowOff>
                  </to>
                </anchor>
              </controlPr>
            </control>
          </mc:Choice>
        </mc:AlternateContent>
        <mc:AlternateContent xmlns:mc="http://schemas.openxmlformats.org/markup-compatibility/2006">
          <mc:Choice Requires="x14">
            <control shapeId="4267" r:id="rId116" name="Check Box 171">
              <controlPr defaultSize="0" autoFill="0" autoLine="0" autoPict="0">
                <anchor moveWithCells="1">
                  <from>
                    <xdr:col>3</xdr:col>
                    <xdr:colOff>990600</xdr:colOff>
                    <xdr:row>26</xdr:row>
                    <xdr:rowOff>0</xdr:rowOff>
                  </from>
                  <to>
                    <xdr:col>3</xdr:col>
                    <xdr:colOff>990600</xdr:colOff>
                    <xdr:row>27</xdr:row>
                    <xdr:rowOff>0</xdr:rowOff>
                  </to>
                </anchor>
              </controlPr>
            </control>
          </mc:Choice>
        </mc:AlternateContent>
        <mc:AlternateContent xmlns:mc="http://schemas.openxmlformats.org/markup-compatibility/2006">
          <mc:Choice Requires="x14">
            <control shapeId="4268" r:id="rId117" name="Check Box 172">
              <controlPr defaultSize="0" autoFill="0" autoLine="0" autoPict="0">
                <anchor moveWithCells="1">
                  <from>
                    <xdr:col>3</xdr:col>
                    <xdr:colOff>914400</xdr:colOff>
                    <xdr:row>26</xdr:row>
                    <xdr:rowOff>0</xdr:rowOff>
                  </from>
                  <to>
                    <xdr:col>3</xdr:col>
                    <xdr:colOff>914400</xdr:colOff>
                    <xdr:row>27</xdr:row>
                    <xdr:rowOff>0</xdr:rowOff>
                  </to>
                </anchor>
              </controlPr>
            </control>
          </mc:Choice>
        </mc:AlternateContent>
        <mc:AlternateContent xmlns:mc="http://schemas.openxmlformats.org/markup-compatibility/2006">
          <mc:Choice Requires="x14">
            <control shapeId="4269" r:id="rId118" name="Check Box 173">
              <controlPr defaultSize="0" autoFill="0" autoLine="0" autoPict="0">
                <anchor moveWithCells="1">
                  <from>
                    <xdr:col>3</xdr:col>
                    <xdr:colOff>990600</xdr:colOff>
                    <xdr:row>26</xdr:row>
                    <xdr:rowOff>0</xdr:rowOff>
                  </from>
                  <to>
                    <xdr:col>3</xdr:col>
                    <xdr:colOff>990600</xdr:colOff>
                    <xdr:row>27</xdr:row>
                    <xdr:rowOff>0</xdr:rowOff>
                  </to>
                </anchor>
              </controlPr>
            </control>
          </mc:Choice>
        </mc:AlternateContent>
        <mc:AlternateContent xmlns:mc="http://schemas.openxmlformats.org/markup-compatibility/2006">
          <mc:Choice Requires="x14">
            <control shapeId="4270" r:id="rId119" name="Check Box 174">
              <controlPr defaultSize="0" autoFill="0" autoLine="0" autoPict="0">
                <anchor moveWithCells="1">
                  <from>
                    <xdr:col>3</xdr:col>
                    <xdr:colOff>914400</xdr:colOff>
                    <xdr:row>26</xdr:row>
                    <xdr:rowOff>0</xdr:rowOff>
                  </from>
                  <to>
                    <xdr:col>3</xdr:col>
                    <xdr:colOff>914400</xdr:colOff>
                    <xdr:row>27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DE2AEE4A-BE04-4196-9753-2585A53398F2}">
            <xm:f>KAT!$D$59-Personalkostenaufstellung!$H$435&gt;0</xm:f>
            <x14:dxf>
              <font>
                <color theme="0"/>
              </font>
            </x14:dxf>
          </x14:cfRule>
          <xm:sqref>B68</xm:sqref>
        </x14:conditionalFormatting>
        <x14:conditionalFormatting xmlns:xm="http://schemas.microsoft.com/office/excel/2006/main">
          <x14:cfRule type="expression" priority="5" id="{E7925A59-424F-44A4-BE40-C311F6169130}">
            <xm:f>KAT!$D$59-Personalkostenaufstellung!$H$435&lt;=0</xm:f>
            <x14:dxf>
              <font>
                <color theme="0"/>
              </font>
              <border>
                <left/>
                <right/>
                <top/>
                <bottom/>
                <vertical/>
                <horizontal/>
              </border>
            </x14:dxf>
          </x14:cfRule>
          <xm:sqref>B70:L74</xm:sqref>
        </x14:conditionalFormatting>
        <x14:conditionalFormatting xmlns:xm="http://schemas.microsoft.com/office/excel/2006/main">
          <x14:cfRule type="expression" priority="680" id="{099A9AFE-B577-419A-B947-5F85B88EEF94}">
            <xm:f>KAT!$A$70="ja"</xm:f>
            <x14:dxf>
              <fill>
                <patternFill>
                  <bgColor rgb="FF99CCFF"/>
                </patternFill>
              </fill>
            </x14:dxf>
          </x14:cfRule>
          <xm:sqref>C51</xm:sqref>
        </x14:conditionalFormatting>
        <x14:conditionalFormatting xmlns:xm="http://schemas.microsoft.com/office/excel/2006/main">
          <x14:cfRule type="expression" priority="681" id="{E5AF5EB7-2094-4D42-964C-FDD9BC39F03B}">
            <xm:f>KAT!$A$70="ja"</xm:f>
            <x14:dxf>
              <fill>
                <patternFill patternType="solid">
                  <fgColor rgb="FFCCECFF"/>
                  <bgColor rgb="FFCCFFFF"/>
                </patternFill>
              </fill>
            </x14:dxf>
          </x14:cfRule>
          <xm:sqref>D30</xm:sqref>
        </x14:conditionalFormatting>
        <x14:conditionalFormatting xmlns:xm="http://schemas.microsoft.com/office/excel/2006/main">
          <x14:cfRule type="expression" priority="32" id="{4779AAF7-F16A-445E-9C91-918C1D745575}">
            <xm:f>'Allgemeine Angaben'!$D$7="tst"</xm:f>
            <x14:dxf>
              <font>
                <color theme="0"/>
              </font>
              <fill>
                <patternFill>
                  <bgColor theme="0"/>
                </patternFill>
              </fill>
              <border>
                <left/>
                <right/>
                <top/>
                <bottom/>
              </border>
            </x14:dxf>
          </x14:cfRule>
          <xm:sqref>D78:L78</xm:sqref>
        </x14:conditionalFormatting>
        <x14:conditionalFormatting xmlns:xm="http://schemas.microsoft.com/office/excel/2006/main">
          <x14:cfRule type="expression" priority="682" id="{FAD95F9C-903A-473F-9C57-798AEEE440FA}">
            <xm:f>KAT!A70="ja"</xm:f>
            <x14:dxf>
              <font>
                <color theme="0"/>
              </font>
              <fill>
                <patternFill>
                  <bgColor rgb="FFCCECFF"/>
                </patternFill>
              </fill>
            </x14:dxf>
          </x14:cfRule>
          <xm:sqref>F20</xm:sqref>
        </x14:conditionalFormatting>
        <x14:conditionalFormatting xmlns:xm="http://schemas.microsoft.com/office/excel/2006/main">
          <x14:cfRule type="expression" priority="683" id="{D06E97A3-F9F1-4349-8536-B479C4B5E838}">
            <xm:f>KAT!A70="ja"</xm:f>
            <x14:dxf>
              <fill>
                <patternFill>
                  <bgColor rgb="FFCCECFF"/>
                </patternFill>
              </fill>
            </x14:dxf>
          </x14:cfRule>
          <xm:sqref>F40</xm:sqref>
        </x14:conditionalFormatting>
        <x14:conditionalFormatting xmlns:xm="http://schemas.microsoft.com/office/excel/2006/main">
          <x14:cfRule type="expression" priority="684" id="{3147A903-723E-4061-84BC-1EE934A509C2}">
            <xm:f>KAT!A70="ja"</xm:f>
            <x14:dxf>
              <fill>
                <patternFill>
                  <bgColor rgb="FFCCECFF"/>
                </patternFill>
              </fill>
            </x14:dxf>
          </x14:cfRule>
          <xm:sqref>F41</xm:sqref>
        </x14:conditionalFormatting>
        <x14:conditionalFormatting xmlns:xm="http://schemas.microsoft.com/office/excel/2006/main">
          <x14:cfRule type="expression" priority="676" id="{0BE14FF5-32F7-4B76-BF82-EBC9ECD4438E}">
            <xm:f>KAT!$A$70="ja"</xm:f>
            <x14:dxf>
              <fill>
                <patternFill>
                  <bgColor rgb="FFCCECFF"/>
                </patternFill>
              </fill>
            </x14:dxf>
          </x14:cfRule>
          <xm:sqref>H17:H19 H40:H41 F17:F18 C19</xm:sqref>
        </x14:conditionalFormatting>
        <x14:conditionalFormatting xmlns:xm="http://schemas.microsoft.com/office/excel/2006/main">
          <x14:cfRule type="expression" priority="2" id="{CCC4D6B9-662D-4BCA-8451-DCFF12EC26DD}">
            <xm:f>KAT!$A$70="ja"</xm:f>
            <x14:dxf>
              <fill>
                <patternFill>
                  <bgColor rgb="FFCCECFF"/>
                </patternFill>
              </fill>
            </x14:dxf>
          </x14:cfRule>
          <xm:sqref>J54 B68 J69 B70 D71:D72 J71:J72 B74:C74</xm:sqref>
        </x14:conditionalFormatting>
        <x14:conditionalFormatting xmlns:xm="http://schemas.microsoft.com/office/excel/2006/main">
          <x14:cfRule type="expression" priority="3" id="{35F551E6-50BC-4BDC-AF97-436C1BAED49D}">
            <xm:f>KAT!$D$59-Personalkostenaufstellung!$H$435&lt;=0</xm:f>
            <x14:dxf>
              <fill>
                <patternFill>
                  <bgColor theme="0"/>
                </patternFill>
              </fill>
            </x14:dxf>
          </x14:cfRule>
          <xm:sqref>J70</xm:sqref>
        </x14:conditionalFormatting>
        <x14:conditionalFormatting xmlns:xm="http://schemas.microsoft.com/office/excel/2006/main">
          <x14:cfRule type="expression" priority="1" id="{3CB7B410-B8EB-4BE8-9524-2436A4835B5B}">
            <xm:f>AND(KAT!$A$70="nein",KAT!$D$59-Personalkostenaufstellung!$H$435&lt;=0)</xm:f>
            <x14:dxf>
              <fill>
                <patternFill>
                  <bgColor theme="0"/>
                </patternFill>
              </fill>
            </x14:dxf>
          </x14:cfRule>
          <xm:sqref>L70 L74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theme="7" tint="0.59999389629810485"/>
    <pageSetUpPr fitToPage="1"/>
  </sheetPr>
  <dimension ref="A1:AI109"/>
  <sheetViews>
    <sheetView showGridLines="0" zoomScaleNormal="100" workbookViewId="0">
      <selection activeCell="A4" sqref="A4"/>
    </sheetView>
  </sheetViews>
  <sheetFormatPr baseColWidth="10" defaultColWidth="11" defaultRowHeight="14.25" x14ac:dyDescent="0.2"/>
  <cols>
    <col min="1" max="1" width="3.625" style="4" customWidth="1"/>
    <col min="2" max="2" width="4.125" style="4" customWidth="1"/>
    <col min="3" max="3" width="6" style="4" customWidth="1"/>
    <col min="4" max="5" width="11" style="4"/>
    <col min="6" max="6" width="18.25" style="4" customWidth="1"/>
    <col min="7" max="8" width="0.875" style="4" customWidth="1"/>
    <col min="9" max="9" width="16.125" style="4" customWidth="1"/>
    <col min="10" max="10" width="3.5" style="4" customWidth="1"/>
    <col min="11" max="11" width="12.75" style="1084" customWidth="1"/>
    <col min="12" max="12" width="11.375" style="4" customWidth="1"/>
    <col min="13" max="13" width="9.125" style="4" customWidth="1"/>
    <col min="14" max="14" width="6.375" style="4" customWidth="1"/>
    <col min="15" max="15" width="9.125" style="4" customWidth="1"/>
    <col min="16" max="16" width="6.625" style="4" customWidth="1"/>
    <col min="17" max="19" width="10.625" style="1084" customWidth="1"/>
    <col min="20" max="20" width="16.25" style="1084" customWidth="1"/>
    <col min="21" max="21" width="7.125" style="1084" customWidth="1"/>
    <col min="22" max="22" width="11.875" style="1084" customWidth="1"/>
    <col min="23" max="23" width="9.25" style="1084" customWidth="1"/>
    <col min="24" max="24" width="7.125" style="1084" customWidth="1"/>
    <col min="25" max="25" width="8.75" style="1084" customWidth="1"/>
    <col min="26" max="31" width="11" style="1084" customWidth="1"/>
    <col min="32" max="32" width="2.625" style="1084" customWidth="1"/>
    <col min="33" max="16384" width="11" style="4"/>
  </cols>
  <sheetData>
    <row r="1" spans="1:35" ht="15" customHeight="1" x14ac:dyDescent="0.25">
      <c r="A1" s="2358" t="str">
        <f>'Allgemeine Angaben'!A1:N1</f>
        <v>Aufforderung zum Abschluss einer Pflegesatzvereinbarung gemäß §§ 84, 85 SGB XI</v>
      </c>
      <c r="B1" s="2359"/>
      <c r="C1" s="2359"/>
      <c r="D1" s="2359"/>
      <c r="E1" s="2359"/>
      <c r="F1" s="2359"/>
      <c r="G1" s="2359"/>
      <c r="H1" s="2359"/>
      <c r="I1" s="2359"/>
      <c r="J1" s="2550"/>
      <c r="K1" s="2550"/>
      <c r="L1" s="2550"/>
      <c r="M1" s="2550"/>
      <c r="N1" s="2550"/>
      <c r="O1" s="2550"/>
      <c r="P1" s="2551"/>
      <c r="Q1" s="1259"/>
      <c r="T1" s="1260"/>
    </row>
    <row r="2" spans="1:35" ht="19.5" customHeight="1" x14ac:dyDescent="0.25">
      <c r="A2" s="2361" t="s">
        <v>84</v>
      </c>
      <c r="B2" s="2362"/>
      <c r="C2" s="2362"/>
      <c r="D2" s="2362"/>
      <c r="E2" s="2362"/>
      <c r="F2" s="2362"/>
      <c r="G2" s="2362"/>
      <c r="H2" s="2362"/>
      <c r="I2" s="2362"/>
      <c r="J2" s="2552"/>
      <c r="K2" s="2552"/>
      <c r="L2" s="2552"/>
      <c r="M2" s="2552"/>
      <c r="N2" s="2552"/>
      <c r="O2" s="2552"/>
      <c r="P2" s="2553"/>
      <c r="Q2" s="1261"/>
      <c r="S2" s="1262"/>
      <c r="T2" s="1263"/>
      <c r="V2" s="1264"/>
      <c r="W2" s="1265"/>
      <c r="Y2" s="1266"/>
    </row>
    <row r="3" spans="1:35" ht="15" customHeight="1" x14ac:dyDescent="0.2">
      <c r="A3" s="2379" t="str">
        <f>'Allgemeine Angaben'!A3:N3</f>
        <v/>
      </c>
      <c r="B3" s="2380"/>
      <c r="C3" s="2380"/>
      <c r="D3" s="2380"/>
      <c r="E3" s="2380"/>
      <c r="F3" s="2380"/>
      <c r="G3" s="2380"/>
      <c r="H3" s="2380"/>
      <c r="I3" s="2380"/>
      <c r="J3" s="2552"/>
      <c r="K3" s="2552"/>
      <c r="L3" s="2552"/>
      <c r="M3" s="2552"/>
      <c r="N3" s="2552"/>
      <c r="O3" s="2552"/>
      <c r="P3" s="2553"/>
      <c r="Q3" s="1267"/>
      <c r="T3" s="1268"/>
    </row>
    <row r="4" spans="1:35" ht="15" customHeight="1" x14ac:dyDescent="0.25">
      <c r="A4" s="2298"/>
      <c r="B4" s="439"/>
      <c r="C4" s="439"/>
      <c r="D4" s="439" t="str">
        <f>'Allgemeine Angaben'!B4</f>
        <v/>
      </c>
      <c r="E4" s="439"/>
      <c r="F4" s="439"/>
      <c r="G4" s="439"/>
      <c r="H4" s="439"/>
      <c r="I4" s="439"/>
      <c r="J4" s="439"/>
      <c r="K4" s="439"/>
      <c r="L4" s="439" t="str">
        <f>'Allgemeine Angaben'!K4</f>
        <v>Antrag vom:</v>
      </c>
      <c r="M4" s="439"/>
      <c r="N4" s="2568">
        <f>'Allgemeine Angaben'!L4</f>
        <v>0</v>
      </c>
      <c r="O4" s="2568"/>
      <c r="P4" s="440"/>
      <c r="Q4" s="1269"/>
      <c r="T4" s="1270"/>
    </row>
    <row r="5" spans="1:35" ht="14.25" customHeight="1" x14ac:dyDescent="0.2">
      <c r="A5" s="3"/>
      <c r="O5" s="1329"/>
      <c r="P5" s="5"/>
      <c r="Q5" s="1271"/>
      <c r="T5" s="1267"/>
    </row>
    <row r="6" spans="1:35" s="10" customFormat="1" ht="12.75" hidden="1" x14ac:dyDescent="0.2">
      <c r="A6" s="38"/>
      <c r="J6" s="2573"/>
      <c r="K6" s="2573"/>
      <c r="L6" s="2573"/>
      <c r="M6" s="2573"/>
      <c r="N6" s="2573"/>
      <c r="O6" s="2573"/>
      <c r="P6" s="44"/>
      <c r="Q6" s="1268"/>
      <c r="R6" s="330"/>
      <c r="S6" s="330"/>
      <c r="T6" s="1268"/>
      <c r="U6" s="330"/>
      <c r="V6" s="330"/>
      <c r="W6" s="330"/>
      <c r="X6" s="330"/>
      <c r="Y6" s="330"/>
      <c r="Z6" s="330"/>
      <c r="AA6" s="330"/>
      <c r="AB6" s="330"/>
      <c r="AC6" s="330"/>
      <c r="AD6" s="330"/>
      <c r="AE6" s="330"/>
      <c r="AF6" s="330"/>
    </row>
    <row r="7" spans="1:35" s="10" customFormat="1" ht="12.75" hidden="1" x14ac:dyDescent="0.2">
      <c r="A7" s="38"/>
      <c r="J7" s="1330"/>
      <c r="K7" s="1331"/>
      <c r="O7" s="1332"/>
      <c r="P7" s="44"/>
      <c r="Q7" s="1272"/>
      <c r="R7" s="407"/>
      <c r="S7" s="330"/>
      <c r="T7" s="1268"/>
      <c r="U7" s="330"/>
      <c r="V7" s="330"/>
      <c r="W7" s="330"/>
      <c r="X7" s="330"/>
      <c r="Y7" s="330"/>
      <c r="Z7" s="330"/>
      <c r="AA7" s="330"/>
      <c r="AB7" s="330"/>
      <c r="AC7" s="330"/>
      <c r="AD7" s="330"/>
      <c r="AE7" s="330"/>
      <c r="AF7" s="330"/>
    </row>
    <row r="8" spans="1:35" s="10" customFormat="1" ht="12.75" hidden="1" x14ac:dyDescent="0.2">
      <c r="A8" s="38"/>
      <c r="F8" s="327"/>
      <c r="G8" s="327"/>
      <c r="H8" s="1333"/>
      <c r="I8" s="330"/>
      <c r="J8" s="1334"/>
      <c r="K8" s="1334"/>
      <c r="L8" s="1334"/>
      <c r="M8" s="1334"/>
      <c r="N8" s="1334"/>
      <c r="O8" s="1334"/>
      <c r="P8" s="1335"/>
      <c r="Q8" s="330"/>
      <c r="R8" s="1254"/>
      <c r="S8" s="1273"/>
      <c r="T8" s="1271"/>
      <c r="U8" s="1274"/>
      <c r="V8" s="1274"/>
      <c r="W8" s="1274"/>
      <c r="X8" s="1274"/>
      <c r="Y8" s="1274"/>
      <c r="Z8" s="330"/>
      <c r="AA8" s="330"/>
      <c r="AB8" s="330"/>
      <c r="AC8" s="330"/>
      <c r="AD8" s="330"/>
      <c r="AE8" s="330"/>
      <c r="AF8" s="330"/>
    </row>
    <row r="9" spans="1:35" s="10" customFormat="1" ht="39" customHeight="1" x14ac:dyDescent="0.2">
      <c r="A9" s="38"/>
      <c r="F9" s="327"/>
      <c r="G9" s="327"/>
      <c r="H9" s="1333"/>
      <c r="I9" s="1787" t="s">
        <v>592</v>
      </c>
      <c r="K9" s="1821" t="str">
        <f>IF('Allgemeine Angaben'!L48&gt;0,"davon Vollkräfte","")</f>
        <v/>
      </c>
      <c r="L9" s="1821" t="str">
        <f>IF('Allgemeine Angaben'!L48&gt;0,"davon Vollkräfte","")</f>
        <v/>
      </c>
      <c r="M9" s="1913" t="s">
        <v>593</v>
      </c>
      <c r="N9" s="1338"/>
      <c r="O9" s="1787" t="s">
        <v>497</v>
      </c>
      <c r="P9" s="1335"/>
      <c r="Q9" s="330"/>
      <c r="R9" s="1254"/>
      <c r="S9" s="1273"/>
      <c r="T9" s="1271"/>
      <c r="U9" s="1274"/>
      <c r="V9" s="1274"/>
      <c r="W9" s="1274"/>
      <c r="X9" s="1274"/>
      <c r="Y9" s="1274"/>
      <c r="Z9" s="330"/>
      <c r="AA9" s="330"/>
      <c r="AB9" s="330"/>
      <c r="AC9" s="330"/>
      <c r="AD9" s="330"/>
      <c r="AE9" s="330"/>
      <c r="AF9" s="330"/>
    </row>
    <row r="10" spans="1:35" s="10" customFormat="1" ht="55.9" customHeight="1" x14ac:dyDescent="0.2">
      <c r="A10" s="38"/>
      <c r="F10" s="327"/>
      <c r="G10" s="327"/>
      <c r="H10" s="1333"/>
      <c r="I10" s="1786" t="str">
        <f>IF('Allgemeine Angaben'!L48&gt;0,"gesamt","vollstationäre Pflegeeinrichtung")</f>
        <v>vollstationäre Pflegeeinrichtung</v>
      </c>
      <c r="K10" s="1823" t="str">
        <f>IF('Allgemeine Angaben'!L48&gt;0,"für vollstationäre Pflege-einrichtung","")</f>
        <v/>
      </c>
      <c r="L10" s="1822" t="str">
        <f>IF('Allgemeine Angaben'!L48&gt;0,"für angebundene / integrierte Kurzzeitpflege","")</f>
        <v/>
      </c>
      <c r="M10" s="1788" t="s">
        <v>594</v>
      </c>
      <c r="O10" s="78"/>
      <c r="P10" s="1335"/>
      <c r="Q10" s="330"/>
      <c r="R10" s="1254"/>
      <c r="S10" s="1273"/>
      <c r="T10" s="1254"/>
      <c r="U10" s="1273"/>
      <c r="V10" s="330"/>
      <c r="W10" s="1275"/>
      <c r="X10" s="330"/>
      <c r="Y10" s="330"/>
      <c r="Z10" s="330"/>
      <c r="AA10" s="330"/>
      <c r="AB10" s="330"/>
      <c r="AC10" s="330"/>
      <c r="AD10" s="330"/>
      <c r="AE10" s="330"/>
      <c r="AF10" s="330"/>
    </row>
    <row r="11" spans="1:35" s="10" customFormat="1" ht="14.25" customHeight="1" x14ac:dyDescent="0.2">
      <c r="A11" s="38"/>
      <c r="F11" s="1339"/>
      <c r="G11" s="327"/>
      <c r="H11" s="1333"/>
      <c r="I11" s="1340"/>
      <c r="K11" s="1341"/>
      <c r="L11" s="1340"/>
      <c r="M11" s="1340"/>
      <c r="N11" s="1340"/>
      <c r="O11" s="1340"/>
      <c r="P11" s="1335"/>
      <c r="Q11" s="330"/>
      <c r="R11" s="1254"/>
      <c r="S11" s="1273"/>
      <c r="T11" s="1276"/>
      <c r="U11" s="1277"/>
      <c r="V11" s="1278"/>
      <c r="W11" s="1277"/>
      <c r="X11" s="1278"/>
      <c r="Y11" s="1278"/>
      <c r="Z11" s="1279"/>
      <c r="AA11" s="330"/>
      <c r="AB11" s="330"/>
      <c r="AC11" s="330"/>
      <c r="AD11" s="330"/>
      <c r="AE11" s="330"/>
      <c r="AF11" s="330"/>
    </row>
    <row r="12" spans="1:35" s="10" customFormat="1" ht="12.75" customHeight="1" x14ac:dyDescent="0.2">
      <c r="A12" s="38"/>
      <c r="F12" s="327"/>
      <c r="G12" s="327"/>
      <c r="H12" s="1333"/>
      <c r="I12" s="2570" t="s">
        <v>54</v>
      </c>
      <c r="J12" s="2571"/>
      <c r="K12" s="2571"/>
      <c r="L12" s="2571"/>
      <c r="M12" s="2571"/>
      <c r="N12" s="2571"/>
      <c r="O12" s="2572"/>
      <c r="P12" s="1335"/>
      <c r="Q12" s="330"/>
      <c r="R12" s="1254"/>
      <c r="S12" s="1273"/>
      <c r="T12" s="1276"/>
      <c r="U12" s="1273"/>
      <c r="V12" s="330"/>
      <c r="W12" s="1275"/>
      <c r="X12" s="330"/>
      <c r="Y12" s="330"/>
      <c r="Z12" s="330"/>
      <c r="AA12" s="330"/>
      <c r="AB12" s="330"/>
      <c r="AC12" s="330"/>
      <c r="AD12" s="330"/>
      <c r="AE12" s="330"/>
      <c r="AF12" s="330"/>
    </row>
    <row r="13" spans="1:35" s="10" customFormat="1" ht="12.75" x14ac:dyDescent="0.2">
      <c r="A13" s="38"/>
      <c r="F13" s="1339"/>
      <c r="G13" s="327"/>
      <c r="H13" s="1333"/>
      <c r="I13" s="1342"/>
      <c r="K13" s="1342"/>
      <c r="L13" s="1337"/>
      <c r="M13" s="1347"/>
      <c r="N13" s="1338"/>
      <c r="O13" s="1343"/>
      <c r="P13" s="1335"/>
      <c r="Q13" s="330"/>
      <c r="R13" s="1254"/>
      <c r="S13" s="1273"/>
      <c r="T13" s="1280"/>
      <c r="U13" s="1273"/>
      <c r="V13" s="330"/>
      <c r="W13" s="330"/>
      <c r="X13" s="330"/>
      <c r="Y13" s="330"/>
      <c r="Z13" s="1279"/>
      <c r="AA13" s="330"/>
      <c r="AB13" s="330"/>
      <c r="AC13" s="330"/>
      <c r="AD13" s="330"/>
      <c r="AE13" s="330"/>
      <c r="AF13" s="330"/>
      <c r="AI13" s="1045"/>
    </row>
    <row r="14" spans="1:35" s="10" customFormat="1" ht="12.75" customHeight="1" x14ac:dyDescent="0.2">
      <c r="A14" s="38"/>
      <c r="B14" s="1344" t="s">
        <v>42</v>
      </c>
      <c r="C14" s="1345" t="s">
        <v>487</v>
      </c>
      <c r="D14" s="1330"/>
      <c r="E14" s="1330"/>
      <c r="F14" s="1346"/>
      <c r="G14" s="327"/>
      <c r="H14" s="1333"/>
      <c r="I14" s="1342"/>
      <c r="K14" s="1342"/>
      <c r="L14" s="1337"/>
      <c r="M14" s="1347"/>
      <c r="N14" s="1338"/>
      <c r="O14" s="1348"/>
      <c r="P14" s="1335"/>
      <c r="Q14" s="1254"/>
      <c r="R14" s="1254"/>
      <c r="S14" s="1273"/>
      <c r="T14" s="1281"/>
      <c r="U14" s="1273"/>
      <c r="V14" s="1282"/>
      <c r="W14" s="1275"/>
      <c r="X14" s="330"/>
      <c r="Y14" s="330"/>
      <c r="Z14" s="330"/>
      <c r="AA14" s="330"/>
      <c r="AB14" s="330"/>
      <c r="AC14" s="330"/>
      <c r="AD14" s="330"/>
      <c r="AE14" s="330"/>
      <c r="AF14" s="330"/>
    </row>
    <row r="15" spans="1:35" s="10" customFormat="1" ht="12.75" x14ac:dyDescent="0.2">
      <c r="A15" s="38"/>
      <c r="D15" s="15"/>
      <c r="F15" s="1339"/>
      <c r="G15" s="327"/>
      <c r="H15" s="1333"/>
      <c r="I15" s="1342"/>
      <c r="K15" s="1342"/>
      <c r="L15" s="1337"/>
      <c r="M15" s="1347"/>
      <c r="N15" s="1338"/>
      <c r="O15" s="1343"/>
      <c r="P15" s="1335"/>
      <c r="Q15" s="1283"/>
      <c r="R15" s="1254"/>
      <c r="S15" s="1273"/>
      <c r="T15" s="1275"/>
      <c r="U15" s="2583"/>
      <c r="V15" s="2583"/>
      <c r="W15" s="2583"/>
      <c r="X15" s="2583"/>
      <c r="Y15" s="2583"/>
      <c r="Z15" s="330"/>
      <c r="AA15" s="330"/>
      <c r="AB15" s="330"/>
      <c r="AC15" s="330"/>
      <c r="AD15" s="330"/>
      <c r="AE15" s="330"/>
      <c r="AF15" s="330"/>
      <c r="AI15" s="1045"/>
    </row>
    <row r="16" spans="1:35" s="10" customFormat="1" ht="12.75" customHeight="1" x14ac:dyDescent="0.2">
      <c r="A16" s="38"/>
      <c r="B16" s="497" t="s">
        <v>121</v>
      </c>
      <c r="C16" s="15" t="s">
        <v>403</v>
      </c>
      <c r="D16" s="1349"/>
      <c r="E16" s="327"/>
      <c r="F16" s="327"/>
      <c r="G16" s="327"/>
      <c r="H16" s="1333"/>
      <c r="I16" s="1342"/>
      <c r="K16" s="1342"/>
      <c r="L16" s="1337"/>
      <c r="M16" s="1347"/>
      <c r="N16" s="1338"/>
      <c r="O16" s="1348"/>
      <c r="P16" s="1335"/>
      <c r="Q16" s="1283"/>
      <c r="R16" s="1254"/>
      <c r="S16" s="1273"/>
      <c r="T16" s="1275"/>
      <c r="U16" s="1273"/>
      <c r="V16" s="1282"/>
      <c r="W16" s="1275"/>
      <c r="X16" s="330"/>
      <c r="Y16" s="330"/>
      <c r="Z16" s="330"/>
      <c r="AA16" s="330"/>
      <c r="AB16" s="330"/>
      <c r="AC16" s="330"/>
      <c r="AD16" s="407"/>
      <c r="AE16" s="330"/>
      <c r="AF16" s="330"/>
      <c r="AG16" s="413"/>
      <c r="AH16" s="330"/>
    </row>
    <row r="17" spans="1:35" s="10" customFormat="1" ht="14.25" customHeight="1" x14ac:dyDescent="0.2">
      <c r="A17" s="38"/>
      <c r="B17" s="1349"/>
      <c r="C17" s="79" t="s">
        <v>447</v>
      </c>
      <c r="D17" s="1060" t="s">
        <v>406</v>
      </c>
      <c r="E17" s="88"/>
      <c r="F17" s="1339"/>
      <c r="G17" s="327"/>
      <c r="H17" s="1350"/>
      <c r="I17" s="1465">
        <f>IF(Personalaufwendungen!H11&gt;0,Personalaufwendungen!H11,0)</f>
        <v>0</v>
      </c>
      <c r="K17" s="1824">
        <f>IFERROR(ROUND(I17/'Allgemeine Angaben'!L47*('Allgemeine Angaben'!L47-'Allgemeine Angaben'!L48),4),0)</f>
        <v>0</v>
      </c>
      <c r="L17" s="1824">
        <f>IFERROR(ROUND(I17/'Allgemeine Angaben'!L47*'Allgemeine Angaben'!L48,4),0)</f>
        <v>0</v>
      </c>
      <c r="M17" s="1914"/>
      <c r="N17" s="1338"/>
      <c r="O17" s="1343"/>
      <c r="P17" s="1335"/>
      <c r="Q17" s="1283"/>
      <c r="R17" s="1254"/>
      <c r="S17" s="1273"/>
      <c r="T17" s="1275"/>
      <c r="U17" s="1274"/>
      <c r="V17" s="1274"/>
      <c r="W17" s="1274"/>
      <c r="X17" s="1274"/>
      <c r="Y17" s="1274"/>
      <c r="Z17" s="330"/>
      <c r="AA17" s="330"/>
      <c r="AB17" s="413"/>
      <c r="AC17" s="413"/>
      <c r="AD17" s="413"/>
      <c r="AE17" s="413"/>
      <c r="AF17" s="413"/>
      <c r="AG17" s="330"/>
      <c r="AH17" s="330"/>
      <c r="AI17" s="1045"/>
    </row>
    <row r="18" spans="1:35" s="10" customFormat="1" ht="14.25" customHeight="1" x14ac:dyDescent="0.2">
      <c r="A18" s="38"/>
      <c r="B18" s="1349"/>
      <c r="C18" s="79" t="s">
        <v>448</v>
      </c>
      <c r="D18" s="1060" t="s">
        <v>436</v>
      </c>
      <c r="E18" s="88"/>
      <c r="F18" s="1339"/>
      <c r="G18" s="327"/>
      <c r="H18" s="1347"/>
      <c r="I18" s="1465">
        <f>IF(Personalaufwendungen!H12&gt;0,Personalaufwendungen!H12,0)</f>
        <v>0</v>
      </c>
      <c r="K18" s="1824">
        <f>IFERROR(ROUND(I18/'Allgemeine Angaben'!L47*('Allgemeine Angaben'!L47-'Allgemeine Angaben'!L48),4),0)</f>
        <v>0</v>
      </c>
      <c r="L18" s="1824">
        <f>IFERROR(ROUND(I18/'Allgemeine Angaben'!L47*'Allgemeine Angaben'!L48,4),0)</f>
        <v>0</v>
      </c>
      <c r="M18" s="1343"/>
      <c r="N18" s="1338"/>
      <c r="O18" s="1343"/>
      <c r="P18" s="1335"/>
      <c r="Q18" s="1283"/>
      <c r="R18" s="1254"/>
      <c r="S18" s="1273"/>
      <c r="T18" s="1284"/>
      <c r="U18" s="1284"/>
      <c r="V18" s="1284"/>
      <c r="W18" s="1284"/>
      <c r="X18" s="1284"/>
      <c r="Y18" s="1284"/>
      <c r="Z18" s="330"/>
      <c r="AA18" s="330"/>
      <c r="AB18" s="330"/>
      <c r="AC18" s="330"/>
      <c r="AD18" s="330"/>
      <c r="AE18" s="330"/>
      <c r="AF18" s="330"/>
      <c r="AG18" s="330"/>
      <c r="AH18" s="330"/>
    </row>
    <row r="19" spans="1:35" s="10" customFormat="1" ht="14.25" customHeight="1" x14ac:dyDescent="0.2">
      <c r="A19" s="38"/>
      <c r="B19" s="1349"/>
      <c r="C19" s="79" t="s">
        <v>449</v>
      </c>
      <c r="D19" s="1060" t="s">
        <v>437</v>
      </c>
      <c r="E19" s="88"/>
      <c r="F19" s="327"/>
      <c r="G19" s="327"/>
      <c r="H19" s="1333"/>
      <c r="I19" s="1465">
        <f>IF(Personalaufwendungen!H13&gt;0,Personalaufwendungen!H13,0)</f>
        <v>0</v>
      </c>
      <c r="K19" s="1824">
        <f>IFERROR(ROUND(I19/'Allgemeine Angaben'!L47*('Allgemeine Angaben'!L47-'Allgemeine Angaben'!L48),4),0)</f>
        <v>0</v>
      </c>
      <c r="L19" s="1824">
        <f>IFERROR(ROUND(I19/'Allgemeine Angaben'!L47*'Allgemeine Angaben'!L48,4),0)</f>
        <v>0</v>
      </c>
      <c r="M19" s="1496"/>
      <c r="N19" s="1291"/>
      <c r="O19" s="1351"/>
      <c r="P19" s="1335"/>
      <c r="Q19" s="1267"/>
      <c r="R19" s="1285"/>
      <c r="S19" s="1272"/>
      <c r="T19" s="1284"/>
      <c r="U19" s="1284"/>
      <c r="V19" s="1284"/>
      <c r="W19" s="1284"/>
      <c r="X19" s="1284"/>
      <c r="Y19" s="1284"/>
      <c r="Z19" s="330"/>
      <c r="AA19" s="330"/>
      <c r="AB19" s="330"/>
      <c r="AC19" s="330"/>
      <c r="AD19" s="330"/>
      <c r="AE19" s="330"/>
      <c r="AF19" s="330"/>
      <c r="AG19" s="330"/>
      <c r="AH19" s="330"/>
    </row>
    <row r="20" spans="1:35" s="10" customFormat="1" ht="14.25" customHeight="1" x14ac:dyDescent="0.2">
      <c r="A20" s="38"/>
      <c r="B20" s="1349"/>
      <c r="C20" s="1349"/>
      <c r="D20" s="1349"/>
      <c r="E20" s="1349"/>
      <c r="F20" s="327"/>
      <c r="G20" s="327"/>
      <c r="H20" s="1333"/>
      <c r="I20" s="330"/>
      <c r="J20" s="1336"/>
      <c r="K20" s="1336"/>
      <c r="L20" s="1337"/>
      <c r="M20" s="1352"/>
      <c r="N20" s="1291"/>
      <c r="O20" s="1351"/>
      <c r="P20" s="1335"/>
      <c r="Q20" s="1267"/>
      <c r="R20" s="1285"/>
      <c r="S20" s="1272"/>
      <c r="T20" s="1284"/>
      <c r="U20" s="1284"/>
      <c r="V20" s="1284"/>
      <c r="W20" s="1284"/>
      <c r="X20" s="1284"/>
      <c r="Y20" s="1284"/>
      <c r="Z20" s="330"/>
      <c r="AA20" s="330"/>
      <c r="AB20" s="330"/>
      <c r="AC20" s="330"/>
      <c r="AD20" s="330"/>
      <c r="AE20" s="330"/>
      <c r="AF20" s="330"/>
      <c r="AG20" s="330"/>
      <c r="AH20" s="330"/>
    </row>
    <row r="21" spans="1:35" s="10" customFormat="1" ht="14.25" customHeight="1" x14ac:dyDescent="0.2">
      <c r="A21" s="38"/>
      <c r="B21" s="6" t="s">
        <v>122</v>
      </c>
      <c r="C21" s="15" t="s">
        <v>405</v>
      </c>
      <c r="D21" s="327"/>
      <c r="E21" s="1353"/>
      <c r="F21" s="1354"/>
      <c r="G21" s="1355"/>
      <c r="H21" s="2585"/>
      <c r="I21" s="2585"/>
      <c r="J21" s="1356"/>
      <c r="K21" s="1356"/>
      <c r="L21" s="1355"/>
      <c r="M21" s="1357"/>
      <c r="N21" s="1355"/>
      <c r="O21" s="1291"/>
      <c r="P21" s="1335"/>
      <c r="Q21" s="1286"/>
      <c r="R21" s="1287"/>
      <c r="S21" s="330"/>
      <c r="T21" s="1284"/>
      <c r="U21" s="1284"/>
      <c r="V21" s="1284"/>
      <c r="W21" s="1284"/>
      <c r="X21" s="1284"/>
      <c r="Y21" s="1284"/>
      <c r="Z21" s="330"/>
      <c r="AA21" s="330"/>
      <c r="AB21" s="330"/>
      <c r="AC21" s="330"/>
      <c r="AD21" s="330"/>
      <c r="AE21" s="330"/>
      <c r="AF21" s="330"/>
      <c r="AG21" s="330"/>
      <c r="AH21" s="330"/>
    </row>
    <row r="22" spans="1:35" s="10" customFormat="1" ht="24" customHeight="1" x14ac:dyDescent="0.2">
      <c r="C22" s="1792" t="s">
        <v>450</v>
      </c>
      <c r="D22" s="2574" t="s">
        <v>503</v>
      </c>
      <c r="E22" s="2574"/>
      <c r="F22" s="2574"/>
      <c r="G22" s="327"/>
      <c r="H22" s="1358"/>
      <c r="I22" s="1465">
        <f>IF(Personalaufwendungen!H18&gt;0,Personalaufwendungen!H18,0)</f>
        <v>0</v>
      </c>
      <c r="K22" s="1824">
        <f>IFERROR(ROUND(I22/'Allgemeine Angaben'!L47*('Allgemeine Angaben'!L47-'Allgemeine Angaben'!L48),4),0)</f>
        <v>0</v>
      </c>
      <c r="L22" s="1826">
        <f>IFERROR(ROUND(I22/'Allgemeine Angaben'!L47*'Allgemeine Angaben'!L48,4),0)</f>
        <v>0</v>
      </c>
      <c r="M22" s="1825" t="str">
        <f>IFERROR(Personalaufwendungen!H30,"")</f>
        <v/>
      </c>
      <c r="Q22" s="1793"/>
      <c r="R22" s="330"/>
      <c r="S22" s="330"/>
      <c r="T22" s="1284"/>
      <c r="U22" s="1284"/>
      <c r="V22" s="1289"/>
      <c r="W22" s="1289"/>
      <c r="X22" s="1289"/>
      <c r="Y22" s="1289"/>
      <c r="Z22" s="330"/>
      <c r="AA22" s="330"/>
      <c r="AB22" s="330"/>
      <c r="AC22" s="330"/>
      <c r="AD22" s="330"/>
      <c r="AE22" s="330"/>
      <c r="AF22" s="330"/>
      <c r="AG22" s="330"/>
      <c r="AH22" s="330"/>
    </row>
    <row r="23" spans="1:35" s="10" customFormat="1" ht="24" customHeight="1" x14ac:dyDescent="0.2">
      <c r="A23" s="38"/>
      <c r="B23" s="1349"/>
      <c r="C23" s="1792" t="s">
        <v>451</v>
      </c>
      <c r="D23" s="2569" t="s">
        <v>504</v>
      </c>
      <c r="E23" s="2569"/>
      <c r="F23" s="2569"/>
      <c r="G23" s="327"/>
      <c r="H23" s="1359"/>
      <c r="I23" s="1465">
        <f>IF(Personalaufwendungen!H20&gt;0,Personalaufwendungen!H20,0)</f>
        <v>0</v>
      </c>
      <c r="K23" s="1824">
        <f>IFERROR(ROUND(I23/'Allgemeine Angaben'!L47*('Allgemeine Angaben'!L47-'Allgemeine Angaben'!L48),4),0)</f>
        <v>0</v>
      </c>
      <c r="L23" s="1826">
        <f>IFERROR(ROUND(I23/'Allgemeine Angaben'!L47*'Allgemeine Angaben'!L48,4),0)</f>
        <v>0</v>
      </c>
      <c r="M23" s="1825" t="str">
        <f>IFERROR(Personalaufwendungen!H33,"")</f>
        <v/>
      </c>
      <c r="N23" s="330"/>
      <c r="O23" s="1506"/>
      <c r="P23" s="1335"/>
      <c r="Q23" s="406"/>
      <c r="R23" s="330"/>
      <c r="S23" s="330"/>
      <c r="T23" s="853"/>
      <c r="U23" s="330"/>
      <c r="V23" s="330"/>
      <c r="W23" s="330"/>
      <c r="X23" s="330"/>
      <c r="Y23" s="330"/>
      <c r="Z23" s="330"/>
      <c r="AA23" s="330"/>
      <c r="AB23" s="330"/>
      <c r="AC23" s="1290"/>
      <c r="AD23" s="1290"/>
      <c r="AE23" s="1290"/>
      <c r="AF23" s="1290"/>
      <c r="AG23" s="330"/>
      <c r="AH23" s="330"/>
    </row>
    <row r="24" spans="1:35" s="10" customFormat="1" ht="24" customHeight="1" x14ac:dyDescent="0.2">
      <c r="A24" s="38"/>
      <c r="B24" s="1349"/>
      <c r="C24" s="1792" t="s">
        <v>452</v>
      </c>
      <c r="D24" s="2569" t="s">
        <v>505</v>
      </c>
      <c r="E24" s="2569"/>
      <c r="F24" s="2569"/>
      <c r="G24" s="88"/>
      <c r="H24" s="327"/>
      <c r="I24" s="1465">
        <f>IF(Personalaufwendungen!H22&gt;0,Personalaufwendungen!H22,0)</f>
        <v>0</v>
      </c>
      <c r="K24" s="1824">
        <f>IFERROR(ROUND(I24/'Allgemeine Angaben'!L47*('Allgemeine Angaben'!L47-'Allgemeine Angaben'!L48),4),0)</f>
        <v>0</v>
      </c>
      <c r="L24" s="1826">
        <f>IFERROR(I24/'Allgemeine Angaben'!L47*'Allgemeine Angaben'!L48,0)</f>
        <v>0</v>
      </c>
      <c r="M24" s="1825" t="str">
        <f>IFERROR(Personalaufwendungen!H36,"")</f>
        <v/>
      </c>
      <c r="N24" s="1360"/>
      <c r="O24" s="1343"/>
      <c r="P24" s="1335"/>
      <c r="Q24" s="1291"/>
      <c r="R24" s="330"/>
      <c r="S24" s="330"/>
      <c r="T24" s="2584"/>
      <c r="U24" s="1293"/>
      <c r="V24" s="1293"/>
      <c r="W24" s="1293"/>
      <c r="X24" s="1293"/>
      <c r="Y24" s="1293"/>
      <c r="Z24" s="330"/>
      <c r="AA24" s="330"/>
      <c r="AB24" s="1294"/>
      <c r="AC24" s="1294"/>
      <c r="AD24" s="1294"/>
      <c r="AE24" s="1294"/>
      <c r="AF24" s="1288"/>
      <c r="AG24" s="330"/>
      <c r="AH24" s="330"/>
    </row>
    <row r="25" spans="1:35" s="10" customFormat="1" ht="12" customHeight="1" x14ac:dyDescent="0.2">
      <c r="A25" s="38"/>
      <c r="B25" s="1349"/>
      <c r="N25" s="1361"/>
      <c r="P25" s="44"/>
      <c r="Q25" s="1288"/>
      <c r="R25" s="330"/>
      <c r="S25" s="330"/>
      <c r="T25" s="2584"/>
      <c r="U25" s="1293"/>
      <c r="V25" s="1293"/>
      <c r="W25" s="1293"/>
      <c r="X25" s="1293"/>
      <c r="Y25" s="1293"/>
      <c r="Z25" s="330"/>
      <c r="AA25" s="330"/>
      <c r="AB25" s="330"/>
      <c r="AC25" s="330"/>
      <c r="AD25" s="330"/>
      <c r="AE25" s="330"/>
      <c r="AF25" s="330"/>
      <c r="AG25" s="330"/>
      <c r="AH25" s="330"/>
    </row>
    <row r="26" spans="1:35" s="10" customFormat="1" ht="14.25" customHeight="1" x14ac:dyDescent="0.2">
      <c r="A26" s="38"/>
      <c r="B26" s="1349"/>
      <c r="C26" s="1349"/>
      <c r="D26" s="327" t="s">
        <v>595</v>
      </c>
      <c r="E26" s="406"/>
      <c r="F26" s="88"/>
      <c r="G26" s="88"/>
      <c r="H26" s="327"/>
      <c r="I26" s="1465">
        <f>IF(Personalaufwendungen!H25&gt;0,Personalaufwendungen!H25,0)</f>
        <v>0</v>
      </c>
      <c r="J26" s="285"/>
      <c r="K26" s="1824">
        <f>IFERROR(ROUND(SUM(K22:K24),4),0)</f>
        <v>0</v>
      </c>
      <c r="L26" s="1824">
        <f>IFERROR(ROUND(SUM(L22:L24),4),0)</f>
        <v>0</v>
      </c>
      <c r="M26" s="1362"/>
      <c r="P26" s="44"/>
      <c r="Q26" s="1295"/>
      <c r="R26" s="1306"/>
      <c r="S26" s="330"/>
      <c r="T26" s="2584"/>
      <c r="U26" s="1296"/>
      <c r="V26" s="1297"/>
      <c r="W26" s="1292"/>
      <c r="X26" s="1292"/>
      <c r="Y26" s="1292"/>
      <c r="Z26" s="330"/>
      <c r="AA26" s="330"/>
      <c r="AB26" s="330"/>
      <c r="AC26" s="330"/>
      <c r="AD26" s="330"/>
      <c r="AE26" s="330"/>
      <c r="AF26" s="330"/>
      <c r="AG26" s="330"/>
      <c r="AH26" s="330"/>
    </row>
    <row r="27" spans="1:35" s="10" customFormat="1" ht="14.25" customHeight="1" x14ac:dyDescent="0.2">
      <c r="Q27" s="1794"/>
      <c r="R27" s="330"/>
      <c r="S27" s="330"/>
      <c r="T27" s="2584"/>
      <c r="U27" s="1298"/>
      <c r="V27" s="1299"/>
      <c r="W27" s="1299"/>
      <c r="X27" s="1299"/>
      <c r="Y27" s="1299"/>
      <c r="Z27" s="330"/>
      <c r="AA27" s="330"/>
      <c r="AB27" s="330"/>
      <c r="AC27" s="330"/>
      <c r="AD27" s="330"/>
      <c r="AE27" s="330"/>
      <c r="AF27" s="330"/>
      <c r="AG27" s="330"/>
      <c r="AH27" s="330"/>
    </row>
    <row r="28" spans="1:35" s="10" customFormat="1" ht="14.25" customHeight="1" x14ac:dyDescent="0.2">
      <c r="A28" s="38"/>
      <c r="B28" s="6" t="s">
        <v>123</v>
      </c>
      <c r="C28" s="15" t="s">
        <v>498</v>
      </c>
      <c r="D28" s="1349"/>
      <c r="E28" s="1349"/>
      <c r="F28" s="1349"/>
      <c r="I28" s="1465">
        <f>IF(Personalaufwendungen!H46&gt;0,Personalaufwendungen!H46,0)</f>
        <v>0</v>
      </c>
      <c r="K28" s="1824">
        <f>IFERROR(I28/'Allgemeine Angaben'!L47*('Allgemeine Angaben'!L47-'Allgemeine Angaben'!L48),0)</f>
        <v>0</v>
      </c>
      <c r="L28" s="1824">
        <f>IFERROR(ROUND(I28/'Allgemeine Angaben'!L47*'Allgemeine Angaben'!L48,4),0)</f>
        <v>0</v>
      </c>
      <c r="M28" s="578"/>
      <c r="N28" s="1363" t="s">
        <v>499</v>
      </c>
      <c r="O28" s="1902" t="str">
        <f>IF(I28&gt;0,ROUND('Allgemeine Angaben'!L47/Forderung!I28,2),"")</f>
        <v/>
      </c>
      <c r="P28" s="44"/>
      <c r="Q28" s="1291"/>
      <c r="R28" s="330"/>
      <c r="S28" s="330"/>
      <c r="T28" s="330"/>
      <c r="U28" s="330"/>
      <c r="V28" s="330"/>
      <c r="W28" s="330"/>
      <c r="X28" s="330"/>
      <c r="Y28" s="330"/>
      <c r="Z28" s="330"/>
      <c r="AA28" s="330"/>
      <c r="AB28" s="330"/>
      <c r="AC28" s="330"/>
      <c r="AD28" s="330"/>
      <c r="AE28" s="330"/>
      <c r="AF28" s="330"/>
      <c r="AG28" s="330"/>
      <c r="AH28" s="330"/>
    </row>
    <row r="29" spans="1:35" s="10" customFormat="1" ht="14.25" customHeight="1" x14ac:dyDescent="0.2">
      <c r="A29" s="38"/>
      <c r="B29" s="1349"/>
      <c r="C29" s="1789"/>
      <c r="D29" s="1349"/>
      <c r="E29" s="1349"/>
      <c r="F29" s="1349"/>
      <c r="I29" s="285"/>
      <c r="K29" s="1356"/>
      <c r="O29" s="6"/>
      <c r="P29" s="44"/>
      <c r="Q29" s="1300"/>
      <c r="R29" s="330"/>
      <c r="S29" s="330"/>
      <c r="T29" s="2577"/>
      <c r="U29" s="1301"/>
      <c r="V29" s="1274"/>
      <c r="W29" s="1274"/>
      <c r="X29" s="1274"/>
      <c r="Y29" s="1274"/>
      <c r="Z29" s="330"/>
      <c r="AA29" s="330"/>
      <c r="AB29" s="330"/>
      <c r="AC29" s="330"/>
      <c r="AD29" s="330"/>
      <c r="AE29" s="330"/>
      <c r="AF29" s="330"/>
      <c r="AG29" s="330"/>
      <c r="AH29" s="330"/>
    </row>
    <row r="30" spans="1:35" s="10" customFormat="1" ht="14.25" customHeight="1" x14ac:dyDescent="0.2">
      <c r="A30" s="38"/>
      <c r="B30" s="6" t="s">
        <v>124</v>
      </c>
      <c r="C30" s="15" t="s">
        <v>163</v>
      </c>
      <c r="D30" s="1349"/>
      <c r="E30" s="1349"/>
      <c r="F30" s="1349"/>
      <c r="I30" s="1465">
        <f>IF(Personalaufwendungen!H48&gt;0,Personalaufwendungen!H48,0)</f>
        <v>0</v>
      </c>
      <c r="K30" s="1824">
        <f>IFERROR(ROUND(I30/'Allgemeine Angaben'!L47*('Allgemeine Angaben'!L47-'Allgemeine Angaben'!L48),4),0)</f>
        <v>0</v>
      </c>
      <c r="L30" s="1824">
        <f>IFERROR(ROUND(I30/'Allgemeine Angaben'!L47*'Allgemeine Angaben'!L48,4),0)</f>
        <v>0</v>
      </c>
      <c r="N30" s="1363"/>
      <c r="O30" s="2178"/>
      <c r="P30" s="44"/>
      <c r="Q30" s="1268"/>
      <c r="R30" s="330"/>
      <c r="S30" s="330"/>
      <c r="T30" s="2577"/>
      <c r="U30" s="1302"/>
      <c r="V30" s="1303"/>
      <c r="W30" s="1303"/>
      <c r="X30" s="1303"/>
      <c r="Y30" s="1303"/>
      <c r="Z30" s="330"/>
      <c r="AA30" s="330"/>
      <c r="AB30" s="330"/>
      <c r="AC30" s="330"/>
      <c r="AD30" s="330"/>
      <c r="AE30" s="330"/>
      <c r="AF30" s="330"/>
    </row>
    <row r="31" spans="1:35" s="10" customFormat="1" ht="14.25" customHeight="1" x14ac:dyDescent="0.2">
      <c r="A31" s="38"/>
      <c r="B31" s="1349"/>
      <c r="C31" s="1349"/>
      <c r="D31" s="1349"/>
      <c r="E31" s="1349"/>
      <c r="F31" s="1349"/>
      <c r="I31" s="285"/>
      <c r="K31" s="1356"/>
      <c r="O31" s="6"/>
      <c r="P31" s="44"/>
      <c r="Q31" s="1268"/>
      <c r="R31" s="330"/>
      <c r="S31" s="330"/>
      <c r="T31" s="330"/>
      <c r="U31" s="330"/>
      <c r="V31" s="330"/>
      <c r="W31" s="330"/>
      <c r="X31" s="330"/>
      <c r="Y31" s="330"/>
      <c r="Z31" s="330"/>
      <c r="AA31" s="330"/>
      <c r="AB31" s="330"/>
      <c r="AC31" s="330"/>
      <c r="AD31" s="330"/>
      <c r="AE31" s="330"/>
      <c r="AF31" s="330"/>
    </row>
    <row r="32" spans="1:35" s="10" customFormat="1" ht="14.25" customHeight="1" x14ac:dyDescent="0.2">
      <c r="A32" s="38"/>
      <c r="B32" s="6" t="s">
        <v>125</v>
      </c>
      <c r="C32" s="15" t="s">
        <v>90</v>
      </c>
      <c r="D32" s="1349"/>
      <c r="E32" s="1349"/>
      <c r="F32" s="1349"/>
      <c r="I32" s="1465">
        <f>IF(Personalaufwendungen!H56&gt;0,Personalaufwendungen!H56,0)</f>
        <v>0</v>
      </c>
      <c r="K32" s="1824">
        <f>IFERROR(ROUND(I32/'Allgemeine Angaben'!L47*('Allgemeine Angaben'!L47-'Allgemeine Angaben'!L48),4),0)</f>
        <v>0</v>
      </c>
      <c r="L32" s="1824">
        <f>IFERROR(ROUND(I32/'Allgemeine Angaben'!L47*'Allgemeine Angaben'!L48,4),0)</f>
        <v>0</v>
      </c>
      <c r="N32" s="1363" t="s">
        <v>499</v>
      </c>
      <c r="O32" s="1245" t="str">
        <f>IF(I32&gt;0,ROUND('Allgemeine Angaben'!L47/Forderung!I32,2),"")</f>
        <v/>
      </c>
      <c r="P32" s="44"/>
      <c r="Q32" s="1268"/>
      <c r="R32" s="330"/>
      <c r="S32" s="330"/>
      <c r="T32" s="330"/>
      <c r="U32" s="330"/>
      <c r="V32" s="330"/>
      <c r="W32" s="330"/>
      <c r="X32" s="330"/>
      <c r="Y32" s="330"/>
      <c r="Z32" s="330"/>
      <c r="AA32" s="330"/>
      <c r="AB32" s="330"/>
      <c r="AC32" s="330"/>
      <c r="AD32" s="330"/>
      <c r="AE32" s="330"/>
      <c r="AF32" s="330"/>
    </row>
    <row r="33" spans="1:32" s="10" customFormat="1" ht="14.25" customHeight="1" x14ac:dyDescent="0.2">
      <c r="A33" s="38"/>
      <c r="B33" s="6"/>
      <c r="C33" s="1349"/>
      <c r="D33" s="1349"/>
      <c r="E33" s="1349"/>
      <c r="F33" s="1349"/>
      <c r="K33" s="330"/>
      <c r="O33" s="6"/>
      <c r="P33" s="44"/>
      <c r="Q33" s="1301"/>
      <c r="R33" s="330"/>
      <c r="S33" s="330"/>
      <c r="T33" s="330"/>
      <c r="U33" s="330"/>
      <c r="V33" s="330"/>
      <c r="W33" s="330"/>
      <c r="X33" s="330"/>
      <c r="Y33" s="330"/>
      <c r="Z33" s="330"/>
      <c r="AA33" s="330"/>
      <c r="AB33" s="330"/>
      <c r="AC33" s="330"/>
      <c r="AD33" s="330"/>
      <c r="AE33" s="330"/>
      <c r="AF33" s="330"/>
    </row>
    <row r="34" spans="1:32" s="10" customFormat="1" ht="14.25" customHeight="1" x14ac:dyDescent="0.2">
      <c r="A34" s="38"/>
      <c r="B34" s="6" t="s">
        <v>126</v>
      </c>
      <c r="C34" s="15" t="s">
        <v>44</v>
      </c>
      <c r="D34" s="1349"/>
      <c r="E34" s="1349"/>
      <c r="F34" s="1349"/>
      <c r="I34" s="1465">
        <f>IF(Personalaufwendungen!H58&gt;0,Personalaufwendungen!H58,0)</f>
        <v>0</v>
      </c>
      <c r="K34" s="1824">
        <f>IFERROR(ROUND(I34/'Allgemeine Angaben'!L47*('Allgemeine Angaben'!L47-'Allgemeine Angaben'!L48),4),0)</f>
        <v>0</v>
      </c>
      <c r="L34" s="1824">
        <f>IFERROR(ROUND(I34/'Allgemeine Angaben'!L47*'Allgemeine Angaben'!L48,4),0)</f>
        <v>0</v>
      </c>
      <c r="N34" s="1363" t="s">
        <v>499</v>
      </c>
      <c r="O34" s="1245" t="str">
        <f>IF(I34&gt;0,ROUND('Allgemeine Angaben'!L47/Forderung!I34,2),"")</f>
        <v/>
      </c>
      <c r="P34" s="44"/>
      <c r="Q34" s="407"/>
      <c r="R34" s="407"/>
      <c r="S34" s="330"/>
      <c r="T34" s="330"/>
      <c r="U34" s="330"/>
      <c r="V34" s="330"/>
      <c r="W34" s="330"/>
      <c r="X34" s="330"/>
      <c r="Y34" s="330"/>
      <c r="Z34" s="330"/>
      <c r="AA34" s="330"/>
      <c r="AB34" s="330"/>
      <c r="AC34" s="330"/>
      <c r="AD34" s="330"/>
      <c r="AE34" s="330"/>
      <c r="AF34" s="330"/>
    </row>
    <row r="35" spans="1:32" s="10" customFormat="1" ht="14.25" customHeight="1" x14ac:dyDescent="0.2">
      <c r="A35" s="38"/>
      <c r="B35" s="6"/>
      <c r="C35" s="1349"/>
      <c r="D35" s="1349"/>
      <c r="E35" s="1349"/>
      <c r="F35" s="1349"/>
      <c r="K35" s="330"/>
      <c r="O35" s="6"/>
      <c r="P35" s="44"/>
      <c r="Q35" s="407"/>
      <c r="R35" s="407"/>
      <c r="S35" s="330"/>
      <c r="T35" s="330"/>
      <c r="U35" s="330"/>
      <c r="V35" s="330"/>
      <c r="W35" s="330"/>
      <c r="X35" s="330"/>
      <c r="Y35" s="330"/>
      <c r="Z35" s="330"/>
      <c r="AA35" s="330"/>
      <c r="AB35" s="330"/>
      <c r="AC35" s="330"/>
      <c r="AD35" s="1279"/>
      <c r="AE35" s="330"/>
      <c r="AF35" s="330"/>
    </row>
    <row r="36" spans="1:32" s="10" customFormat="1" ht="14.25" customHeight="1" x14ac:dyDescent="0.2">
      <c r="A36" s="38"/>
      <c r="B36" s="6" t="s">
        <v>127</v>
      </c>
      <c r="C36" s="15" t="s">
        <v>45</v>
      </c>
      <c r="D36" s="1349"/>
      <c r="E36" s="1349"/>
      <c r="F36" s="1349"/>
      <c r="I36" s="1465">
        <f>IF(Personalaufwendungen!H60&gt;0,Personalaufwendungen!H60,0)</f>
        <v>0</v>
      </c>
      <c r="K36" s="1824">
        <f>IFERROR(ROUND(I36/'Allgemeine Angaben'!L47*('Allgemeine Angaben'!L47-'Allgemeine Angaben'!L48),4),0)</f>
        <v>0</v>
      </c>
      <c r="L36" s="1824">
        <f>IFERROR(ROUND(I36/'Allgemeine Angaben'!L47*'Allgemeine Angaben'!L48,4),0)</f>
        <v>0</v>
      </c>
      <c r="N36" s="1363" t="s">
        <v>499</v>
      </c>
      <c r="O36" s="1245" t="str">
        <f>IF(I36&gt;0,ROUND('Allgemeine Angaben'!L47/Forderung!I36,2),"")</f>
        <v/>
      </c>
      <c r="P36" s="44"/>
      <c r="Q36" s="407"/>
      <c r="R36" s="407"/>
      <c r="S36" s="330"/>
      <c r="T36" s="330"/>
      <c r="U36" s="330"/>
      <c r="V36" s="330"/>
      <c r="W36" s="330"/>
      <c r="X36" s="330"/>
      <c r="Y36" s="330"/>
      <c r="Z36" s="330"/>
      <c r="AA36" s="330"/>
      <c r="AB36" s="330"/>
      <c r="AC36" s="330"/>
      <c r="AD36" s="330"/>
      <c r="AE36" s="330"/>
      <c r="AF36" s="330"/>
    </row>
    <row r="37" spans="1:32" s="10" customFormat="1" ht="12.75" customHeight="1" x14ac:dyDescent="0.2">
      <c r="A37" s="38"/>
      <c r="B37" s="6"/>
      <c r="C37" s="1349"/>
      <c r="D37" s="1349"/>
      <c r="E37" s="1349"/>
      <c r="F37" s="1349"/>
      <c r="K37" s="330"/>
      <c r="P37" s="44"/>
      <c r="Q37" s="407"/>
      <c r="R37" s="407"/>
      <c r="S37" s="330"/>
      <c r="T37" s="330"/>
      <c r="U37" s="330"/>
      <c r="V37" s="330"/>
      <c r="W37" s="330"/>
      <c r="X37" s="330"/>
      <c r="Y37" s="330"/>
      <c r="Z37" s="330"/>
      <c r="AA37" s="330"/>
      <c r="AB37" s="330"/>
      <c r="AC37" s="330"/>
      <c r="AD37" s="330"/>
      <c r="AE37" s="330"/>
      <c r="AF37" s="330"/>
    </row>
    <row r="38" spans="1:32" s="10" customFormat="1" ht="14.25" customHeight="1" x14ac:dyDescent="0.2">
      <c r="A38" s="38"/>
      <c r="B38" s="6"/>
      <c r="C38" s="1349"/>
      <c r="D38" s="1349"/>
      <c r="E38" s="1349"/>
      <c r="F38" s="1349"/>
      <c r="I38" s="233" t="s">
        <v>91</v>
      </c>
      <c r="K38" s="1274" t="str">
        <f>IF('Allgemeine Angaben'!L48&gt;0,"Anzahl:","")</f>
        <v/>
      </c>
      <c r="L38" s="6" t="str">
        <f>K38</f>
        <v/>
      </c>
      <c r="P38" s="44"/>
      <c r="Q38" s="407"/>
      <c r="R38" s="407"/>
      <c r="S38" s="330"/>
      <c r="T38" s="330"/>
      <c r="U38" s="330"/>
      <c r="V38" s="330"/>
      <c r="W38" s="330"/>
      <c r="X38" s="330"/>
      <c r="Y38" s="330"/>
      <c r="Z38" s="330"/>
      <c r="AA38" s="330"/>
      <c r="AB38" s="330"/>
      <c r="AC38" s="330"/>
      <c r="AD38" s="330"/>
      <c r="AE38" s="330"/>
      <c r="AF38" s="330"/>
    </row>
    <row r="39" spans="1:32" s="10" customFormat="1" ht="14.25" customHeight="1" x14ac:dyDescent="0.2">
      <c r="A39" s="38"/>
      <c r="B39" s="6" t="s">
        <v>137</v>
      </c>
      <c r="C39" s="15" t="s">
        <v>500</v>
      </c>
      <c r="D39" s="1349"/>
      <c r="E39" s="1349"/>
      <c r="F39" s="1349"/>
      <c r="I39" s="1244">
        <f>IF(Personalkostenaufstellung!V588&gt;0,Personalkostenaufstellung!V588,0)</f>
        <v>0</v>
      </c>
      <c r="K39" s="1824">
        <f>IFERROR(ROUND(I39/'Allgemeine Angaben'!L47*('Allgemeine Angaben'!L47-'Allgemeine Angaben'!L48),4),0)</f>
        <v>0</v>
      </c>
      <c r="L39" s="1824">
        <f>IFERROR(ROUND(I39/'Allgemeine Angaben'!L47*'Allgemeine Angaben'!L48,4),0)</f>
        <v>0</v>
      </c>
      <c r="P39" s="44"/>
      <c r="Q39" s="407"/>
      <c r="R39" s="407"/>
      <c r="S39" s="330"/>
      <c r="T39" s="1304"/>
      <c r="U39" s="330"/>
      <c r="V39" s="330"/>
      <c r="W39" s="330"/>
      <c r="X39" s="330"/>
      <c r="Y39" s="330"/>
      <c r="Z39" s="330"/>
      <c r="AA39" s="330"/>
      <c r="AB39" s="330"/>
      <c r="AC39" s="330"/>
      <c r="AD39" s="330"/>
      <c r="AE39" s="330"/>
      <c r="AF39" s="330"/>
    </row>
    <row r="40" spans="1:32" s="10" customFormat="1" ht="14.25" customHeight="1" x14ac:dyDescent="0.2">
      <c r="A40" s="38"/>
      <c r="B40" s="330"/>
      <c r="C40" s="330"/>
      <c r="D40" s="1364"/>
      <c r="E40" s="1364"/>
      <c r="F40" s="1364"/>
      <c r="G40" s="1364"/>
      <c r="H40" s="1364"/>
      <c r="I40" s="1364"/>
      <c r="J40" s="1342"/>
      <c r="K40" s="1342"/>
      <c r="L40" s="1337"/>
      <c r="M40" s="1347"/>
      <c r="N40" s="406"/>
      <c r="O40" s="1351"/>
      <c r="P40" s="332"/>
      <c r="Q40" s="497"/>
      <c r="R40" s="1305"/>
      <c r="S40" s="1306"/>
      <c r="T40" s="407"/>
      <c r="U40" s="1307"/>
      <c r="V40" s="1308"/>
      <c r="W40" s="330"/>
      <c r="X40" s="330"/>
      <c r="Y40" s="330"/>
      <c r="Z40" s="330"/>
      <c r="AA40" s="1285"/>
      <c r="AB40" s="1285"/>
      <c r="AC40" s="1285"/>
      <c r="AD40" s="1285"/>
      <c r="AE40" s="330"/>
      <c r="AF40" s="330"/>
    </row>
    <row r="41" spans="1:32" s="10" customFormat="1" ht="14.25" customHeight="1" x14ac:dyDescent="0.2">
      <c r="A41" s="1365"/>
      <c r="B41" s="1345" t="s">
        <v>501</v>
      </c>
      <c r="C41" s="1344" t="s">
        <v>502</v>
      </c>
      <c r="D41" s="1330"/>
      <c r="E41" s="1346"/>
      <c r="F41" s="1344"/>
      <c r="G41" s="1345"/>
      <c r="H41" s="1330"/>
      <c r="I41" s="330"/>
      <c r="J41" s="330"/>
      <c r="K41" s="330"/>
      <c r="L41" s="330"/>
      <c r="M41" s="1347"/>
      <c r="N41" s="330"/>
      <c r="O41" s="406"/>
      <c r="P41" s="44"/>
      <c r="Q41" s="1295"/>
      <c r="R41" s="1295"/>
      <c r="S41" s="1295"/>
      <c r="T41" s="839"/>
      <c r="U41" s="839"/>
      <c r="V41" s="330"/>
      <c r="W41" s="839"/>
      <c r="X41" s="839"/>
      <c r="Y41" s="330"/>
      <c r="Z41" s="330"/>
      <c r="AA41" s="330"/>
      <c r="AB41" s="330"/>
      <c r="AC41" s="330"/>
      <c r="AD41" s="1285"/>
      <c r="AE41" s="330"/>
      <c r="AF41" s="330"/>
    </row>
    <row r="42" spans="1:32" s="10" customFormat="1" ht="14.25" customHeight="1" x14ac:dyDescent="0.2">
      <c r="A42" s="38"/>
      <c r="B42" s="330"/>
      <c r="C42" s="330"/>
      <c r="D42" s="327"/>
      <c r="E42" s="327"/>
      <c r="F42" s="327"/>
      <c r="G42" s="327"/>
      <c r="H42" s="330"/>
      <c r="I42" s="330"/>
      <c r="J42" s="1125"/>
      <c r="K42" s="1125"/>
      <c r="L42" s="1337"/>
      <c r="M42" s="1347"/>
      <c r="N42" s="1360"/>
      <c r="O42" s="1343"/>
      <c r="P42" s="127"/>
      <c r="Q42" s="1309"/>
      <c r="R42" s="407"/>
      <c r="S42" s="407"/>
      <c r="T42" s="407"/>
      <c r="U42" s="1310"/>
      <c r="V42" s="1311"/>
      <c r="W42" s="1312"/>
      <c r="X42" s="407"/>
      <c r="Y42" s="407"/>
      <c r="Z42" s="330"/>
      <c r="AA42" s="330"/>
      <c r="AB42" s="330"/>
      <c r="AC42" s="330"/>
      <c r="AD42" s="330"/>
      <c r="AE42" s="330"/>
      <c r="AF42" s="330"/>
    </row>
    <row r="43" spans="1:32" s="10" customFormat="1" ht="14.25" customHeight="1" x14ac:dyDescent="0.2">
      <c r="A43" s="38"/>
      <c r="B43" s="330"/>
      <c r="C43" s="1330" t="s">
        <v>92</v>
      </c>
      <c r="D43" s="327"/>
      <c r="E43" s="327"/>
      <c r="F43" s="327"/>
      <c r="G43" s="327"/>
      <c r="H43" s="327"/>
      <c r="I43" s="130" t="str">
        <f>IF(ISERROR('Gesamtkalkulation '!L55),"",'Gesamtkalkulation '!L55)</f>
        <v/>
      </c>
      <c r="K43" s="1366" t="s">
        <v>52</v>
      </c>
      <c r="N43" s="330"/>
      <c r="O43" s="330"/>
      <c r="P43" s="127"/>
      <c r="Q43" s="1309"/>
      <c r="R43" s="407"/>
      <c r="S43" s="407"/>
      <c r="T43" s="407"/>
      <c r="U43" s="1310"/>
      <c r="V43" s="1311"/>
      <c r="W43" s="1312"/>
      <c r="X43" s="407"/>
      <c r="Y43" s="407"/>
      <c r="Z43" s="330"/>
      <c r="AA43" s="330"/>
      <c r="AB43" s="330"/>
      <c r="AC43" s="330"/>
      <c r="AD43" s="330"/>
      <c r="AE43" s="330"/>
      <c r="AF43" s="330"/>
    </row>
    <row r="44" spans="1:32" s="10" customFormat="1" ht="14.25" customHeight="1" x14ac:dyDescent="0.2">
      <c r="A44" s="38"/>
      <c r="B44" s="330"/>
      <c r="C44" s="1367" t="s">
        <v>93</v>
      </c>
      <c r="D44" s="327"/>
      <c r="E44" s="327"/>
      <c r="F44" s="327"/>
      <c r="G44" s="327"/>
      <c r="H44" s="330"/>
      <c r="I44" s="330"/>
      <c r="L44" s="1337"/>
      <c r="M44" s="1347"/>
      <c r="N44" s="1360"/>
      <c r="O44" s="1343"/>
      <c r="P44" s="44"/>
      <c r="Q44" s="406"/>
      <c r="R44" s="407"/>
      <c r="S44" s="407"/>
      <c r="T44" s="1313"/>
      <c r="U44" s="1314"/>
      <c r="V44" s="1311"/>
      <c r="W44" s="1315"/>
      <c r="X44" s="407"/>
      <c r="Y44" s="407"/>
      <c r="Z44" s="330"/>
      <c r="AA44" s="330"/>
      <c r="AB44" s="330"/>
      <c r="AC44" s="330"/>
      <c r="AD44" s="330"/>
      <c r="AE44" s="330"/>
      <c r="AF44" s="330"/>
    </row>
    <row r="45" spans="1:32" s="10" customFormat="1" ht="14.25" customHeight="1" x14ac:dyDescent="0.2">
      <c r="A45" s="38"/>
      <c r="B45" s="330"/>
      <c r="C45" s="330"/>
      <c r="D45" s="327"/>
      <c r="E45" s="327"/>
      <c r="F45" s="327"/>
      <c r="G45" s="327"/>
      <c r="H45" s="327"/>
      <c r="I45" s="330"/>
      <c r="K45" s="330"/>
      <c r="L45" s="330"/>
      <c r="M45" s="1347"/>
      <c r="N45" s="330"/>
      <c r="O45" s="330"/>
      <c r="P45" s="44"/>
      <c r="Q45" s="330"/>
      <c r="R45" s="407"/>
      <c r="S45" s="407"/>
      <c r="T45" s="1313"/>
      <c r="U45" s="1314"/>
      <c r="V45" s="1311"/>
      <c r="W45" s="1315"/>
      <c r="X45" s="407"/>
      <c r="Y45" s="407"/>
      <c r="Z45" s="330"/>
      <c r="AA45" s="330"/>
      <c r="AB45" s="330"/>
      <c r="AC45" s="330"/>
      <c r="AD45" s="330"/>
      <c r="AE45" s="330"/>
      <c r="AF45" s="330"/>
    </row>
    <row r="46" spans="1:32" s="10" customFormat="1" ht="14.25" customHeight="1" x14ac:dyDescent="0.2">
      <c r="A46" s="38"/>
      <c r="B46" s="330"/>
      <c r="C46" s="1330" t="s">
        <v>94</v>
      </c>
      <c r="D46" s="327"/>
      <c r="E46" s="327"/>
      <c r="F46" s="327"/>
      <c r="G46" s="327"/>
      <c r="H46" s="330"/>
      <c r="I46" s="327" t="s">
        <v>604</v>
      </c>
      <c r="K46" s="1342"/>
      <c r="L46" s="1364" t="str">
        <f>IF('Allgemeine Angaben'!L48&gt;0,"angebundene / integrierte Kurzzeitpflege","")</f>
        <v/>
      </c>
      <c r="M46" s="1347"/>
      <c r="N46" s="1360"/>
      <c r="O46" s="1343"/>
      <c r="P46" s="44"/>
      <c r="Q46" s="330"/>
      <c r="R46" s="407"/>
      <c r="S46" s="407"/>
      <c r="T46" s="1313"/>
      <c r="U46" s="1314"/>
      <c r="V46" s="1311"/>
      <c r="W46" s="1315"/>
      <c r="X46" s="407"/>
      <c r="Y46" s="407"/>
      <c r="Z46" s="330"/>
      <c r="AA46" s="330"/>
      <c r="AB46" s="330"/>
      <c r="AC46" s="330"/>
      <c r="AD46" s="330"/>
      <c r="AE46" s="330"/>
      <c r="AF46" s="330"/>
    </row>
    <row r="47" spans="1:32" s="10" customFormat="1" ht="14.25" customHeight="1" x14ac:dyDescent="0.2">
      <c r="A47" s="38"/>
      <c r="B47" s="330"/>
      <c r="D47" s="327"/>
      <c r="E47" s="327"/>
      <c r="F47" s="327"/>
      <c r="G47" s="327"/>
      <c r="H47" s="327"/>
      <c r="I47" s="330"/>
      <c r="K47" s="330"/>
      <c r="L47" s="330"/>
      <c r="M47" s="1347"/>
      <c r="N47" s="330"/>
      <c r="O47" s="330"/>
      <c r="P47" s="44"/>
      <c r="Q47" s="330"/>
      <c r="R47" s="407"/>
      <c r="S47" s="407"/>
      <c r="T47" s="1313"/>
      <c r="U47" s="1314"/>
      <c r="V47" s="1311"/>
      <c r="W47" s="1315"/>
      <c r="X47" s="407"/>
      <c r="Y47" s="407"/>
      <c r="Z47" s="330"/>
      <c r="AA47" s="330"/>
      <c r="AB47" s="1304"/>
      <c r="AC47" s="330"/>
      <c r="AD47" s="330"/>
      <c r="AE47" s="330"/>
      <c r="AF47" s="330"/>
    </row>
    <row r="48" spans="1:32" s="10" customFormat="1" ht="13.5" customHeight="1" x14ac:dyDescent="0.2">
      <c r="A48" s="38"/>
      <c r="B48" s="330"/>
      <c r="C48" s="1134" t="s">
        <v>95</v>
      </c>
      <c r="D48" s="1129"/>
      <c r="E48" s="1129"/>
      <c r="F48" s="1135"/>
      <c r="G48" s="327"/>
      <c r="H48" s="330"/>
      <c r="I48" s="130" t="str">
        <f>IF('Gesamtkalkulation '!J58&gt;0,'Gesamtkalkulation '!J58,"")</f>
        <v/>
      </c>
      <c r="K48" s="1366" t="s">
        <v>52</v>
      </c>
      <c r="L48" s="1827" t="s">
        <v>605</v>
      </c>
      <c r="M48" s="1915" t="s">
        <v>606</v>
      </c>
      <c r="N48" s="1360"/>
      <c r="O48" s="1987" t="str">
        <f>IFERROR(IF('Gesamtkalkulation '!J62&gt;0,'Gesamtkalkulation '!J62,""),"")</f>
        <v/>
      </c>
      <c r="P48" s="1828" t="s">
        <v>607</v>
      </c>
      <c r="Q48" s="330"/>
      <c r="R48" s="407"/>
      <c r="S48" s="407"/>
      <c r="T48" s="1313"/>
      <c r="U48" s="1314"/>
      <c r="V48" s="1311"/>
      <c r="W48" s="1315"/>
      <c r="X48" s="407"/>
      <c r="Y48" s="407"/>
      <c r="Z48" s="330"/>
      <c r="AA48" s="330"/>
      <c r="AB48" s="1304"/>
      <c r="AC48" s="330"/>
      <c r="AD48" s="330"/>
      <c r="AE48" s="330"/>
      <c r="AF48" s="330"/>
    </row>
    <row r="49" spans="1:32" s="10" customFormat="1" ht="14.25" customHeight="1" x14ac:dyDescent="0.2">
      <c r="A49" s="38"/>
      <c r="B49" s="330"/>
      <c r="C49" s="330"/>
      <c r="D49" s="327"/>
      <c r="E49" s="327"/>
      <c r="F49" s="327"/>
      <c r="G49" s="327"/>
      <c r="H49" s="327"/>
      <c r="I49" s="330"/>
      <c r="M49" s="1347"/>
      <c r="N49" s="330"/>
      <c r="O49" s="330"/>
      <c r="P49" s="44"/>
      <c r="Q49" s="1316"/>
      <c r="R49" s="407"/>
      <c r="S49" s="407"/>
      <c r="T49" s="1313"/>
      <c r="U49" s="1314"/>
      <c r="V49" s="1311"/>
      <c r="W49" s="1315"/>
      <c r="X49" s="407"/>
      <c r="Y49" s="407"/>
      <c r="Z49" s="330"/>
      <c r="AA49" s="330"/>
      <c r="AB49" s="1304"/>
      <c r="AC49" s="330"/>
      <c r="AD49" s="330"/>
      <c r="AE49" s="330"/>
      <c r="AF49" s="330"/>
    </row>
    <row r="50" spans="1:32" s="10" customFormat="1" ht="14.25" customHeight="1" x14ac:dyDescent="0.2">
      <c r="A50" s="38"/>
      <c r="B50" s="330"/>
      <c r="C50" s="1134" t="s">
        <v>96</v>
      </c>
      <c r="D50" s="1129"/>
      <c r="E50" s="1129"/>
      <c r="F50" s="1135"/>
      <c r="G50" s="327"/>
      <c r="H50" s="327"/>
      <c r="I50" s="130" t="str">
        <f>IF(ISERROR('Gesamtkalkulation '!L58),"",'Gesamtkalkulation '!L58)</f>
        <v/>
      </c>
      <c r="K50" s="1366" t="s">
        <v>52</v>
      </c>
      <c r="L50" s="1366"/>
      <c r="M50" s="330"/>
      <c r="N50" s="330"/>
      <c r="O50" s="1368"/>
      <c r="P50" s="44"/>
      <c r="Q50" s="330"/>
      <c r="R50" s="330"/>
      <c r="S50" s="330"/>
      <c r="T50" s="330"/>
      <c r="U50" s="330"/>
      <c r="V50" s="330"/>
      <c r="W50" s="330"/>
      <c r="X50" s="330"/>
      <c r="Y50" s="330"/>
      <c r="Z50" s="330"/>
      <c r="AA50" s="330"/>
      <c r="AB50" s="330"/>
      <c r="AC50" s="330"/>
      <c r="AD50" s="330"/>
      <c r="AE50" s="330"/>
      <c r="AF50" s="330"/>
    </row>
    <row r="51" spans="1:32" s="10" customFormat="1" ht="14.25" customHeight="1" x14ac:dyDescent="0.2">
      <c r="A51" s="38"/>
      <c r="D51" s="1369"/>
      <c r="I51" s="1366"/>
      <c r="N51" s="1252"/>
      <c r="O51" s="1370"/>
      <c r="P51" s="44"/>
      <c r="Q51" s="1317"/>
      <c r="R51" s="407"/>
      <c r="S51" s="330"/>
      <c r="T51" s="330"/>
      <c r="U51" s="330"/>
      <c r="V51" s="330"/>
      <c r="W51" s="330"/>
      <c r="X51" s="330"/>
      <c r="Y51" s="330"/>
      <c r="Z51" s="330"/>
      <c r="AA51" s="330"/>
      <c r="AB51" s="330"/>
      <c r="AC51" s="330"/>
      <c r="AD51" s="330"/>
      <c r="AE51" s="330"/>
      <c r="AF51" s="330"/>
    </row>
    <row r="52" spans="1:32" s="10" customFormat="1" ht="14.25" customHeight="1" x14ac:dyDescent="0.2">
      <c r="A52" s="38"/>
      <c r="C52" s="1136" t="s">
        <v>97</v>
      </c>
      <c r="D52" s="137"/>
      <c r="E52" s="137"/>
      <c r="F52" s="134"/>
      <c r="H52" s="233"/>
      <c r="I52" s="130" t="str">
        <f>IF(ISERROR('Gesamtkalkulation '!N58),"",'Gesamtkalkulation '!N58)</f>
        <v/>
      </c>
      <c r="K52" s="1366" t="s">
        <v>52</v>
      </c>
      <c r="L52" s="1366"/>
      <c r="M52" s="1371"/>
      <c r="N52" s="1371"/>
      <c r="O52" s="1370"/>
      <c r="P52" s="44"/>
      <c r="Q52" s="1268"/>
      <c r="R52" s="407"/>
      <c r="S52" s="330"/>
      <c r="T52" s="330"/>
      <c r="U52" s="330"/>
      <c r="V52" s="330"/>
      <c r="W52" s="330"/>
      <c r="X52" s="330"/>
      <c r="Y52" s="330"/>
      <c r="Z52" s="330"/>
      <c r="AA52" s="330"/>
      <c r="AB52" s="330"/>
      <c r="AC52" s="330"/>
      <c r="AD52" s="330"/>
      <c r="AE52" s="330"/>
      <c r="AF52" s="330"/>
    </row>
    <row r="53" spans="1:32" s="10" customFormat="1" ht="14.25" customHeight="1" x14ac:dyDescent="0.2">
      <c r="A53" s="38"/>
      <c r="M53" s="1371"/>
      <c r="N53" s="1371"/>
      <c r="O53" s="1370"/>
      <c r="P53" s="44"/>
      <c r="Q53" s="1271"/>
      <c r="R53" s="407"/>
      <c r="S53" s="330"/>
      <c r="T53" s="330"/>
      <c r="U53" s="330"/>
      <c r="V53" s="330"/>
      <c r="W53" s="330"/>
      <c r="X53" s="330"/>
      <c r="Y53" s="330"/>
      <c r="Z53" s="330"/>
      <c r="AA53" s="330"/>
      <c r="AB53" s="330"/>
      <c r="AC53" s="330"/>
      <c r="AD53" s="330"/>
      <c r="AE53" s="330"/>
      <c r="AF53" s="330"/>
    </row>
    <row r="54" spans="1:32" s="10" customFormat="1" ht="14.25" customHeight="1" x14ac:dyDescent="0.2">
      <c r="A54" s="38"/>
      <c r="C54" s="1136" t="s">
        <v>98</v>
      </c>
      <c r="D54" s="137"/>
      <c r="E54" s="137"/>
      <c r="F54" s="134"/>
      <c r="I54" s="130" t="str">
        <f>IF(ISERROR('Gesamtkalkulation '!P58),"",'Gesamtkalkulation '!P58)</f>
        <v/>
      </c>
      <c r="K54" s="1366" t="s">
        <v>52</v>
      </c>
      <c r="L54" s="1366"/>
      <c r="M54" s="1371"/>
      <c r="N54" s="1371"/>
      <c r="O54" s="389"/>
      <c r="P54" s="44"/>
      <c r="Q54" s="1271"/>
      <c r="R54" s="407"/>
      <c r="S54" s="330"/>
      <c r="T54" s="330"/>
      <c r="U54" s="330"/>
      <c r="V54" s="330"/>
      <c r="W54" s="330"/>
      <c r="X54" s="330"/>
      <c r="Y54" s="330"/>
      <c r="Z54" s="330"/>
      <c r="AA54" s="330"/>
      <c r="AB54" s="330"/>
      <c r="AC54" s="330"/>
      <c r="AD54" s="330"/>
      <c r="AE54" s="330"/>
      <c r="AF54" s="330"/>
    </row>
    <row r="55" spans="1:32" s="10" customFormat="1" ht="14.25" customHeight="1" x14ac:dyDescent="0.2">
      <c r="A55" s="38"/>
      <c r="M55" s="1372"/>
      <c r="P55" s="44"/>
      <c r="Q55" s="1271"/>
      <c r="R55" s="407"/>
      <c r="S55" s="330"/>
      <c r="T55" s="330"/>
      <c r="U55" s="330"/>
      <c r="V55" s="330"/>
      <c r="W55" s="330"/>
      <c r="X55" s="330"/>
      <c r="Y55" s="330"/>
      <c r="Z55" s="330"/>
      <c r="AA55" s="330"/>
      <c r="AB55" s="330"/>
      <c r="AC55" s="330"/>
      <c r="AD55" s="330"/>
      <c r="AE55" s="330"/>
      <c r="AF55" s="330"/>
    </row>
    <row r="56" spans="1:32" s="10" customFormat="1" ht="14.25" customHeight="1" x14ac:dyDescent="0.2">
      <c r="A56" s="38"/>
      <c r="C56" s="1136" t="s">
        <v>99</v>
      </c>
      <c r="D56" s="1137"/>
      <c r="E56" s="137"/>
      <c r="F56" s="134"/>
      <c r="I56" s="130" t="str">
        <f>IF(ISERROR('Gesamtkalkulation '!R58),"",'Gesamtkalkulation '!R58)</f>
        <v/>
      </c>
      <c r="K56" s="1366" t="s">
        <v>52</v>
      </c>
      <c r="L56" s="1366"/>
      <c r="P56" s="44"/>
      <c r="Q56" s="1318"/>
      <c r="R56" s="407"/>
      <c r="S56" s="330"/>
      <c r="T56" s="330"/>
      <c r="U56" s="330"/>
      <c r="V56" s="330"/>
      <c r="W56" s="330"/>
      <c r="X56" s="330"/>
      <c r="Y56" s="330"/>
      <c r="Z56" s="330"/>
      <c r="AA56" s="330"/>
      <c r="AB56" s="330"/>
      <c r="AC56" s="330"/>
      <c r="AD56" s="330"/>
      <c r="AE56" s="330"/>
      <c r="AF56" s="330"/>
    </row>
    <row r="57" spans="1:32" s="10" customFormat="1" ht="14.25" customHeight="1" x14ac:dyDescent="0.2">
      <c r="A57" s="38"/>
      <c r="P57" s="44"/>
      <c r="Q57" s="1268"/>
      <c r="R57" s="1319"/>
      <c r="S57" s="1319"/>
      <c r="T57" s="1319"/>
      <c r="U57" s="1319"/>
      <c r="V57" s="1319"/>
      <c r="W57" s="1084"/>
      <c r="X57" s="1084"/>
      <c r="Y57" s="330"/>
      <c r="Z57" s="330"/>
      <c r="AA57" s="330"/>
      <c r="AB57" s="330"/>
      <c r="AC57" s="330"/>
      <c r="AD57" s="330"/>
      <c r="AE57" s="330"/>
      <c r="AF57" s="330"/>
    </row>
    <row r="58" spans="1:32" s="10" customFormat="1" ht="14.25" customHeight="1" x14ac:dyDescent="0.2">
      <c r="A58" s="38"/>
      <c r="C58" s="1330" t="s">
        <v>353</v>
      </c>
      <c r="D58" s="88"/>
      <c r="E58" s="88"/>
      <c r="G58" s="88"/>
      <c r="H58" s="1224"/>
      <c r="I58" s="130" t="str">
        <f>IF(ISERROR('Gesamtkalkulation '!X58),"",'Gesamtkalkulation '!X58)</f>
        <v/>
      </c>
      <c r="K58" s="1366" t="s">
        <v>52</v>
      </c>
      <c r="L58" s="1869" t="s">
        <v>353</v>
      </c>
      <c r="M58" s="1331"/>
      <c r="N58" s="1331"/>
      <c r="O58" s="1987" t="str">
        <f>IFERROR(IF('Gesamtkalkulation '!X62&gt;0,'Gesamtkalkulation '!X62,""),"")</f>
        <v/>
      </c>
      <c r="P58" s="1828" t="s">
        <v>607</v>
      </c>
      <c r="Q58" s="1268"/>
      <c r="R58" s="1319"/>
      <c r="S58" s="1319"/>
      <c r="T58" s="1319"/>
      <c r="U58" s="1319"/>
      <c r="V58" s="1320"/>
      <c r="W58" s="1084"/>
      <c r="X58" s="1084"/>
      <c r="Y58" s="330"/>
      <c r="Z58" s="330"/>
      <c r="AA58" s="330"/>
      <c r="AB58" s="330"/>
      <c r="AC58" s="330"/>
      <c r="AD58" s="330"/>
      <c r="AE58" s="330"/>
      <c r="AF58" s="330"/>
    </row>
    <row r="59" spans="1:32" s="10" customFormat="1" ht="14.25" customHeight="1" x14ac:dyDescent="0.2">
      <c r="A59" s="38"/>
      <c r="E59" s="88"/>
      <c r="P59" s="44"/>
      <c r="Q59" s="1268"/>
      <c r="R59" s="1319"/>
      <c r="S59" s="1319"/>
      <c r="T59" s="1319"/>
      <c r="U59" s="1319"/>
      <c r="V59" s="330"/>
      <c r="W59" s="330"/>
      <c r="X59" s="330"/>
      <c r="Y59" s="330"/>
      <c r="Z59" s="330"/>
      <c r="AA59" s="330"/>
      <c r="AB59" s="330"/>
      <c r="AC59" s="330"/>
      <c r="AD59" s="330"/>
      <c r="AE59" s="330"/>
      <c r="AF59" s="330"/>
    </row>
    <row r="60" spans="1:32" s="10" customFormat="1" ht="14.25" customHeight="1" x14ac:dyDescent="0.2">
      <c r="A60" s="38"/>
      <c r="C60" s="1330" t="s">
        <v>100</v>
      </c>
      <c r="D60" s="88"/>
      <c r="E60" s="88"/>
      <c r="G60" s="88"/>
      <c r="H60" s="1224"/>
      <c r="I60" s="327" t="s">
        <v>604</v>
      </c>
      <c r="K60" s="1342"/>
      <c r="L60" s="1364" t="str">
        <f>IF('Allgemeine Angaben'!L48&gt;0,"angebundene / integrierte Kurzzeitpflege","")</f>
        <v/>
      </c>
      <c r="P60" s="44"/>
      <c r="Q60" s="1268"/>
      <c r="R60" s="1319"/>
      <c r="S60" s="1319"/>
      <c r="T60" s="1319"/>
      <c r="U60" s="1319"/>
      <c r="V60" s="420"/>
      <c r="W60" s="420"/>
      <c r="X60" s="420"/>
      <c r="Y60" s="420"/>
      <c r="Z60" s="420"/>
      <c r="AA60" s="1255"/>
      <c r="AB60" s="1255"/>
      <c r="AC60" s="420"/>
      <c r="AD60" s="420"/>
      <c r="AE60" s="420"/>
      <c r="AF60" s="420"/>
    </row>
    <row r="61" spans="1:32" s="10" customFormat="1" ht="14.25" customHeight="1" x14ac:dyDescent="0.2">
      <c r="A61" s="38"/>
      <c r="E61" s="88"/>
      <c r="P61" s="44"/>
      <c r="Q61" s="1268"/>
      <c r="R61" s="1319"/>
      <c r="S61" s="1319"/>
      <c r="T61" s="1319"/>
      <c r="U61" s="1319"/>
      <c r="V61" s="420"/>
      <c r="W61" s="420"/>
      <c r="X61" s="420"/>
      <c r="Y61" s="420"/>
      <c r="Z61" s="420"/>
      <c r="AA61" s="420"/>
      <c r="AB61" s="420"/>
      <c r="AC61" s="420"/>
      <c r="AD61" s="420"/>
      <c r="AE61" s="420"/>
      <c r="AF61" s="420"/>
    </row>
    <row r="62" spans="1:32" s="10" customFormat="1" ht="14.25" customHeight="1" x14ac:dyDescent="0.2">
      <c r="A62" s="38"/>
      <c r="C62" s="651" t="s">
        <v>352</v>
      </c>
      <c r="D62" s="136"/>
      <c r="E62" s="136"/>
      <c r="F62" s="134"/>
      <c r="G62" s="88"/>
      <c r="H62" s="1224"/>
      <c r="I62" s="130" t="str">
        <f>IF(ISERROR('Gesamtkalkulation '!T58),"",'Gesamtkalkulation '!T58)</f>
        <v/>
      </c>
      <c r="K62" s="1366" t="s">
        <v>52</v>
      </c>
      <c r="L62" s="1119" t="s">
        <v>608</v>
      </c>
      <c r="M62" s="1119"/>
      <c r="O62" s="1829">
        <f>IF(ISERROR('Gesamtkalkulation '!T62),"",'Gesamtkalkulation '!T62)</f>
        <v>0</v>
      </c>
      <c r="P62" s="1830" t="s">
        <v>607</v>
      </c>
      <c r="Q62" s="1268"/>
      <c r="R62" s="1319"/>
      <c r="S62" s="1319"/>
      <c r="T62" s="1319"/>
      <c r="U62" s="1319"/>
      <c r="V62" s="420"/>
      <c r="W62" s="420"/>
      <c r="X62" s="420"/>
      <c r="Y62" s="420"/>
      <c r="Z62" s="1321"/>
      <c r="AA62" s="420"/>
      <c r="AB62" s="420"/>
      <c r="AC62" s="1256"/>
      <c r="AD62" s="420"/>
      <c r="AE62" s="420"/>
      <c r="AF62" s="420"/>
    </row>
    <row r="63" spans="1:32" s="10" customFormat="1" ht="14.25" customHeight="1" x14ac:dyDescent="0.2">
      <c r="A63" s="38"/>
      <c r="E63" s="88"/>
      <c r="P63" s="44"/>
      <c r="Q63" s="1268"/>
      <c r="R63" s="1319"/>
      <c r="S63" s="1319"/>
      <c r="T63" s="1319"/>
      <c r="U63" s="1319"/>
      <c r="V63" s="420"/>
      <c r="W63" s="420"/>
      <c r="X63" s="420"/>
      <c r="Y63" s="420"/>
      <c r="Z63" s="420"/>
      <c r="AA63" s="420"/>
      <c r="AB63" s="420"/>
      <c r="AC63" s="420"/>
      <c r="AD63" s="420"/>
      <c r="AE63" s="420"/>
      <c r="AF63" s="420"/>
    </row>
    <row r="64" spans="1:32" s="10" customFormat="1" ht="14.25" customHeight="1" x14ac:dyDescent="0.2">
      <c r="A64" s="38"/>
      <c r="C64" s="651" t="s">
        <v>351</v>
      </c>
      <c r="D64" s="136"/>
      <c r="E64" s="136"/>
      <c r="F64" s="134"/>
      <c r="G64" s="88"/>
      <c r="H64" s="1224"/>
      <c r="I64" s="130" t="str">
        <f>IF(ISERROR('Gesamtkalkulation '!V58),"",'Gesamtkalkulation '!V58)</f>
        <v/>
      </c>
      <c r="K64" s="1366" t="s">
        <v>52</v>
      </c>
      <c r="L64" s="1119" t="s">
        <v>609</v>
      </c>
      <c r="M64" s="1119"/>
      <c r="O64" s="1829">
        <f>IF(ISERROR('Gesamtkalkulation '!V62),"",'Gesamtkalkulation '!V62)</f>
        <v>0</v>
      </c>
      <c r="P64" s="1830" t="s">
        <v>607</v>
      </c>
      <c r="Q64" s="1268"/>
      <c r="R64" s="1319"/>
      <c r="S64" s="1319"/>
      <c r="T64" s="1319"/>
      <c r="U64" s="1319"/>
      <c r="V64" s="420"/>
      <c r="W64" s="420"/>
      <c r="X64" s="420"/>
      <c r="Y64" s="420"/>
      <c r="Z64" s="420"/>
      <c r="AA64" s="420"/>
      <c r="AB64" s="420"/>
      <c r="AC64" s="420"/>
      <c r="AD64" s="420"/>
      <c r="AE64" s="420"/>
      <c r="AF64" s="420"/>
    </row>
    <row r="65" spans="1:32" s="10" customFormat="1" ht="14.25" customHeight="1" x14ac:dyDescent="0.2">
      <c r="A65" s="38"/>
      <c r="E65" s="88"/>
      <c r="K65" s="407"/>
      <c r="P65" s="44"/>
      <c r="Q65" s="1268"/>
      <c r="R65" s="1319"/>
      <c r="S65" s="1319"/>
      <c r="T65" s="1319"/>
      <c r="U65" s="1319"/>
      <c r="V65" s="420"/>
      <c r="W65" s="420"/>
      <c r="X65" s="420"/>
      <c r="Y65" s="420"/>
      <c r="Z65" s="420"/>
      <c r="AA65" s="420"/>
      <c r="AB65" s="420"/>
      <c r="AC65" s="420"/>
      <c r="AD65" s="420"/>
      <c r="AE65" s="420"/>
      <c r="AF65" s="420"/>
    </row>
    <row r="66" spans="1:32" s="10" customFormat="1" ht="24" customHeight="1" x14ac:dyDescent="0.2">
      <c r="A66" s="38"/>
      <c r="B66" s="1345" t="s">
        <v>548</v>
      </c>
      <c r="C66" s="1344" t="s">
        <v>546</v>
      </c>
      <c r="D66" s="1330"/>
      <c r="E66" s="1330"/>
      <c r="F66" s="1330"/>
      <c r="G66" s="1330"/>
      <c r="H66" s="1330"/>
      <c r="I66" s="1330"/>
      <c r="J66" s="1330"/>
      <c r="K66" s="1330"/>
      <c r="L66" s="1330"/>
      <c r="M66" s="1330"/>
      <c r="N66" s="1330"/>
      <c r="O66" s="1330"/>
      <c r="P66" s="1373"/>
      <c r="Q66" s="1268"/>
      <c r="R66" s="1319"/>
      <c r="S66" s="1319"/>
      <c r="T66" s="1319"/>
      <c r="U66" s="1319"/>
      <c r="V66" s="420"/>
      <c r="W66" s="420"/>
      <c r="X66" s="420"/>
      <c r="Y66" s="420"/>
      <c r="Z66" s="420"/>
      <c r="AA66" s="420"/>
      <c r="AB66" s="420"/>
      <c r="AC66" s="420"/>
      <c r="AD66" s="420"/>
      <c r="AE66" s="420"/>
      <c r="AF66" s="420"/>
    </row>
    <row r="67" spans="1:32" s="10" customFormat="1" ht="40.15" customHeight="1" x14ac:dyDescent="0.2">
      <c r="A67" s="38"/>
      <c r="C67" s="1247" t="s">
        <v>542</v>
      </c>
      <c r="D67" s="1233"/>
      <c r="E67" s="1233"/>
      <c r="F67" s="1233"/>
      <c r="G67" s="1233"/>
      <c r="H67" s="1233"/>
      <c r="I67" s="1233"/>
      <c r="J67" s="1233"/>
      <c r="K67" s="1235"/>
      <c r="L67" s="1248" t="s">
        <v>541</v>
      </c>
      <c r="M67" s="1233"/>
      <c r="N67" s="2578" t="s">
        <v>621</v>
      </c>
      <c r="O67" s="2578"/>
      <c r="P67" s="1791"/>
      <c r="Q67" s="1268"/>
      <c r="R67" s="1319"/>
      <c r="S67" s="1319"/>
      <c r="T67" s="1319"/>
      <c r="U67" s="1319"/>
      <c r="V67" s="420"/>
      <c r="W67" s="420"/>
      <c r="X67" s="420"/>
      <c r="Y67" s="420"/>
      <c r="Z67" s="420"/>
      <c r="AA67" s="420"/>
      <c r="AB67" s="1257"/>
      <c r="AC67" s="420"/>
      <c r="AD67" s="420"/>
      <c r="AE67" s="420"/>
      <c r="AF67" s="420"/>
    </row>
    <row r="68" spans="1:32" s="10" customFormat="1" ht="14.25" customHeight="1" x14ac:dyDescent="0.2">
      <c r="A68" s="434"/>
      <c r="C68" s="1233"/>
      <c r="D68" s="1233"/>
      <c r="E68" s="1233"/>
      <c r="F68" s="1233"/>
      <c r="G68" s="1233"/>
      <c r="H68" s="1233"/>
      <c r="I68" s="1233"/>
      <c r="J68" s="1233"/>
      <c r="K68" s="1235"/>
      <c r="L68" s="1235"/>
      <c r="M68" s="1233"/>
      <c r="N68" s="1790"/>
      <c r="O68" s="1790"/>
      <c r="P68" s="1791"/>
      <c r="Q68" s="1268"/>
      <c r="R68" s="1319"/>
      <c r="S68" s="1319"/>
      <c r="T68" s="1319"/>
      <c r="U68" s="1319"/>
      <c r="V68" s="420"/>
      <c r="W68" s="420"/>
      <c r="X68" s="420"/>
      <c r="Y68" s="420"/>
      <c r="Z68" s="420"/>
      <c r="AA68" s="420"/>
      <c r="AB68" s="420"/>
      <c r="AC68" s="420"/>
      <c r="AD68" s="420"/>
      <c r="AE68" s="420"/>
      <c r="AF68" s="420"/>
    </row>
    <row r="69" spans="1:32" s="10" customFormat="1" ht="10.15" customHeight="1" x14ac:dyDescent="0.2">
      <c r="A69" s="434"/>
      <c r="C69" s="1233"/>
      <c r="D69" s="1233"/>
      <c r="E69" s="1233"/>
      <c r="F69" s="1233"/>
      <c r="G69" s="1233"/>
      <c r="H69" s="1233"/>
      <c r="I69" s="1233"/>
      <c r="J69" s="1233"/>
      <c r="K69" s="1235"/>
      <c r="L69" s="1235"/>
      <c r="M69" s="1233"/>
      <c r="N69" s="1233"/>
      <c r="O69" s="1233"/>
      <c r="P69" s="1232"/>
      <c r="Q69" s="1268"/>
      <c r="R69" s="1319"/>
      <c r="S69" s="1319"/>
      <c r="T69" s="1319"/>
      <c r="U69" s="1319"/>
      <c r="V69" s="420"/>
      <c r="W69" s="420"/>
      <c r="X69" s="420"/>
      <c r="Y69" s="420"/>
      <c r="Z69" s="420"/>
      <c r="AA69" s="420"/>
      <c r="AB69" s="420"/>
      <c r="AC69" s="420"/>
      <c r="AD69" s="420"/>
      <c r="AE69" s="420"/>
      <c r="AF69" s="420"/>
    </row>
    <row r="70" spans="1:32" s="10" customFormat="1" ht="14.25" customHeight="1" x14ac:dyDescent="0.2">
      <c r="A70" s="38"/>
      <c r="C70" s="1249" t="s">
        <v>547</v>
      </c>
      <c r="D70" s="1918" t="s">
        <v>634</v>
      </c>
      <c r="E70" s="1237"/>
      <c r="F70" s="1237"/>
      <c r="G70" s="1233"/>
      <c r="H70" s="1233"/>
      <c r="I70" s="1233"/>
      <c r="J70" s="1233"/>
      <c r="K70" s="1234"/>
      <c r="L70" s="1874" t="str">
        <f>IF(KAT!Q4=0,"ja","nein")</f>
        <v>ja</v>
      </c>
      <c r="M70" s="1239"/>
      <c r="N70" s="2575" t="s">
        <v>580</v>
      </c>
      <c r="O70" s="2575"/>
      <c r="P70" s="2576"/>
      <c r="Q70" s="421"/>
      <c r="R70" s="1319"/>
      <c r="S70" s="1319"/>
      <c r="T70" s="1319"/>
      <c r="U70" s="1319"/>
      <c r="V70" s="420"/>
      <c r="W70" s="420"/>
      <c r="X70" s="1322"/>
      <c r="Y70" s="420"/>
      <c r="Z70" s="1323"/>
      <c r="AA70" s="420"/>
      <c r="AB70" s="420"/>
      <c r="AC70" s="420"/>
      <c r="AD70" s="420"/>
      <c r="AE70" s="420"/>
      <c r="AF70" s="420"/>
    </row>
    <row r="71" spans="1:32" s="10" customFormat="1" ht="10.15" customHeight="1" x14ac:dyDescent="0.2">
      <c r="A71" s="38"/>
      <c r="C71" s="1250"/>
      <c r="D71" s="1237"/>
      <c r="E71" s="1237"/>
      <c r="F71" s="1237"/>
      <c r="G71" s="1233"/>
      <c r="H71" s="1233"/>
      <c r="I71" s="1233"/>
      <c r="J71" s="1233"/>
      <c r="K71" s="1240"/>
      <c r="L71" s="1241"/>
      <c r="M71" s="1233"/>
      <c r="N71" s="1233"/>
      <c r="O71" s="1233"/>
      <c r="P71" s="1232"/>
      <c r="Q71" s="1268"/>
      <c r="R71" s="1319"/>
      <c r="S71" s="1319"/>
      <c r="T71" s="1319"/>
      <c r="U71" s="1319"/>
      <c r="V71" s="420"/>
      <c r="W71" s="420"/>
      <c r="X71" s="1322"/>
      <c r="Y71" s="420"/>
      <c r="Z71" s="1323"/>
      <c r="AA71" s="420"/>
      <c r="AB71" s="420"/>
      <c r="AC71" s="420"/>
      <c r="AD71" s="420"/>
      <c r="AE71" s="420"/>
      <c r="AF71" s="420"/>
    </row>
    <row r="72" spans="1:32" s="10" customFormat="1" ht="14.25" customHeight="1" x14ac:dyDescent="0.2">
      <c r="A72" s="38"/>
      <c r="C72" s="1249" t="s">
        <v>547</v>
      </c>
      <c r="D72" s="1386" t="s">
        <v>635</v>
      </c>
      <c r="E72" s="1237"/>
      <c r="F72" s="1237"/>
      <c r="G72" s="1233"/>
      <c r="H72" s="1233"/>
      <c r="I72" s="1233"/>
      <c r="J72" s="1233"/>
      <c r="K72" s="1234"/>
      <c r="L72" s="1238" t="str">
        <f>IF(KAT!Q5=0,"ja","nein")</f>
        <v>ja</v>
      </c>
      <c r="M72" s="1233"/>
      <c r="N72" s="2575" t="s">
        <v>580</v>
      </c>
      <c r="O72" s="2575"/>
      <c r="P72" s="2576"/>
      <c r="Q72" s="1268"/>
      <c r="R72" s="420"/>
      <c r="S72" s="420"/>
      <c r="T72" s="420"/>
      <c r="U72" s="420"/>
      <c r="V72" s="420"/>
      <c r="W72" s="420"/>
      <c r="X72" s="1322"/>
      <c r="Y72" s="420"/>
      <c r="Z72" s="1323"/>
      <c r="AA72" s="420"/>
      <c r="AB72" s="420"/>
      <c r="AC72" s="420"/>
      <c r="AD72" s="420"/>
      <c r="AE72" s="420"/>
      <c r="AF72" s="420"/>
    </row>
    <row r="73" spans="1:32" s="10" customFormat="1" ht="10.15" customHeight="1" x14ac:dyDescent="0.2">
      <c r="A73" s="38"/>
      <c r="C73" s="1250"/>
      <c r="D73" s="1237"/>
      <c r="E73" s="1237"/>
      <c r="F73" s="1237"/>
      <c r="G73" s="1233"/>
      <c r="H73" s="1233"/>
      <c r="I73" s="1233"/>
      <c r="J73" s="1233"/>
      <c r="K73" s="1240"/>
      <c r="L73" s="1241"/>
      <c r="M73" s="1233"/>
      <c r="N73" s="1233"/>
      <c r="O73" s="1375" t="str">
        <f>IFERROR(#REF!,"")</f>
        <v/>
      </c>
      <c r="P73" s="1232"/>
      <c r="Q73" s="420"/>
      <c r="R73" s="420"/>
      <c r="S73" s="420"/>
      <c r="T73" s="420"/>
      <c r="U73" s="420"/>
      <c r="V73" s="420"/>
      <c r="W73" s="420"/>
      <c r="X73" s="1322"/>
      <c r="Y73" s="420"/>
      <c r="Z73" s="1323"/>
      <c r="AA73" s="420"/>
      <c r="AB73" s="420"/>
      <c r="AC73" s="420"/>
      <c r="AD73" s="420"/>
      <c r="AE73" s="420"/>
      <c r="AF73" s="420"/>
    </row>
    <row r="74" spans="1:32" s="10" customFormat="1" ht="14.25" customHeight="1" x14ac:dyDescent="0.2">
      <c r="A74" s="38"/>
      <c r="C74" s="1249" t="s">
        <v>547</v>
      </c>
      <c r="D74" s="1918" t="s">
        <v>636</v>
      </c>
      <c r="E74" s="1237"/>
      <c r="F74" s="1237"/>
      <c r="G74" s="1233"/>
      <c r="H74" s="1233"/>
      <c r="I74" s="1233"/>
      <c r="J74" s="1233"/>
      <c r="K74" s="1234"/>
      <c r="L74" s="1238" t="str">
        <f>IF(KAT!Q6=0,"ja","nein")</f>
        <v>ja</v>
      </c>
      <c r="M74" s="1233"/>
      <c r="N74" s="2575" t="s">
        <v>349</v>
      </c>
      <c r="O74" s="2575"/>
      <c r="P74" s="2576"/>
      <c r="Q74" s="421"/>
      <c r="R74" s="420"/>
      <c r="S74" s="420"/>
      <c r="T74" s="420"/>
      <c r="U74" s="420"/>
      <c r="V74" s="420"/>
      <c r="W74" s="420"/>
      <c r="X74" s="1322"/>
      <c r="Y74" s="420"/>
      <c r="Z74" s="1323"/>
      <c r="AA74" s="420"/>
      <c r="AB74" s="420"/>
      <c r="AC74" s="420"/>
      <c r="AD74" s="420"/>
      <c r="AE74" s="420"/>
      <c r="AF74" s="420"/>
    </row>
    <row r="75" spans="1:32" s="10" customFormat="1" ht="10.15" customHeight="1" x14ac:dyDescent="0.2">
      <c r="A75" s="38"/>
      <c r="C75" s="1250"/>
      <c r="D75" s="1237"/>
      <c r="E75" s="1237"/>
      <c r="F75" s="1237"/>
      <c r="G75" s="1233"/>
      <c r="H75" s="1233"/>
      <c r="I75" s="1233"/>
      <c r="J75" s="1233"/>
      <c r="K75" s="1240"/>
      <c r="L75" s="1241"/>
      <c r="M75" s="1233"/>
      <c r="N75" s="1250"/>
      <c r="O75" s="1250"/>
      <c r="P75" s="1232"/>
      <c r="Q75" s="420"/>
      <c r="R75" s="420"/>
      <c r="S75" s="420"/>
      <c r="T75" s="420"/>
      <c r="U75" s="420"/>
      <c r="V75" s="420"/>
      <c r="W75" s="420"/>
      <c r="X75" s="420"/>
      <c r="Y75" s="420"/>
      <c r="Z75" s="420"/>
      <c r="AA75" s="420"/>
      <c r="AB75" s="420"/>
      <c r="AC75" s="420"/>
      <c r="AD75" s="420"/>
      <c r="AE75" s="420"/>
      <c r="AF75" s="420"/>
    </row>
    <row r="76" spans="1:32" ht="14.25" customHeight="1" x14ac:dyDescent="0.2">
      <c r="A76" s="38"/>
      <c r="B76" s="330"/>
      <c r="C76" s="1249" t="s">
        <v>547</v>
      </c>
      <c r="D76" s="2023" t="s">
        <v>1017</v>
      </c>
      <c r="E76" s="1237"/>
      <c r="F76" s="1237"/>
      <c r="G76" s="1233"/>
      <c r="H76" s="1233"/>
      <c r="I76" s="1233"/>
      <c r="J76" s="1233"/>
      <c r="K76" s="1234"/>
      <c r="L76" s="1238" t="str">
        <f>IF(KAT!Q7=0,"ja","nein")</f>
        <v>ja</v>
      </c>
      <c r="M76" s="1233"/>
      <c r="N76" s="2575" t="s">
        <v>349</v>
      </c>
      <c r="O76" s="2575"/>
      <c r="P76" s="2576"/>
      <c r="Q76" s="421"/>
      <c r="R76" s="421"/>
      <c r="S76" s="421"/>
      <c r="T76" s="420"/>
      <c r="U76" s="420"/>
      <c r="V76" s="420"/>
      <c r="W76" s="420"/>
      <c r="X76" s="420"/>
      <c r="Y76" s="420"/>
      <c r="Z76" s="421"/>
      <c r="AA76" s="421"/>
      <c r="AB76" s="420"/>
      <c r="AC76" s="421"/>
      <c r="AD76" s="421"/>
      <c r="AE76" s="421"/>
      <c r="AF76" s="421"/>
    </row>
    <row r="77" spans="1:32" ht="10.15" customHeight="1" x14ac:dyDescent="0.2">
      <c r="A77" s="38"/>
      <c r="B77" s="330"/>
      <c r="C77" s="1250"/>
      <c r="D77" s="1237"/>
      <c r="E77" s="1237"/>
      <c r="F77" s="1237"/>
      <c r="G77" s="1233"/>
      <c r="H77" s="1233"/>
      <c r="I77" s="1233"/>
      <c r="J77" s="1233"/>
      <c r="K77" s="1233"/>
      <c r="L77" s="1241"/>
      <c r="M77" s="1233"/>
      <c r="N77" s="1240"/>
      <c r="O77" s="1250"/>
      <c r="P77" s="1232"/>
      <c r="Q77" s="421"/>
      <c r="R77" s="421"/>
      <c r="S77" s="421"/>
      <c r="T77" s="420"/>
      <c r="U77" s="420"/>
      <c r="V77" s="1258"/>
      <c r="W77" s="1258"/>
      <c r="X77" s="1258"/>
      <c r="Y77" s="1258"/>
      <c r="Z77" s="422"/>
      <c r="AA77" s="422"/>
      <c r="AB77" s="1258"/>
      <c r="AC77" s="422"/>
      <c r="AD77" s="422"/>
      <c r="AE77" s="422"/>
      <c r="AF77" s="422"/>
    </row>
    <row r="78" spans="1:32" ht="14.25" customHeight="1" x14ac:dyDescent="0.2">
      <c r="A78" s="38"/>
      <c r="B78" s="10"/>
      <c r="C78" s="1376" t="s">
        <v>547</v>
      </c>
      <c r="D78" s="1236" t="s">
        <v>551</v>
      </c>
      <c r="E78" s="1237"/>
      <c r="F78" s="1237"/>
      <c r="G78" s="1233"/>
      <c r="H78" s="1233"/>
      <c r="I78" s="1233"/>
      <c r="J78" s="1233"/>
      <c r="K78" s="1233"/>
      <c r="L78" s="1874" t="str">
        <f>IF(KAT!Q8=0,"ja","nein")</f>
        <v>ja</v>
      </c>
      <c r="M78" s="1234"/>
      <c r="N78" s="2575" t="s">
        <v>349</v>
      </c>
      <c r="O78" s="2575"/>
      <c r="P78" s="2576"/>
      <c r="Q78" s="421"/>
      <c r="R78" s="421"/>
      <c r="S78" s="421"/>
      <c r="T78" s="420"/>
      <c r="U78" s="420"/>
      <c r="V78" s="422"/>
      <c r="W78" s="422"/>
      <c r="X78" s="422"/>
      <c r="Y78" s="422"/>
      <c r="Z78" s="1258"/>
      <c r="AA78" s="422"/>
      <c r="AB78" s="1258"/>
      <c r="AC78" s="422"/>
      <c r="AD78" s="422"/>
      <c r="AE78" s="422"/>
      <c r="AF78" s="422"/>
    </row>
    <row r="79" spans="1:32" ht="10.15" customHeight="1" x14ac:dyDescent="0.2">
      <c r="A79" s="38"/>
      <c r="B79" s="10"/>
      <c r="C79" s="1240"/>
      <c r="D79" s="1377"/>
      <c r="E79" s="1377"/>
      <c r="F79" s="1378"/>
      <c r="G79" s="1379"/>
      <c r="H79" s="1379"/>
      <c r="I79" s="1379"/>
      <c r="J79" s="1234"/>
      <c r="K79" s="1234"/>
      <c r="L79" s="1380"/>
      <c r="M79" s="1381"/>
      <c r="N79" s="1382"/>
      <c r="O79" s="1382"/>
      <c r="P79" s="1243"/>
      <c r="Q79" s="421"/>
      <c r="R79" s="421"/>
      <c r="S79" s="421"/>
      <c r="T79" s="420"/>
      <c r="U79" s="420"/>
      <c r="V79" s="1258"/>
      <c r="W79" s="1258"/>
      <c r="X79" s="1258"/>
      <c r="Y79" s="1258"/>
      <c r="Z79" s="1258"/>
      <c r="AA79" s="422"/>
      <c r="AB79" s="1258"/>
      <c r="AC79" s="422"/>
      <c r="AD79" s="422"/>
      <c r="AE79" s="422"/>
      <c r="AF79" s="422"/>
    </row>
    <row r="80" spans="1:32" ht="14.25" customHeight="1" x14ac:dyDescent="0.2">
      <c r="A80" s="38"/>
      <c r="B80" s="10"/>
      <c r="C80" s="1249" t="s">
        <v>547</v>
      </c>
      <c r="D80" s="1236" t="s">
        <v>552</v>
      </c>
      <c r="E80" s="1237"/>
      <c r="F80" s="1237"/>
      <c r="G80" s="1233"/>
      <c r="H80" s="1233"/>
      <c r="I80" s="1233"/>
      <c r="J80" s="1233"/>
      <c r="K80" s="1234"/>
      <c r="L80" s="1874" t="str">
        <f>IF(KAT!Q9=0,"ja","nein")</f>
        <v>ja</v>
      </c>
      <c r="M80" s="1233"/>
      <c r="N80" s="2575" t="s">
        <v>349</v>
      </c>
      <c r="O80" s="2575"/>
      <c r="P80" s="2576"/>
      <c r="Q80" s="421"/>
      <c r="R80" s="421"/>
      <c r="S80" s="421"/>
      <c r="T80" s="420"/>
      <c r="U80" s="420"/>
      <c r="V80" s="1258"/>
      <c r="W80" s="1258"/>
      <c r="X80" s="1258"/>
      <c r="Y80" s="1258"/>
      <c r="Z80" s="1258"/>
      <c r="AA80" s="422"/>
      <c r="AB80" s="1258"/>
      <c r="AC80" s="422"/>
      <c r="AD80" s="422"/>
      <c r="AE80" s="422"/>
      <c r="AF80" s="422"/>
    </row>
    <row r="81" spans="1:32" ht="10.15" customHeight="1" x14ac:dyDescent="0.2">
      <c r="A81" s="3"/>
      <c r="B81" s="10"/>
      <c r="C81" s="1250"/>
      <c r="D81" s="1383"/>
      <c r="E81" s="1237"/>
      <c r="F81" s="1237"/>
      <c r="G81" s="1233"/>
      <c r="H81" s="1233"/>
      <c r="I81" s="1233"/>
      <c r="J81" s="1233"/>
      <c r="K81" s="1234"/>
      <c r="L81" s="1382"/>
      <c r="M81" s="1382"/>
      <c r="N81" s="1382"/>
      <c r="O81" s="1382"/>
      <c r="P81" s="1242"/>
      <c r="Q81" s="421"/>
      <c r="R81" s="421"/>
      <c r="S81" s="421"/>
      <c r="T81" s="420"/>
      <c r="U81" s="420"/>
      <c r="V81" s="422"/>
      <c r="W81" s="422"/>
      <c r="X81" s="422"/>
      <c r="Y81" s="422"/>
      <c r="Z81" s="422"/>
      <c r="AA81" s="422"/>
      <c r="AB81" s="422"/>
      <c r="AC81" s="422"/>
      <c r="AD81" s="422"/>
      <c r="AE81" s="422"/>
      <c r="AF81" s="422"/>
    </row>
    <row r="82" spans="1:32" ht="10.15" customHeight="1" x14ac:dyDescent="0.2">
      <c r="A82" s="3"/>
      <c r="C82" s="2179" t="s">
        <v>547</v>
      </c>
      <c r="D82" s="1236" t="s">
        <v>553</v>
      </c>
      <c r="E82" s="1253"/>
      <c r="F82" s="1253"/>
      <c r="G82" s="1253"/>
      <c r="H82" s="1253"/>
      <c r="I82" s="1253"/>
      <c r="J82" s="1253"/>
      <c r="K82" s="1385"/>
      <c r="L82" s="1253"/>
      <c r="M82" s="1253"/>
      <c r="N82" s="1253"/>
      <c r="O82" s="1253"/>
      <c r="P82" s="1242"/>
      <c r="Q82" s="421"/>
      <c r="R82" s="421"/>
      <c r="S82" s="421"/>
      <c r="T82" s="420"/>
      <c r="U82" s="420"/>
    </row>
    <row r="83" spans="1:32" ht="14.25" customHeight="1" x14ac:dyDescent="0.2">
      <c r="A83" s="3"/>
      <c r="C83" s="1384"/>
      <c r="D83" s="1236" t="s">
        <v>543</v>
      </c>
      <c r="E83" s="1253"/>
      <c r="F83" s="1253"/>
      <c r="G83" s="1253"/>
      <c r="H83" s="1253"/>
      <c r="I83" s="1253"/>
      <c r="J83" s="1253"/>
      <c r="K83" s="1385"/>
      <c r="L83" s="1874" t="str">
        <f>IF(KAT!Q10=0,"ja","nein")</f>
        <v>nein</v>
      </c>
      <c r="M83" s="1253"/>
      <c r="N83" s="2575" t="s">
        <v>349</v>
      </c>
      <c r="O83" s="2575"/>
      <c r="P83" s="2576"/>
      <c r="Q83" s="421"/>
      <c r="R83" s="1893"/>
      <c r="S83" s="421"/>
      <c r="T83" s="420"/>
      <c r="U83" s="420"/>
      <c r="V83" s="1319"/>
    </row>
    <row r="84" spans="1:32" ht="10.15" customHeight="1" x14ac:dyDescent="0.2">
      <c r="A84" s="3"/>
      <c r="C84" s="1384"/>
      <c r="D84" s="1253"/>
      <c r="E84" s="1253"/>
      <c r="F84" s="1253"/>
      <c r="G84" s="1253"/>
      <c r="H84" s="1253"/>
      <c r="I84" s="1253"/>
      <c r="J84" s="1253"/>
      <c r="K84" s="1385"/>
      <c r="L84" s="1253"/>
      <c r="M84" s="1253"/>
      <c r="N84" s="1253"/>
      <c r="O84" s="1253"/>
      <c r="P84" s="1242"/>
      <c r="Q84" s="421"/>
      <c r="R84" s="421"/>
      <c r="S84" s="421"/>
      <c r="T84" s="420"/>
      <c r="U84" s="420"/>
      <c r="V84" s="1320"/>
      <c r="W84" s="1324"/>
      <c r="X84" s="1324"/>
      <c r="Y84" s="1324"/>
      <c r="Z84" s="1324"/>
      <c r="AA84" s="1324"/>
    </row>
    <row r="85" spans="1:32" ht="13.9" customHeight="1" x14ac:dyDescent="0.2">
      <c r="A85" s="3"/>
      <c r="C85" s="1249" t="s">
        <v>547</v>
      </c>
      <c r="D85" s="2192" t="s">
        <v>1170</v>
      </c>
      <c r="E85" s="1253"/>
      <c r="F85" s="1253"/>
      <c r="G85" s="1253"/>
      <c r="H85" s="1253"/>
      <c r="I85" s="1253"/>
      <c r="J85" s="1253"/>
      <c r="K85" s="1385"/>
      <c r="L85" s="1874" t="str">
        <f>IF(KAT!Q11=0,"ja","nein")</f>
        <v>ja</v>
      </c>
      <c r="M85" s="1253"/>
      <c r="N85" s="2575" t="s">
        <v>349</v>
      </c>
      <c r="O85" s="2575"/>
      <c r="P85" s="2576"/>
      <c r="Q85" s="421"/>
      <c r="R85" s="421"/>
      <c r="S85" s="421"/>
      <c r="T85" s="420"/>
      <c r="U85" s="420"/>
      <c r="V85" s="1320"/>
      <c r="W85" s="1324"/>
      <c r="X85" s="1324"/>
      <c r="Y85" s="1324"/>
      <c r="Z85" s="1324"/>
      <c r="AA85" s="1324"/>
    </row>
    <row r="86" spans="1:32" ht="10.15" customHeight="1" x14ac:dyDescent="0.2">
      <c r="A86" s="3"/>
      <c r="C86" s="1384"/>
      <c r="D86" s="1253"/>
      <c r="E86" s="1253"/>
      <c r="F86" s="1253"/>
      <c r="G86" s="1253"/>
      <c r="H86" s="1253"/>
      <c r="I86" s="1253"/>
      <c r="J86" s="1253"/>
      <c r="K86" s="1385"/>
      <c r="L86" s="1253"/>
      <c r="M86" s="1253"/>
      <c r="N86" s="1253"/>
      <c r="O86" s="1253"/>
      <c r="P86" s="1242"/>
      <c r="Q86" s="421"/>
      <c r="R86" s="421"/>
      <c r="S86" s="421"/>
      <c r="T86" s="420"/>
      <c r="U86" s="420"/>
      <c r="V86" s="1320"/>
      <c r="W86" s="1324"/>
      <c r="X86" s="1324"/>
      <c r="Y86" s="1324"/>
      <c r="Z86" s="1324"/>
      <c r="AA86" s="1324"/>
    </row>
    <row r="87" spans="1:32" ht="14.25" customHeight="1" x14ac:dyDescent="0.2">
      <c r="A87" s="3"/>
      <c r="C87" s="1249" t="s">
        <v>547</v>
      </c>
      <c r="D87" s="1386" t="s">
        <v>637</v>
      </c>
      <c r="E87" s="1383"/>
      <c r="F87" s="1383"/>
      <c r="G87" s="1253"/>
      <c r="H87" s="1253"/>
      <c r="I87" s="1253"/>
      <c r="J87" s="1253"/>
      <c r="K87" s="1385"/>
      <c r="L87" s="1874" t="str">
        <f>IF(KAT!Q12=0,"ja","nein")</f>
        <v>ja</v>
      </c>
      <c r="M87" s="1382"/>
      <c r="N87" s="2575" t="s">
        <v>364</v>
      </c>
      <c r="O87" s="2575"/>
      <c r="P87" s="2576"/>
      <c r="Q87" s="421"/>
      <c r="R87" s="421"/>
      <c r="S87" s="421"/>
      <c r="T87" s="420"/>
      <c r="U87" s="420"/>
      <c r="V87" s="1319"/>
      <c r="W87" s="1324"/>
      <c r="X87" s="1324"/>
      <c r="Y87" s="1324"/>
      <c r="Z87" s="1324"/>
      <c r="AA87" s="1324"/>
    </row>
    <row r="88" spans="1:32" ht="10.15" customHeight="1" x14ac:dyDescent="0.2">
      <c r="A88" s="3"/>
      <c r="C88" s="1250"/>
      <c r="D88" s="1236"/>
      <c r="E88" s="1386"/>
      <c r="F88" s="1386"/>
      <c r="G88" s="1387"/>
      <c r="H88" s="1382"/>
      <c r="I88" s="1382"/>
      <c r="J88" s="1388"/>
      <c r="K88" s="1389"/>
      <c r="L88" s="1388"/>
      <c r="M88" s="1382"/>
      <c r="N88" s="1253"/>
      <c r="O88" s="1253"/>
      <c r="P88" s="1242"/>
      <c r="Q88" s="421"/>
      <c r="R88" s="421"/>
      <c r="S88" s="421"/>
      <c r="T88" s="420"/>
      <c r="U88" s="420"/>
      <c r="V88" s="1319"/>
      <c r="W88" s="1324"/>
      <c r="X88" s="1324"/>
      <c r="Y88" s="1324"/>
      <c r="Z88" s="1324"/>
      <c r="AA88" s="1324"/>
    </row>
    <row r="89" spans="1:32" x14ac:dyDescent="0.2">
      <c r="A89" s="3"/>
      <c r="C89" s="2179" t="s">
        <v>547</v>
      </c>
      <c r="D89" s="1918" t="s">
        <v>638</v>
      </c>
      <c r="E89" s="1377"/>
      <c r="F89" s="1377"/>
      <c r="G89" s="1234"/>
      <c r="H89" s="1234"/>
      <c r="I89" s="1234"/>
      <c r="J89" s="1234"/>
      <c r="K89" s="1234"/>
      <c r="L89" s="1238" t="str">
        <f>IF(KAT!Q13=0,"ja","nein")</f>
        <v>ja</v>
      </c>
      <c r="M89" s="1253"/>
      <c r="N89" s="2575" t="s">
        <v>128</v>
      </c>
      <c r="O89" s="2575"/>
      <c r="P89" s="2576"/>
      <c r="Q89" s="421"/>
      <c r="R89" s="421"/>
      <c r="S89" s="421"/>
      <c r="T89" s="420"/>
      <c r="U89" s="420"/>
      <c r="V89" s="1319"/>
      <c r="W89" s="1324"/>
      <c r="X89" s="1324"/>
      <c r="Y89" s="1324"/>
      <c r="Z89" s="1324"/>
      <c r="AA89" s="1324"/>
    </row>
    <row r="90" spans="1:32" ht="10.15" customHeight="1" x14ac:dyDescent="0.2">
      <c r="A90" s="3"/>
      <c r="C90" s="1253"/>
      <c r="D90" s="1383"/>
      <c r="E90" s="1383"/>
      <c r="F90" s="1383"/>
      <c r="G90" s="1253"/>
      <c r="H90" s="1253"/>
      <c r="I90" s="1253"/>
      <c r="J90" s="1253"/>
      <c r="K90" s="1385"/>
      <c r="L90" s="1241"/>
      <c r="M90" s="1253"/>
      <c r="N90" s="1253"/>
      <c r="O90" s="1253"/>
      <c r="P90" s="1242"/>
      <c r="Q90" s="421"/>
      <c r="R90" s="421"/>
      <c r="S90" s="421"/>
      <c r="T90" s="420"/>
      <c r="U90" s="420"/>
      <c r="V90" s="1319"/>
      <c r="W90" s="1324"/>
      <c r="X90" s="1324"/>
      <c r="Y90" s="1324"/>
      <c r="Z90" s="1324"/>
      <c r="AA90" s="1324"/>
    </row>
    <row r="91" spans="1:32" x14ac:dyDescent="0.2">
      <c r="A91" s="3"/>
      <c r="C91" s="1249" t="s">
        <v>547</v>
      </c>
      <c r="D91" s="2014" t="s">
        <v>1014</v>
      </c>
      <c r="E91" s="1253"/>
      <c r="F91" s="1253"/>
      <c r="G91" s="1253"/>
      <c r="H91" s="1253"/>
      <c r="I91" s="1253"/>
      <c r="J91" s="1253"/>
      <c r="K91" s="1385"/>
      <c r="L91" s="1238" t="str">
        <f>IF(KAT!Q14=0,"ja","nein")</f>
        <v>ja</v>
      </c>
      <c r="M91" s="1253"/>
      <c r="N91" s="2575" t="s">
        <v>349</v>
      </c>
      <c r="O91" s="2575"/>
      <c r="P91" s="2576"/>
      <c r="Q91" s="421"/>
      <c r="R91" s="421"/>
      <c r="S91" s="421"/>
      <c r="T91" s="420"/>
      <c r="U91" s="420"/>
      <c r="V91" s="1319"/>
      <c r="W91" s="1324"/>
      <c r="X91" s="1324"/>
      <c r="Y91" s="1324"/>
      <c r="Z91" s="1324"/>
      <c r="AA91" s="1324"/>
    </row>
    <row r="92" spans="1:32" ht="10.15" customHeight="1" x14ac:dyDescent="0.2">
      <c r="A92" s="3"/>
      <c r="C92" s="1233"/>
      <c r="D92" s="1233"/>
      <c r="E92" s="1233"/>
      <c r="F92" s="1233"/>
      <c r="G92" s="1233"/>
      <c r="H92" s="1233"/>
      <c r="I92" s="1233"/>
      <c r="J92" s="1233"/>
      <c r="K92" s="1233"/>
      <c r="L92" s="1233"/>
      <c r="M92" s="1233"/>
      <c r="N92" s="1233"/>
      <c r="O92" s="1233"/>
      <c r="P92" s="1233"/>
      <c r="Q92" s="1818"/>
      <c r="R92" s="421"/>
      <c r="S92" s="421"/>
      <c r="T92" s="420"/>
      <c r="U92" s="420"/>
      <c r="V92" s="1319"/>
      <c r="W92" s="1324"/>
      <c r="X92" s="1324"/>
      <c r="Y92" s="1324"/>
      <c r="Z92" s="1324"/>
      <c r="AA92" s="1324"/>
    </row>
    <row r="93" spans="1:32" x14ac:dyDescent="0.2">
      <c r="A93" s="3"/>
      <c r="C93" s="1894" t="s">
        <v>547</v>
      </c>
      <c r="D93" s="1831" t="s">
        <v>613</v>
      </c>
      <c r="E93" s="1233"/>
      <c r="F93" s="1233"/>
      <c r="G93" s="1233"/>
      <c r="H93" s="1233"/>
      <c r="I93" s="1233"/>
      <c r="J93" s="1233"/>
      <c r="K93" s="1233"/>
      <c r="L93" s="1832" t="str">
        <f>IF(KAT!Q15=0,"ja","nein")</f>
        <v>ja</v>
      </c>
      <c r="M93" s="1233"/>
      <c r="N93" s="2575" t="s">
        <v>349</v>
      </c>
      <c r="O93" s="2575"/>
      <c r="P93" s="2576"/>
      <c r="Q93" s="1818"/>
      <c r="R93" s="421"/>
      <c r="S93" s="421"/>
      <c r="T93" s="420"/>
      <c r="U93" s="420"/>
      <c r="V93" s="1319"/>
    </row>
    <row r="94" spans="1:32" x14ac:dyDescent="0.2">
      <c r="A94" s="3"/>
      <c r="C94" s="1233"/>
      <c r="D94" s="1233"/>
      <c r="E94" s="1233"/>
      <c r="F94" s="1233"/>
      <c r="G94" s="1233"/>
      <c r="H94" s="1233"/>
      <c r="I94" s="1233"/>
      <c r="J94" s="1233"/>
      <c r="K94" s="1233"/>
      <c r="L94" s="1233"/>
      <c r="M94" s="1233"/>
      <c r="N94" s="1233"/>
      <c r="O94" s="1233"/>
      <c r="P94" s="1233"/>
      <c r="Q94" s="1818"/>
      <c r="R94" s="421"/>
      <c r="S94" s="421"/>
      <c r="T94" s="420"/>
      <c r="U94" s="420"/>
    </row>
    <row r="95" spans="1:32" x14ac:dyDescent="0.2">
      <c r="A95" s="3"/>
      <c r="C95" s="1870" t="s">
        <v>668</v>
      </c>
      <c r="D95" s="1253"/>
      <c r="E95" s="1253"/>
      <c r="F95" s="1253"/>
      <c r="G95" s="1253"/>
      <c r="H95" s="1253"/>
      <c r="I95" s="1253"/>
      <c r="J95" s="1253"/>
      <c r="K95" s="1385"/>
      <c r="L95" s="1253"/>
      <c r="M95" s="1253"/>
      <c r="N95" s="1253"/>
      <c r="O95" s="1253"/>
      <c r="P95" s="1242"/>
      <c r="R95" s="1895"/>
    </row>
    <row r="96" spans="1:32" x14ac:dyDescent="0.2">
      <c r="A96" s="3"/>
      <c r="C96" s="1870" t="s">
        <v>670</v>
      </c>
      <c r="D96" s="1253"/>
      <c r="E96" s="1253"/>
      <c r="F96" s="1253"/>
      <c r="G96" s="1253"/>
      <c r="H96" s="1253"/>
      <c r="I96" s="1253"/>
      <c r="J96" s="1253"/>
      <c r="K96" s="1385"/>
      <c r="L96" s="1253"/>
      <c r="M96" s="1253"/>
      <c r="N96" s="1253"/>
      <c r="O96" s="1253"/>
      <c r="P96" s="1242"/>
      <c r="Q96" s="1319"/>
      <c r="R96" s="1319"/>
      <c r="S96" s="1319"/>
      <c r="T96" s="1319"/>
      <c r="U96" s="1319"/>
      <c r="V96" s="1319"/>
    </row>
    <row r="97" spans="1:22" x14ac:dyDescent="0.2">
      <c r="A97" s="3"/>
      <c r="C97" s="1870" t="s">
        <v>669</v>
      </c>
      <c r="D97" s="1253"/>
      <c r="E97" s="1253"/>
      <c r="F97" s="1253"/>
      <c r="G97" s="1253"/>
      <c r="H97" s="1253"/>
      <c r="I97" s="1253"/>
      <c r="J97" s="1253"/>
      <c r="K97" s="1385"/>
      <c r="L97" s="1253"/>
      <c r="M97" s="1253"/>
      <c r="N97" s="1253"/>
      <c r="O97" s="1253"/>
      <c r="P97" s="1242"/>
      <c r="V97" s="1319"/>
    </row>
    <row r="98" spans="1:22" x14ac:dyDescent="0.2">
      <c r="A98" s="3"/>
      <c r="C98" s="1253"/>
      <c r="D98" s="1253"/>
      <c r="E98" s="1253"/>
      <c r="F98" s="1253"/>
      <c r="G98" s="1253"/>
      <c r="H98" s="1253"/>
      <c r="I98" s="1253"/>
      <c r="J98" s="1253"/>
      <c r="K98" s="1385"/>
      <c r="L98" s="1253"/>
      <c r="M98" s="1253"/>
      <c r="N98" s="1253"/>
      <c r="O98" s="1253"/>
      <c r="P98" s="1242"/>
      <c r="V98" s="1319"/>
    </row>
    <row r="99" spans="1:22" x14ac:dyDescent="0.2">
      <c r="A99" s="3"/>
      <c r="P99" s="5"/>
      <c r="V99" s="1319"/>
    </row>
    <row r="100" spans="1:22" x14ac:dyDescent="0.2">
      <c r="A100" s="3"/>
      <c r="C100" s="15" t="s">
        <v>101</v>
      </c>
      <c r="P100" s="5"/>
      <c r="V100" s="1319"/>
    </row>
    <row r="101" spans="1:22" x14ac:dyDescent="0.2">
      <c r="A101" s="3"/>
      <c r="P101" s="5"/>
      <c r="Q101" s="1319"/>
      <c r="R101" s="1319"/>
      <c r="S101" s="1319"/>
      <c r="T101" s="1319"/>
      <c r="U101" s="1319"/>
      <c r="V101" s="1319"/>
    </row>
    <row r="102" spans="1:22" x14ac:dyDescent="0.2">
      <c r="A102" s="3"/>
      <c r="P102" s="5"/>
      <c r="Q102" s="1325"/>
      <c r="R102" s="1326"/>
      <c r="S102" s="1326"/>
      <c r="T102" s="1326"/>
      <c r="U102" s="1326"/>
    </row>
    <row r="103" spans="1:22" x14ac:dyDescent="0.2">
      <c r="A103" s="3"/>
      <c r="C103" s="2579"/>
      <c r="D103" s="2580"/>
      <c r="J103" s="2581"/>
      <c r="K103" s="2582"/>
      <c r="L103" s="2582"/>
      <c r="M103" s="2582"/>
      <c r="N103" s="2582"/>
      <c r="O103" s="2582"/>
      <c r="P103" s="5"/>
      <c r="Q103" s="1326"/>
      <c r="R103" s="1326"/>
      <c r="S103" s="1326"/>
      <c r="T103" s="1326"/>
      <c r="U103" s="1326"/>
    </row>
    <row r="104" spans="1:22" x14ac:dyDescent="0.2">
      <c r="A104" s="3"/>
      <c r="C104" s="1223" t="s">
        <v>549</v>
      </c>
      <c r="J104" s="1223" t="s">
        <v>550</v>
      </c>
      <c r="P104" s="5"/>
      <c r="Q104" s="1327"/>
      <c r="R104" s="1327"/>
      <c r="S104" s="1327"/>
      <c r="T104" s="1328"/>
      <c r="U104" s="1326"/>
    </row>
    <row r="105" spans="1:22" ht="14.45" customHeight="1" x14ac:dyDescent="0.2">
      <c r="A105" s="3"/>
      <c r="P105" s="5"/>
      <c r="Q105" s="1327"/>
      <c r="R105" s="1327"/>
      <c r="S105" s="1327"/>
      <c r="T105" s="1328"/>
      <c r="U105" s="1326"/>
    </row>
    <row r="106" spans="1:22" x14ac:dyDescent="0.2">
      <c r="A106" s="3"/>
      <c r="P106" s="5"/>
      <c r="Q106" s="1327"/>
      <c r="R106" s="1327"/>
      <c r="S106" s="1327"/>
      <c r="T106" s="1328"/>
      <c r="U106" s="1326"/>
    </row>
    <row r="107" spans="1:22" ht="14.25" customHeight="1" x14ac:dyDescent="0.2">
      <c r="A107" s="51"/>
      <c r="B107" s="52"/>
      <c r="C107" s="52"/>
      <c r="D107" s="52"/>
      <c r="E107" s="52"/>
      <c r="F107" s="52"/>
      <c r="G107" s="52"/>
      <c r="H107" s="52"/>
      <c r="I107" s="52"/>
      <c r="J107" s="52"/>
      <c r="K107" s="1246"/>
      <c r="L107" s="52"/>
      <c r="M107" s="52"/>
      <c r="N107" s="52"/>
      <c r="O107" s="52"/>
      <c r="P107" s="53"/>
      <c r="Q107" s="1327"/>
      <c r="R107" s="1327"/>
      <c r="S107" s="1327"/>
      <c r="T107" s="1328"/>
      <c r="U107" s="1326"/>
    </row>
    <row r="108" spans="1:22" ht="15" thickBot="1" x14ac:dyDescent="0.25">
      <c r="Q108" s="1327"/>
      <c r="R108" s="1327"/>
      <c r="S108" s="1327"/>
      <c r="T108" s="1328"/>
      <c r="U108" s="1326"/>
    </row>
    <row r="109" spans="1:22" ht="15" customHeight="1" thickBot="1" x14ac:dyDescent="0.25">
      <c r="C109" s="2374" t="s">
        <v>629</v>
      </c>
      <c r="D109" s="2375"/>
      <c r="E109" s="2375"/>
      <c r="F109" s="2375"/>
      <c r="G109" s="2375"/>
      <c r="H109" s="2375"/>
      <c r="I109" s="2376"/>
      <c r="L109" s="9"/>
    </row>
  </sheetData>
  <sheetProtection algorithmName="SHA-512" hashValue="eFdH9cV3NOSSohdvHqZVXZxgGVlHkbHz/cnAHEZwzJW0kcBxQbhxyHOLMNwIHQK0qUj6qqP86Uh2/HwRjIRLNg==" saltValue="QnfnC3WowselaEyQT17qWg==" spinCount="100000" sheet="1" selectLockedCells="1"/>
  <mergeCells count="29">
    <mergeCell ref="D24:F24"/>
    <mergeCell ref="U15:Y15"/>
    <mergeCell ref="T24:T27"/>
    <mergeCell ref="H21:I21"/>
    <mergeCell ref="N70:P70"/>
    <mergeCell ref="N72:P72"/>
    <mergeCell ref="T29:T30"/>
    <mergeCell ref="N67:O67"/>
    <mergeCell ref="C103:D103"/>
    <mergeCell ref="J103:O103"/>
    <mergeCell ref="N91:P91"/>
    <mergeCell ref="C109:I109"/>
    <mergeCell ref="N74:P74"/>
    <mergeCell ref="N76:P76"/>
    <mergeCell ref="N78:P78"/>
    <mergeCell ref="N93:P93"/>
    <mergeCell ref="N80:P80"/>
    <mergeCell ref="N83:P83"/>
    <mergeCell ref="N87:P87"/>
    <mergeCell ref="N89:P89"/>
    <mergeCell ref="N85:P85"/>
    <mergeCell ref="A1:P1"/>
    <mergeCell ref="A2:P2"/>
    <mergeCell ref="A3:P3"/>
    <mergeCell ref="N4:O4"/>
    <mergeCell ref="D23:F23"/>
    <mergeCell ref="I12:O12"/>
    <mergeCell ref="J6:O6"/>
    <mergeCell ref="D22:F22"/>
  </mergeCells>
  <conditionalFormatting sqref="H21">
    <cfRule type="expression" dxfId="102" priority="310">
      <formula>$H$21=0</formula>
    </cfRule>
  </conditionalFormatting>
  <conditionalFormatting sqref="M21">
    <cfRule type="expression" dxfId="29" priority="311">
      <formula>$M$21=0</formula>
    </cfRule>
  </conditionalFormatting>
  <conditionalFormatting sqref="N25">
    <cfRule type="expression" priority="268">
      <formula>IF($D$26="",)</formula>
    </cfRule>
  </conditionalFormatting>
  <conditionalFormatting sqref="O13:O18">
    <cfRule type="containsText" dxfId="13" priority="302" operator="containsText" text="FALSCH">
      <formula>NOT(ISERROR(SEARCH("FALSCH",O13)))</formula>
    </cfRule>
    <cfRule type="containsErrors" dxfId="12" priority="303">
      <formula>ISERROR(O13)</formula>
    </cfRule>
  </conditionalFormatting>
  <conditionalFormatting sqref="O19:O20 O40">
    <cfRule type="expression" dxfId="11" priority="312">
      <formula>$O$40=0</formula>
    </cfRule>
  </conditionalFormatting>
  <dataValidations disablePrompts="1" xWindow="752" yWindow="488" count="5">
    <dataValidation allowBlank="1" showInputMessage="1" showErrorMessage="1" prompt="analog Rahmenvertrags- _x000a_empflehlung, Abweichungen bitte begründen" sqref="O20" xr:uid="{00000000-0002-0000-0600-000000000000}"/>
    <dataValidation allowBlank="1" showInputMessage="1" showErrorMessage="1" prompt=" laut Rahmen-_x000a_vertrag" sqref="O19" xr:uid="{00000000-0002-0000-0600-000001000000}"/>
    <dataValidation type="whole" errorStyle="information" allowBlank="1" showInputMessage="1" showErrorMessage="1" error="ganze Zahl eingeben" sqref="I39" xr:uid="{00000000-0002-0000-0600-000002000000}">
      <formula1>0</formula1>
      <formula2>20</formula2>
    </dataValidation>
    <dataValidation errorStyle="information" allowBlank="1" sqref="K39" xr:uid="{00000000-0002-0000-0600-000003000000}"/>
    <dataValidation allowBlank="1" sqref="L39" xr:uid="{00000000-0002-0000-0600-000004000000}"/>
  </dataValidations>
  <hyperlinks>
    <hyperlink ref="N91" location="Personalkostenaufstellung!Druckbereich" display="Personalkostenaufstellung!Druckbereich" xr:uid="{00000000-0004-0000-0600-000000000000}"/>
    <hyperlink ref="C109" location="'Anlage 1'!A1" display="Anlage 1" xr:uid="{00000000-0004-0000-0600-000001000000}"/>
    <hyperlink ref="N93" location="Personalkostenaufstellung!Druckbereich" display="Personalkostenaufstellung!Druckbereich" xr:uid="{00000000-0004-0000-0600-000002000000}"/>
    <hyperlink ref="N89:P89" location="Sachaufwendungen!H21" display="Sachaufwendungen" xr:uid="{00000000-0004-0000-0600-000003000000}"/>
    <hyperlink ref="N87:P87" location="Personalaufwendungen!G11" display="Personalaufwendungen" xr:uid="{00000000-0004-0000-0600-000004000000}"/>
    <hyperlink ref="N83:P83" location="Personalkostenaufstellung!F426" display="Personalkostenaufstellung" xr:uid="{00000000-0004-0000-0600-000005000000}"/>
    <hyperlink ref="N80:P80" location="Personalkostenaufstellung!F46" display="Personalkostenaufstellung" xr:uid="{00000000-0004-0000-0600-000006000000}"/>
    <hyperlink ref="N78:P78" location="Personalkostenaufstellung!F40" display="Personalkostenaufstellung" xr:uid="{00000000-0004-0000-0600-000007000000}"/>
    <hyperlink ref="N74:P74" location="Personalkostenaufstellung!A28" display="Personalkostenaufstellung" xr:uid="{00000000-0004-0000-0600-000009000000}"/>
    <hyperlink ref="N72:P72" location="'Belegung_wö. Arbeitszeit'!D33" display="Belegung_wö. Arbeitszeit" xr:uid="{00000000-0004-0000-0600-00000A000000}"/>
    <hyperlink ref="N70:P70" location="'Belegung_wö. Arbeitszeit'!C33" display="Belegung_wö. Arbeitszeit" xr:uid="{00000000-0004-0000-0600-00000B000000}"/>
    <hyperlink ref="N91:P91" location="Personalkostenaufstellung!P15" display="Personalkostenaufstellung" xr:uid="{00000000-0004-0000-0600-00000C000000}"/>
    <hyperlink ref="N93:P93" location="Personalkostenaufstellung!M368" display="Personalkostenaufstellung" xr:uid="{00000000-0004-0000-0600-00000D000000}"/>
    <hyperlink ref="C109:I109" location="'Gesamtkalkulation '!A1" display="gehe weiter zu Gesamtkalkulation" xr:uid="{00000000-0004-0000-0600-00000E000000}"/>
    <hyperlink ref="N85:P85" location="Personalkostenaufstellung!F435" display="Personalkostenaufstellung" xr:uid="{00000000-0004-0000-0600-00000F000000}"/>
    <hyperlink ref="N76:P76" location="Personalkostenaufstellung!F34" display="Personalkostenaufstellung" xr:uid="{00000000-0004-0000-0600-000008000000}"/>
  </hyperlinks>
  <pageMargins left="0.70866141732283472" right="0.70866141732283472" top="0.78740157480314965" bottom="0.78740157480314965" header="0.31496062992125984" footer="0.31496062992125984"/>
  <pageSetup paperSize="9" scale="48" orientation="portrait"/>
  <headerFooter>
    <oddHeader>&amp;C&amp;9Seite 5</oddHeader>
    <oddFooter>&amp;L&amp;8Version: 24.04.2026&amp;C&amp;8Verhandlungsunterlagen vollstationär SGB XI ab 01.07.2026&amp;R&amp;8PSK vom 24.04.2026</oddFooter>
  </headerFooter>
  <extLst>
    <ext xmlns:x14="http://schemas.microsoft.com/office/spreadsheetml/2009/9/main" uri="{78C0D931-6437-407d-A8EE-F0AAD7539E65}">
      <x14:conditionalFormattings>
        <x14:conditionalFormatting xmlns:xm="http://schemas.microsoft.com/office/excel/2006/main">
          <x14:cfRule type="expression" priority="805" id="{3A3A5E93-4191-4BC4-AC6F-8B460028DB99}">
            <xm:f>KAT!$R$19=0</xm:f>
            <x14:dxf>
              <font>
                <color rgb="FFF0F5E6"/>
              </font>
            </x14:dxf>
          </x14:cfRule>
          <xm:sqref>C83</xm:sqref>
        </x14:conditionalFormatting>
        <x14:conditionalFormatting xmlns:xm="http://schemas.microsoft.com/office/excel/2006/main">
          <x14:cfRule type="expression" priority="832" id="{BB3109DE-3234-4C7C-A0F5-A054475F7A8B}">
            <xm:f>KAT!$R$19=0</xm:f>
            <x14:dxf>
              <font>
                <color rgb="FFF0F5E6"/>
              </font>
            </x14:dxf>
          </x14:cfRule>
          <x14:cfRule type="expression" priority="833" id="{7E277D1A-97AF-44EF-9621-97F87C99AA62}">
            <xm:f>KAT!$A$70="nein"</xm:f>
            <x14:dxf>
              <fill>
                <patternFill>
                  <bgColor theme="0"/>
                </patternFill>
              </fill>
            </x14:dxf>
          </x14:cfRule>
          <x14:cfRule type="expression" priority="834" id="{93A022AF-07CA-4E87-9EC0-C2EE8B6C2224}">
            <xm:f>KAT!$Q$16=0</xm:f>
            <x14:dxf>
              <font>
                <color theme="0"/>
              </font>
            </x14:dxf>
          </x14:cfRule>
          <xm:sqref>C95:C97</xm:sqref>
        </x14:conditionalFormatting>
        <x14:conditionalFormatting xmlns:xm="http://schemas.microsoft.com/office/excel/2006/main">
          <x14:cfRule type="expression" priority="695" id="{DD87A56F-7D7B-4715-B758-6C0517C0DC27}">
            <xm:f>(KAT!$A$70="nein")</xm:f>
            <x14:dxf>
              <fill>
                <patternFill>
                  <bgColor theme="0"/>
                </patternFill>
              </fill>
            </x14:dxf>
          </x14:cfRule>
          <xm:sqref>H22</xm:sqref>
        </x14:conditionalFormatting>
        <x14:conditionalFormatting xmlns:xm="http://schemas.microsoft.com/office/excel/2006/main">
          <x14:cfRule type="expression" priority="477" id="{69282F98-8D27-40A1-B5A8-18BD74D2B57F}">
            <xm:f>'Allgemeine Angaben'!$I$53="1"</xm:f>
            <x14:dxf>
              <font>
                <color theme="0"/>
              </font>
              <fill>
                <patternFill>
                  <bgColor theme="0"/>
                </patternFill>
              </fill>
              <border>
                <left/>
                <right/>
                <top/>
                <bottom/>
                <vertical/>
                <horizontal/>
              </border>
            </x14:dxf>
          </x14:cfRule>
          <xm:sqref>H52</xm:sqref>
        </x14:conditionalFormatting>
        <x14:conditionalFormatting xmlns:xm="http://schemas.microsoft.com/office/excel/2006/main">
          <x14:cfRule type="expression" priority="835" id="{70C10CDF-5038-4108-AC12-90C39DF781D2}">
            <xm:f>KAT!$A$70="ja"</xm:f>
            <x14:dxf>
              <fill>
                <patternFill>
                  <bgColor rgb="FFCCECFF"/>
                </patternFill>
              </fill>
            </x14:dxf>
          </x14:cfRule>
          <x14:cfRule type="expression" priority="836" id="{F3E8C29D-47C1-40F2-90A3-296DA605B3E2}">
            <xm:f>KAT!$Q$16=1</xm:f>
            <x14:dxf>
              <font>
                <color theme="0" tint="-4.9989318521683403E-2"/>
              </font>
            </x14:dxf>
          </x14:cfRule>
          <xm:sqref>I43 I48 I50 I52 I54 I56 I58 I62 I64</xm:sqref>
        </x14:conditionalFormatting>
        <x14:conditionalFormatting xmlns:xm="http://schemas.microsoft.com/office/excel/2006/main">
          <x14:cfRule type="expression" priority="180" id="{B649B1BF-506A-4A92-8E28-99D48339324C}">
            <xm:f>'Allgemeine Angaben'!$L$48&gt;0</xm:f>
            <x14:dxf>
              <font>
                <b/>
                <i val="0"/>
                <color theme="1"/>
              </font>
              <fill>
                <patternFill>
                  <bgColor theme="8" tint="0.79998168889431442"/>
                </patternFill>
              </fill>
              <border>
                <left style="thin">
                  <color auto="1"/>
                </left>
                <right style="thin">
                  <color auto="1"/>
                </right>
                <top style="thin">
                  <color auto="1"/>
                </top>
                <bottom/>
                <vertical/>
                <horizontal/>
              </border>
            </x14:dxf>
          </x14:cfRule>
          <xm:sqref>K9</xm:sqref>
        </x14:conditionalFormatting>
        <x14:conditionalFormatting xmlns:xm="http://schemas.microsoft.com/office/excel/2006/main">
          <x14:cfRule type="expression" priority="178" id="{FC254AEB-F216-4B55-82C4-F4702C076899}">
            <xm:f>'Allgemeine Angaben'!$L$48&gt;0</xm:f>
            <x14:dxf>
              <font>
                <b/>
                <i val="0"/>
              </font>
              <fill>
                <patternFill>
                  <bgColor theme="8" tint="0.79998168889431442"/>
                </patternFill>
              </fill>
              <border>
                <left style="thin">
                  <color auto="1"/>
                </left>
                <right style="thin">
                  <color auto="1"/>
                </right>
                <bottom style="thin">
                  <color auto="1"/>
                </bottom>
                <vertical/>
                <horizontal/>
              </border>
            </x14:dxf>
          </x14:cfRule>
          <xm:sqref>K10</xm:sqref>
        </x14:conditionalFormatting>
        <x14:conditionalFormatting xmlns:xm="http://schemas.microsoft.com/office/excel/2006/main">
          <x14:cfRule type="expression" priority="192" id="{EF452817-0D30-45C1-B6EA-B2FBD012F66D}">
            <xm:f>'Allgemeine Angaben'!$L$48&gt;0</xm:f>
            <x14:dxf>
              <font>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K22:K24</xm:sqref>
        </x14:conditionalFormatting>
        <x14:conditionalFormatting xmlns:xm="http://schemas.microsoft.com/office/excel/2006/main">
          <x14:cfRule type="expression" priority="153" id="{5D321253-8C8B-4AD7-A99D-337E55C221F2}">
            <xm:f>'Allgemeine Angaben'!$L$48&gt;0</xm:f>
            <x14:dxf>
              <font>
                <color theme="1"/>
              </font>
              <fill>
                <patternFill>
                  <bgColor theme="0" tint="-4.9989318521683403E-2"/>
                </patternFill>
              </fill>
              <border>
                <left style="thin">
                  <color auto="1"/>
                </left>
                <right style="thin">
                  <color auto="1"/>
                </right>
                <top style="thin">
                  <color auto="1"/>
                </top>
                <bottom style="thin">
                  <color auto="1"/>
                </bottom>
                <vertical/>
                <horizontal/>
              </border>
            </x14:dxf>
          </x14:cfRule>
          <xm:sqref>K26</xm:sqref>
        </x14:conditionalFormatting>
        <x14:conditionalFormatting xmlns:xm="http://schemas.microsoft.com/office/excel/2006/main">
          <x14:cfRule type="expression" priority="149" id="{A8092B6E-2E1B-49B5-931E-D17FD8F61CC4}">
            <xm:f>'Allgemeine Angaben'!$L$48&gt;0</xm:f>
            <x14:dxf>
              <font>
                <color theme="1"/>
              </font>
              <fill>
                <patternFill>
                  <bgColor theme="0" tint="-4.9989318521683403E-2"/>
                </patternFill>
              </fill>
              <border>
                <left style="thin">
                  <color auto="1"/>
                </left>
                <right style="thin">
                  <color auto="1"/>
                </right>
                <top style="thin">
                  <color auto="1"/>
                </top>
                <bottom style="thin">
                  <color auto="1"/>
                </bottom>
                <vertical/>
                <horizontal/>
              </border>
            </x14:dxf>
          </x14:cfRule>
          <xm:sqref>K28 K30 K32 K34 K36 K39</xm:sqref>
        </x14:conditionalFormatting>
        <x14:conditionalFormatting xmlns:xm="http://schemas.microsoft.com/office/excel/2006/main">
          <x14:cfRule type="expression" priority="190" id="{9CCE7C66-93C5-47D0-AA12-A93A72949F7D}">
            <xm:f>'Allgemeine Angaben'!$L$48=""</xm:f>
            <x14:dxf>
              <font>
                <color theme="0"/>
              </font>
            </x14:dxf>
          </x14:cfRule>
          <xm:sqref>K38</xm:sqref>
        </x14:conditionalFormatting>
        <x14:conditionalFormatting xmlns:xm="http://schemas.microsoft.com/office/excel/2006/main">
          <x14:cfRule type="expression" priority="177" id="{205A0B00-2488-45A2-A2DB-49A6F3F58113}">
            <xm:f>'Allgemeine Angaben'!$L$48&gt;0</xm:f>
            <x14:dxf>
              <font>
                <color theme="1"/>
              </font>
              <fill>
                <patternFill>
                  <bgColor theme="9" tint="0.79998168889431442"/>
                </patternFill>
              </fill>
              <border>
                <left style="thin">
                  <color auto="1"/>
                </left>
                <right style="thin">
                  <color auto="1"/>
                </right>
                <top style="thin">
                  <color auto="1"/>
                </top>
                <bottom style="thin">
                  <color auto="1"/>
                </bottom>
                <vertical/>
                <horizontal/>
              </border>
            </x14:dxf>
          </x14:cfRule>
          <xm:sqref>K17:L19</xm:sqref>
        </x14:conditionalFormatting>
        <x14:conditionalFormatting xmlns:xm="http://schemas.microsoft.com/office/excel/2006/main">
          <x14:cfRule type="expression" priority="714" id="{A4E3D57A-DA60-4A90-A6EA-CF6D08C7A74B}">
            <xm:f>KAT!$A$70="ja"</xm:f>
            <x14:dxf>
              <fill>
                <patternFill>
                  <bgColor rgb="FFCCECFF"/>
                </patternFill>
              </fill>
            </x14:dxf>
          </x14:cfRule>
          <xm:sqref>K22:L24 K9:L10 K17:L19 K28:L28 K30:L30 K32:L32 K34:L34 K36:L36 K38:L39 L48:M48 O48:P48 L62:M62 L64:M64 O62:P62 O64:P64 K26:L26 O58:P58</xm:sqref>
        </x14:conditionalFormatting>
        <x14:conditionalFormatting xmlns:xm="http://schemas.microsoft.com/office/excel/2006/main">
          <x14:cfRule type="expression" priority="151" id="{E0A984C5-038F-4F19-97B4-FB02AEB835AB}">
            <xm:f>'Allgemeine Angaben'!$L$48&gt;0</xm:f>
            <x14:dxf>
              <font>
                <b/>
                <i val="0"/>
                <color theme="1"/>
              </font>
              <fill>
                <patternFill>
                  <bgColor theme="8" tint="0.79998168889431442"/>
                </patternFill>
              </fill>
              <border>
                <left style="thin">
                  <color auto="1"/>
                </left>
                <right style="thin">
                  <color auto="1"/>
                </right>
                <top style="thin">
                  <color auto="1"/>
                </top>
                <vertical/>
                <horizontal/>
              </border>
            </x14:dxf>
          </x14:cfRule>
          <xm:sqref>L9</xm:sqref>
        </x14:conditionalFormatting>
        <x14:conditionalFormatting xmlns:xm="http://schemas.microsoft.com/office/excel/2006/main">
          <x14:cfRule type="expression" priority="181" id="{43152049-4961-4519-932E-D8F6E01BF36F}">
            <xm:f>'Allgemeine Angaben'!$L$48&gt;0</xm:f>
            <x14:dxf>
              <font>
                <b/>
                <i val="0"/>
                <color theme="1"/>
              </font>
              <fill>
                <patternFill>
                  <bgColor theme="8" tint="0.79998168889431442"/>
                </patternFill>
              </fill>
              <border>
                <left style="thin">
                  <color auto="1"/>
                </left>
                <right style="thin">
                  <color auto="1"/>
                </right>
                <top/>
                <bottom style="thin">
                  <color auto="1"/>
                </bottom>
                <vertical/>
                <horizontal/>
              </border>
            </x14:dxf>
          </x14:cfRule>
          <xm:sqref>L10</xm:sqref>
        </x14:conditionalFormatting>
        <x14:conditionalFormatting xmlns:xm="http://schemas.microsoft.com/office/excel/2006/main">
          <x14:cfRule type="expression" priority="176" id="{0811D808-E414-4673-9F7A-73370D50D31E}">
            <xm:f>'Allgemeine Angaben'!$L$48&gt;0</xm:f>
            <x14:dxf>
              <font>
                <color theme="1"/>
              </font>
              <fill>
                <patternFill>
                  <bgColor theme="8" tint="0.79998168889431442"/>
                </patternFill>
              </fill>
              <border>
                <left style="thin">
                  <color auto="1"/>
                </left>
                <right style="thin">
                  <color auto="1"/>
                </right>
                <top style="thin">
                  <color auto="1"/>
                </top>
                <bottom style="thin">
                  <color auto="1"/>
                </bottom>
                <vertical/>
                <horizontal/>
              </border>
            </x14:dxf>
          </x14:cfRule>
          <xm:sqref>L22:L24</xm:sqref>
        </x14:conditionalFormatting>
        <x14:conditionalFormatting xmlns:xm="http://schemas.microsoft.com/office/excel/2006/main">
          <x14:cfRule type="expression" priority="148" id="{87533EFC-53E8-4456-9C34-4A260A1D5315}">
            <xm:f>'Allgemeine Angaben'!$L$48&gt;0</xm:f>
            <x14:dxf>
              <font>
                <b val="0"/>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L26</xm:sqref>
        </x14:conditionalFormatting>
        <x14:conditionalFormatting xmlns:xm="http://schemas.microsoft.com/office/excel/2006/main">
          <x14:cfRule type="expression" priority="174" id="{84B77AD6-8F42-4765-A311-D2D25F9A08DF}">
            <xm:f>'Allgemeine Angaben'!$L$48&gt;0</xm:f>
            <x14:dxf>
              <font>
                <color theme="1"/>
              </font>
              <fill>
                <patternFill>
                  <bgColor theme="8" tint="0.79998168889431442"/>
                </patternFill>
              </fill>
              <border>
                <left style="thin">
                  <color auto="1"/>
                </left>
                <right style="thin">
                  <color auto="1"/>
                </right>
                <top style="thin">
                  <color auto="1"/>
                </top>
                <bottom style="thin">
                  <color auto="1"/>
                </bottom>
                <vertical/>
                <horizontal/>
              </border>
            </x14:dxf>
          </x14:cfRule>
          <xm:sqref>L28 L30 L32 L34 L36 L39</xm:sqref>
        </x14:conditionalFormatting>
        <x14:conditionalFormatting xmlns:xm="http://schemas.microsoft.com/office/excel/2006/main">
          <x14:cfRule type="expression" priority="732" id="{7FD9F1E9-BD52-4241-B699-191FCBA41C14}">
            <xm:f>'Allgemeine Angaben'!$L$48=""</xm:f>
            <x14:dxf>
              <font>
                <color theme="0"/>
              </font>
              <fill>
                <patternFill>
                  <bgColor theme="0"/>
                </patternFill>
              </fill>
            </x14:dxf>
          </x14:cfRule>
          <x14:cfRule type="expression" priority="731" id="{05C92AE8-52CB-4065-879A-A5AB6ED2AA21}">
            <xm:f>KAT!$A$70="ja"</xm:f>
            <x14:dxf>
              <fill>
                <patternFill>
                  <bgColor rgb="FFCCECFF"/>
                </patternFill>
              </fill>
            </x14:dxf>
          </x14:cfRule>
          <xm:sqref>L46 L60</xm:sqref>
        </x14:conditionalFormatting>
        <x14:conditionalFormatting xmlns:xm="http://schemas.microsoft.com/office/excel/2006/main">
          <x14:cfRule type="expression" priority="170" id="{49A8C0DE-C259-4B18-9B9C-F521B8ABDDB9}">
            <xm:f>'Allgemeine Angaben'!$L$48&gt;0</xm:f>
            <x14:dxf>
              <font>
                <color theme="1"/>
              </font>
              <fill>
                <patternFill>
                  <bgColor theme="0"/>
                </patternFill>
              </fill>
              <border>
                <left style="thin">
                  <color auto="1"/>
                </left>
                <right/>
                <top style="thin">
                  <color auto="1"/>
                </top>
                <bottom style="thin">
                  <color auto="1"/>
                </bottom>
                <vertical/>
                <horizontal/>
              </border>
            </x14:dxf>
          </x14:cfRule>
          <xm:sqref>L48</xm:sqref>
        </x14:conditionalFormatting>
        <x14:conditionalFormatting xmlns:xm="http://schemas.microsoft.com/office/excel/2006/main">
          <x14:cfRule type="expression" priority="735" id="{5574F4FC-A206-43E7-AF9E-F5FCFEAA2DA1}">
            <xm:f>KAT!$A$70="ja"</xm:f>
            <x14:dxf>
              <fill>
                <patternFill>
                  <bgColor rgb="FFCCECFF"/>
                </patternFill>
              </fill>
            </x14:dxf>
          </x14:cfRule>
          <x14:cfRule type="expression" priority="736" id="{506B514C-25DD-4C27-A3FB-E21FA686DD03}">
            <xm:f>'Allgemeine Angaben'!$L$48=""</xm:f>
            <x14:dxf>
              <font>
                <color theme="0"/>
              </font>
              <fill>
                <patternFill>
                  <bgColor theme="0"/>
                </patternFill>
              </fill>
              <border>
                <left/>
                <right/>
                <top/>
                <bottom/>
                <vertical/>
                <horizontal/>
              </border>
            </x14:dxf>
          </x14:cfRule>
          <xm:sqref>L58</xm:sqref>
        </x14:conditionalFormatting>
        <x14:conditionalFormatting xmlns:xm="http://schemas.microsoft.com/office/excel/2006/main">
          <x14:cfRule type="expression" priority="165" id="{7BAD0EEE-77C9-4690-9DAB-AB5C22767BDB}">
            <xm:f>'Allgemeine Angaben'!$L$48&gt;0</xm:f>
            <x14:dxf>
              <font>
                <b val="0"/>
                <i val="0"/>
                <color theme="1"/>
              </font>
              <fill>
                <patternFill>
                  <bgColor theme="0"/>
                </patternFill>
              </fill>
              <border>
                <left style="thin">
                  <color auto="1"/>
                </left>
                <right/>
                <top style="thin">
                  <color auto="1"/>
                </top>
                <bottom style="thin">
                  <color auto="1"/>
                </bottom>
                <vertical/>
                <horizontal/>
              </border>
            </x14:dxf>
          </x14:cfRule>
          <xm:sqref>L62</xm:sqref>
        </x14:conditionalFormatting>
        <x14:conditionalFormatting xmlns:xm="http://schemas.microsoft.com/office/excel/2006/main">
          <x14:cfRule type="expression" priority="163" id="{B4522F3C-1754-4A7A-AA66-F003C2631EFD}">
            <xm:f>'Allgemeine Angaben'!$L$48&gt;0</xm:f>
            <x14:dxf>
              <font>
                <b val="0"/>
                <i val="0"/>
                <color auto="1"/>
              </font>
              <fill>
                <patternFill>
                  <bgColor theme="0"/>
                </patternFill>
              </fill>
              <border>
                <left style="thin">
                  <color auto="1"/>
                </left>
                <right/>
                <top style="thin">
                  <color auto="1"/>
                </top>
                <bottom style="thin">
                  <color auto="1"/>
                </bottom>
                <vertical/>
                <horizontal/>
              </border>
            </x14:dxf>
          </x14:cfRule>
          <xm:sqref>L64</xm:sqref>
        </x14:conditionalFormatting>
        <x14:conditionalFormatting xmlns:xm="http://schemas.microsoft.com/office/excel/2006/main">
          <x14:cfRule type="expression" priority="66" id="{4EB28B5C-E1E4-4675-A88A-D6105C22423B}">
            <xm:f>KAT!$S$4=4</xm:f>
            <x14:dxf>
              <font>
                <b/>
                <i val="0"/>
                <color rgb="FFFF0000"/>
              </font>
            </x14:dxf>
          </x14:cfRule>
          <x14:cfRule type="expression" priority="65" id="{AC802AC0-B678-4554-9983-2FA1BA2F6D57}">
            <xm:f>KAT!$S$4=3</xm:f>
            <x14:dxf>
              <font>
                <b/>
                <i val="0"/>
                <color rgb="FF00B050"/>
              </font>
              <fill>
                <patternFill patternType="solid">
                  <bgColor theme="4"/>
                </patternFill>
              </fill>
            </x14:dxf>
          </x14:cfRule>
          <x14:cfRule type="expression" priority="63" id="{B1A22D44-AC88-4F73-B110-8B60B2CCFACC}">
            <xm:f>KAT!$S$4=1</xm:f>
            <x14:dxf>
              <font>
                <color theme="4"/>
              </font>
              <fill>
                <patternFill>
                  <bgColor theme="4"/>
                </patternFill>
              </fill>
            </x14:dxf>
          </x14:cfRule>
          <x14:cfRule type="expression" priority="64" id="{BC0D2E21-C8A0-478E-8016-26940E9C68B5}">
            <xm:f>KAT!$S$4=2</xm:f>
            <x14:dxf>
              <font>
                <color rgb="FFCFE8B5"/>
              </font>
              <fill>
                <patternFill>
                  <bgColor theme="4"/>
                </patternFill>
              </fill>
            </x14:dxf>
          </x14:cfRule>
          <xm:sqref>L70</xm:sqref>
        </x14:conditionalFormatting>
        <x14:conditionalFormatting xmlns:xm="http://schemas.microsoft.com/office/excel/2006/main">
          <x14:cfRule type="expression" priority="60" id="{655A9123-B18D-4629-A013-A6EC3932FE32}">
            <xm:f>KAT!$S$5=2</xm:f>
            <x14:dxf>
              <font>
                <color rgb="FFCFE8B5"/>
              </font>
              <fill>
                <patternFill>
                  <bgColor theme="4"/>
                </patternFill>
              </fill>
            </x14:dxf>
          </x14:cfRule>
          <x14:cfRule type="expression" priority="59" id="{8BC27EFB-726B-4A05-A6BD-9D9292A80DD9}">
            <xm:f>KAT!$S$5=1</xm:f>
            <x14:dxf>
              <font>
                <color rgb="FFCFE8B5"/>
              </font>
              <fill>
                <patternFill>
                  <bgColor theme="4"/>
                </patternFill>
              </fill>
            </x14:dxf>
          </x14:cfRule>
          <x14:cfRule type="expression" priority="62" id="{06E2BD90-1782-4E81-8984-7674FC732C17}">
            <xm:f>KAT!$S$5=4</xm:f>
            <x14:dxf>
              <font>
                <b/>
                <i val="0"/>
                <color rgb="FFFF0000"/>
              </font>
            </x14:dxf>
          </x14:cfRule>
          <x14:cfRule type="expression" priority="61" id="{43DB8F4B-9160-4E42-889F-4FFC9CBD6048}">
            <xm:f>KAT!$S$5=3</xm:f>
            <x14:dxf>
              <font>
                <b/>
                <i val="0"/>
                <color theme="3"/>
              </font>
              <fill>
                <patternFill patternType="solid">
                  <bgColor theme="4"/>
                </patternFill>
              </fill>
            </x14:dxf>
          </x14:cfRule>
          <xm:sqref>L72</xm:sqref>
        </x14:conditionalFormatting>
        <x14:conditionalFormatting xmlns:xm="http://schemas.microsoft.com/office/excel/2006/main">
          <x14:cfRule type="expression" priority="56" id="{CF303738-7DAD-4092-A998-95E19A67C9F1}">
            <xm:f>KAT!$S$6=2</xm:f>
            <x14:dxf>
              <font>
                <color rgb="FFCFE8B5"/>
              </font>
              <fill>
                <patternFill>
                  <bgColor theme="4"/>
                </patternFill>
              </fill>
            </x14:dxf>
          </x14:cfRule>
          <x14:cfRule type="expression" priority="57" id="{CABD0656-CF62-4A0F-92DD-B713BDB115C8}">
            <xm:f>KAT!$S$6=3</xm:f>
            <x14:dxf>
              <font>
                <b/>
                <i val="0"/>
                <color rgb="FF00B050"/>
              </font>
              <fill>
                <patternFill>
                  <bgColor theme="4"/>
                </patternFill>
              </fill>
            </x14:dxf>
          </x14:cfRule>
          <x14:cfRule type="expression" priority="58" id="{FEF5A6BD-4E0A-49C7-B8F8-34DBE9BEF51E}">
            <xm:f>KAT!$S$6=4</xm:f>
            <x14:dxf>
              <font>
                <b/>
                <i val="0"/>
                <color rgb="FFFF0000"/>
              </font>
            </x14:dxf>
          </x14:cfRule>
          <x14:cfRule type="expression" priority="55" id="{233BCB3F-6BD4-42B5-9804-1124A933BAC6}">
            <xm:f>KAT!$S$6=1</xm:f>
            <x14:dxf>
              <font>
                <color rgb="FFCFE8B5"/>
              </font>
              <fill>
                <patternFill>
                  <bgColor theme="4"/>
                </patternFill>
              </fill>
            </x14:dxf>
          </x14:cfRule>
          <xm:sqref>L74</xm:sqref>
        </x14:conditionalFormatting>
        <x14:conditionalFormatting xmlns:xm="http://schemas.microsoft.com/office/excel/2006/main">
          <x14:cfRule type="expression" priority="53" id="{31BD9DD5-DD66-40FD-9DAB-95D2431B4295}">
            <xm:f>KAT!$S$7=2</xm:f>
            <x14:dxf>
              <font>
                <color rgb="FFCFE8B5"/>
              </font>
              <fill>
                <patternFill>
                  <bgColor theme="4"/>
                </patternFill>
              </fill>
            </x14:dxf>
          </x14:cfRule>
          <x14:cfRule type="expression" priority="54" id="{6A2D6F18-B602-44B8-9508-BD2D24D29CDE}">
            <xm:f>KAT!$S$7=1</xm:f>
            <x14:dxf>
              <font>
                <color rgb="FFCFE8B5"/>
              </font>
              <fill>
                <patternFill>
                  <bgColor theme="4"/>
                </patternFill>
              </fill>
            </x14:dxf>
          </x14:cfRule>
          <x14:cfRule type="expression" priority="52" id="{E6A25935-7746-49FA-9D4D-57073873BC5A}">
            <xm:f>KAT!$S$7=3</xm:f>
            <x14:dxf>
              <font>
                <b/>
                <i val="0"/>
                <color rgb="FF00B050"/>
              </font>
              <fill>
                <patternFill>
                  <bgColor theme="4"/>
                </patternFill>
              </fill>
            </x14:dxf>
          </x14:cfRule>
          <x14:cfRule type="expression" priority="51" id="{47211FF3-C6F0-4C94-8F52-1278B93FB6BA}">
            <xm:f>KAT!$S$7=4</xm:f>
            <x14:dxf>
              <font>
                <b/>
                <i val="0"/>
                <color rgb="FFFF0000"/>
              </font>
            </x14:dxf>
          </x14:cfRule>
          <xm:sqref>L76</xm:sqref>
        </x14:conditionalFormatting>
        <x14:conditionalFormatting xmlns:xm="http://schemas.microsoft.com/office/excel/2006/main">
          <x14:cfRule type="expression" priority="49" id="{E4BA8212-C149-4150-AA9C-FA681205A542}">
            <xm:f>KAT!$S$8=3</xm:f>
            <x14:dxf>
              <font>
                <b/>
                <i val="0"/>
                <color rgb="FF00B050"/>
              </font>
              <fill>
                <patternFill>
                  <bgColor theme="4"/>
                </patternFill>
              </fill>
            </x14:dxf>
          </x14:cfRule>
          <x14:cfRule type="expression" priority="48" id="{5B7352F7-FD3C-43D3-ABF9-B21D78F0787B}">
            <xm:f>KAT!$S$8=2</xm:f>
            <x14:dxf>
              <font>
                <color rgb="FFCFE8B5"/>
              </font>
              <fill>
                <patternFill>
                  <bgColor theme="4"/>
                </patternFill>
              </fill>
            </x14:dxf>
          </x14:cfRule>
          <x14:cfRule type="expression" priority="50" id="{1D9E9083-0731-467C-A704-10A886AB8907}">
            <xm:f>KAT!$S$8=4</xm:f>
            <x14:dxf>
              <font>
                <b/>
                <i val="0"/>
                <color rgb="FFFF0000"/>
              </font>
            </x14:dxf>
          </x14:cfRule>
          <x14:cfRule type="expression" priority="47" id="{1C72BEA3-EBA6-44E0-96F2-CCD3F5437633}">
            <xm:f>KAT!$S$8=1</xm:f>
            <x14:dxf>
              <font>
                <color rgb="FFCFE8B5"/>
              </font>
              <fill>
                <patternFill>
                  <bgColor theme="4"/>
                </patternFill>
              </fill>
            </x14:dxf>
          </x14:cfRule>
          <xm:sqref>L78</xm:sqref>
        </x14:conditionalFormatting>
        <x14:conditionalFormatting xmlns:xm="http://schemas.microsoft.com/office/excel/2006/main">
          <x14:cfRule type="expression" priority="44" id="{53B5547E-A647-433A-AE52-21364CCE9E4E}">
            <xm:f>KAT!$S$9=2</xm:f>
            <x14:dxf>
              <font>
                <color rgb="FFCFE8B5"/>
              </font>
              <fill>
                <patternFill>
                  <bgColor theme="4"/>
                </patternFill>
              </fill>
            </x14:dxf>
          </x14:cfRule>
          <x14:cfRule type="expression" priority="43" id="{2F16631E-E4E1-4037-8848-F4503CD56A6F}">
            <xm:f>KAT!$S$9=1</xm:f>
            <x14:dxf>
              <font>
                <color rgb="FFCFE8B5"/>
              </font>
              <fill>
                <patternFill>
                  <bgColor theme="4"/>
                </patternFill>
              </fill>
            </x14:dxf>
          </x14:cfRule>
          <x14:cfRule type="expression" priority="46" id="{46DA4130-CF2D-420B-B467-8ABC003BADC9}">
            <xm:f>KAT!$S$9=4</xm:f>
            <x14:dxf>
              <font>
                <b/>
                <i val="0"/>
                <color rgb="FFFF0000"/>
              </font>
            </x14:dxf>
          </x14:cfRule>
          <x14:cfRule type="expression" priority="45" id="{ECF51918-C21C-4CC0-A96C-9FB46F193392}">
            <xm:f>KAT!$S$9=3</xm:f>
            <x14:dxf>
              <font>
                <b/>
                <i val="0"/>
                <color rgb="FF00B050"/>
              </font>
              <fill>
                <patternFill>
                  <bgColor theme="4"/>
                </patternFill>
              </fill>
            </x14:dxf>
          </x14:cfRule>
          <xm:sqref>L80</xm:sqref>
        </x14:conditionalFormatting>
        <x14:conditionalFormatting xmlns:xm="http://schemas.microsoft.com/office/excel/2006/main">
          <x14:cfRule type="expression" priority="42" id="{7F2C7C9A-B940-45BD-B3A4-C63827DB96A0}">
            <xm:f>KAT!$S$10=4</xm:f>
            <x14:dxf>
              <font>
                <b/>
                <i val="0"/>
                <color rgb="FFFF0000"/>
              </font>
            </x14:dxf>
          </x14:cfRule>
          <x14:cfRule type="expression" priority="40" id="{F17C7D77-0B2E-425E-80FF-8DB77B9B3979}">
            <xm:f>KAT!$S$10=2</xm:f>
            <x14:dxf>
              <font>
                <color rgb="FFCFE8B5"/>
              </font>
              <fill>
                <patternFill>
                  <bgColor theme="4"/>
                </patternFill>
              </fill>
            </x14:dxf>
          </x14:cfRule>
          <x14:cfRule type="expression" priority="39" id="{096D5DC7-8FCA-4AD0-A867-C7686C512949}">
            <xm:f>KAT!$S$10=1</xm:f>
            <x14:dxf>
              <font>
                <color rgb="FFCFE8B5"/>
              </font>
              <fill>
                <patternFill>
                  <bgColor theme="4"/>
                </patternFill>
              </fill>
            </x14:dxf>
          </x14:cfRule>
          <x14:cfRule type="expression" priority="41" id="{9232703F-EDD6-4BBA-8D2C-BC95D2961468}">
            <xm:f>KAT!$S$10=3</xm:f>
            <x14:dxf>
              <font>
                <b/>
                <i val="0"/>
                <color rgb="FF00B050"/>
              </font>
              <fill>
                <patternFill>
                  <bgColor theme="4"/>
                </patternFill>
              </fill>
            </x14:dxf>
          </x14:cfRule>
          <xm:sqref>L83</xm:sqref>
        </x14:conditionalFormatting>
        <x14:conditionalFormatting xmlns:xm="http://schemas.microsoft.com/office/excel/2006/main">
          <x14:cfRule type="expression" priority="10" id="{60485524-895A-45BE-82B8-9F5F056324D3}">
            <xm:f>KAT!$S$11=3</xm:f>
            <x14:dxf>
              <font>
                <b/>
                <i val="0"/>
                <color rgb="FF00B050"/>
              </font>
              <fill>
                <patternFill>
                  <bgColor theme="4"/>
                </patternFill>
              </fill>
            </x14:dxf>
          </x14:cfRule>
          <x14:cfRule type="expression" priority="11" id="{C58E80FF-6FA0-45CC-945B-DB89150AEE93}">
            <xm:f>KAT!$S$11=4</xm:f>
            <x14:dxf>
              <font>
                <b/>
                <i val="0"/>
                <color rgb="FFFF0000"/>
              </font>
            </x14:dxf>
          </x14:cfRule>
          <x14:cfRule type="expression" priority="9" id="{64FDBA99-89B2-4F07-9397-18D79B74062A}">
            <xm:f>KAT!$S$11=2</xm:f>
            <x14:dxf>
              <font>
                <color rgb="FFCFE8B5"/>
              </font>
              <fill>
                <patternFill>
                  <bgColor theme="4"/>
                </patternFill>
              </fill>
            </x14:dxf>
          </x14:cfRule>
          <x14:cfRule type="expression" priority="8" id="{03E05826-F123-42F1-BD58-C708C0FD1D2E}">
            <xm:f>KAT!$S$11=1</xm:f>
            <x14:dxf>
              <font>
                <color rgb="FFCFE8B5"/>
              </font>
              <fill>
                <patternFill>
                  <bgColor theme="4"/>
                </patternFill>
              </fill>
            </x14:dxf>
          </x14:cfRule>
          <xm:sqref>L85</xm:sqref>
        </x14:conditionalFormatting>
        <x14:conditionalFormatting xmlns:xm="http://schemas.microsoft.com/office/excel/2006/main">
          <x14:cfRule type="expression" priority="806" id="{40F14759-5512-4576-91CE-B5F34012A796}">
            <xm:f>KAT!$S$12=1</xm:f>
            <x14:dxf>
              <font>
                <color rgb="FFCFE8B5"/>
              </font>
              <fill>
                <patternFill>
                  <bgColor theme="4"/>
                </patternFill>
              </fill>
            </x14:dxf>
          </x14:cfRule>
          <x14:cfRule type="expression" priority="807" id="{0F87C6A8-85EB-4F52-ABC5-7EB475A9B2FD}">
            <xm:f>KAT!$S$12=2</xm:f>
            <x14:dxf>
              <font>
                <color rgb="FFCFE8B5"/>
              </font>
              <fill>
                <patternFill>
                  <bgColor theme="4"/>
                </patternFill>
              </fill>
            </x14:dxf>
          </x14:cfRule>
          <x14:cfRule type="expression" priority="808" id="{E10AC363-7019-4A6B-918C-2019F034807F}">
            <xm:f>KAT!$S$12=3</xm:f>
            <x14:dxf>
              <font>
                <b/>
                <i val="0"/>
                <color rgb="FF00B050"/>
              </font>
              <fill>
                <patternFill>
                  <bgColor theme="4"/>
                </patternFill>
              </fill>
            </x14:dxf>
          </x14:cfRule>
          <x14:cfRule type="expression" priority="809" id="{F2EB7E49-A046-4D29-B5DC-CC72F6C121EA}">
            <xm:f>KAT!$S$12=4</xm:f>
            <x14:dxf>
              <font>
                <b/>
                <i val="0"/>
                <color rgb="FFFF0000"/>
              </font>
            </x14:dxf>
          </x14:cfRule>
          <xm:sqref>L87</xm:sqref>
        </x14:conditionalFormatting>
        <x14:conditionalFormatting xmlns:xm="http://schemas.microsoft.com/office/excel/2006/main">
          <x14:cfRule type="expression" priority="813" id="{FFC51DB3-93CB-4343-A7C0-624F5F703210}">
            <xm:f>KAT!$S$13=4</xm:f>
            <x14:dxf>
              <font>
                <b/>
                <i val="0"/>
                <color rgb="FFFF0000"/>
              </font>
            </x14:dxf>
          </x14:cfRule>
          <x14:cfRule type="expression" priority="812" id="{6DE81A3D-5C45-4FD3-8ACE-1064C7F30560}">
            <xm:f>KAT!$S$13=3</xm:f>
            <x14:dxf>
              <font>
                <b/>
                <i val="0"/>
                <color rgb="FF00B050"/>
              </font>
              <fill>
                <patternFill>
                  <bgColor theme="4"/>
                </patternFill>
              </fill>
            </x14:dxf>
          </x14:cfRule>
          <x14:cfRule type="expression" priority="810" id="{C448A0F8-4119-46F2-A8B1-2C96D1AC6237}">
            <xm:f>KAT!$S$13=1</xm:f>
            <x14:dxf>
              <font>
                <color rgb="FFCFE8B5"/>
              </font>
              <fill>
                <patternFill>
                  <bgColor theme="4"/>
                </patternFill>
              </fill>
            </x14:dxf>
          </x14:cfRule>
          <x14:cfRule type="expression" priority="811" id="{FBC8E42C-D428-4F64-9794-F0B07F181E68}">
            <xm:f>KAT!$S$13=2</xm:f>
            <x14:dxf>
              <font>
                <color rgb="FFCFE8B5"/>
              </font>
              <fill>
                <patternFill>
                  <bgColor theme="4"/>
                </patternFill>
              </fill>
            </x14:dxf>
          </x14:cfRule>
          <xm:sqref>L89</xm:sqref>
        </x14:conditionalFormatting>
        <x14:conditionalFormatting xmlns:xm="http://schemas.microsoft.com/office/excel/2006/main">
          <x14:cfRule type="expression" priority="817" id="{D2675140-5E78-4B13-A12A-17AB2F61A311}">
            <xm:f>KAT!$S$14=4</xm:f>
            <x14:dxf>
              <font>
                <b/>
                <i val="0"/>
                <color rgb="FFFF0000"/>
              </font>
            </x14:dxf>
          </x14:cfRule>
          <x14:cfRule type="expression" priority="816" id="{0C7D221F-9F13-49C4-A319-BB64A805DBDE}">
            <xm:f>KAT!$S$14=3</xm:f>
            <x14:dxf>
              <font>
                <b/>
                <i val="0"/>
                <color rgb="FF00B050"/>
              </font>
              <fill>
                <patternFill>
                  <bgColor theme="4"/>
                </patternFill>
              </fill>
            </x14:dxf>
          </x14:cfRule>
          <x14:cfRule type="expression" priority="815" id="{53062DD4-89FE-4DC8-A15C-70636C22DF9C}">
            <xm:f>KAT!$S$14=2</xm:f>
            <x14:dxf>
              <font>
                <color rgb="FFCFE8B5"/>
              </font>
              <fill>
                <patternFill>
                  <bgColor theme="4"/>
                </patternFill>
              </fill>
            </x14:dxf>
          </x14:cfRule>
          <x14:cfRule type="expression" priority="814" id="{09693BAA-1E52-46BC-B00C-F251D2D80EF3}">
            <xm:f>KAT!$S$14=1</xm:f>
            <x14:dxf>
              <font>
                <color rgb="FFCFE8B5"/>
              </font>
              <fill>
                <patternFill>
                  <bgColor theme="4"/>
                </patternFill>
              </fill>
            </x14:dxf>
          </x14:cfRule>
          <xm:sqref>L91</xm:sqref>
        </x14:conditionalFormatting>
        <x14:conditionalFormatting xmlns:xm="http://schemas.microsoft.com/office/excel/2006/main">
          <x14:cfRule type="expression" priority="820" id="{2F008790-9002-4028-AC0F-533A4F857E7C}">
            <xm:f>KAT!$S$15=3</xm:f>
            <x14:dxf>
              <font>
                <b/>
                <i val="0"/>
                <color rgb="FF00B050"/>
              </font>
              <fill>
                <patternFill>
                  <bgColor theme="4"/>
                </patternFill>
              </fill>
            </x14:dxf>
          </x14:cfRule>
          <x14:cfRule type="expression" priority="821" id="{06886F91-DE1D-42BE-BB6C-33CF2ABBB289}">
            <xm:f>KAT!$S$15=4</xm:f>
            <x14:dxf>
              <font>
                <b/>
                <i val="0"/>
                <color rgb="FFFF0000"/>
              </font>
            </x14:dxf>
          </x14:cfRule>
          <x14:cfRule type="expression" priority="819" id="{D264C810-58AB-49AC-B2C3-B1D550D5A928}">
            <xm:f>KAT!$S$15=2</xm:f>
            <x14:dxf>
              <font>
                <color rgb="FFCFE8B5"/>
              </font>
              <fill>
                <patternFill>
                  <bgColor theme="4"/>
                </patternFill>
              </fill>
            </x14:dxf>
          </x14:cfRule>
          <x14:cfRule type="expression" priority="818" id="{5B1D7E37-2FC0-4D3C-BE28-CB4355867EC8}">
            <xm:f>KAT!$S$15=1</xm:f>
            <x14:dxf>
              <font>
                <color rgb="FFCFE8B5"/>
              </font>
              <fill>
                <patternFill>
                  <bgColor theme="4"/>
                </patternFill>
              </fill>
            </x14:dxf>
          </x14:cfRule>
          <xm:sqref>L93</xm:sqref>
        </x14:conditionalFormatting>
        <x14:conditionalFormatting xmlns:xm="http://schemas.microsoft.com/office/excel/2006/main">
          <x14:cfRule type="expression" priority="147" id="{1B90120E-8F18-4A6A-85ED-25C67A4DE2B8}">
            <xm:f>'Allgemeine Angaben'!$L$48&gt;0</xm:f>
            <x14:dxf>
              <font>
                <color theme="1"/>
              </font>
              <border>
                <left/>
                <right style="thin">
                  <color auto="1"/>
                </right>
                <top style="thin">
                  <color auto="1"/>
                </top>
                <bottom style="thin">
                  <color auto="1"/>
                </bottom>
                <vertical/>
                <horizontal/>
              </border>
            </x14:dxf>
          </x14:cfRule>
          <xm:sqref>M48</xm:sqref>
        </x14:conditionalFormatting>
        <x14:conditionalFormatting xmlns:xm="http://schemas.microsoft.com/office/excel/2006/main">
          <x14:cfRule type="expression" priority="453" id="{21AD0A23-51E1-470E-9A9D-9E22F24D34A4}">
            <xm:f>'Allgemeine Angaben'!$L$48&gt;0</xm:f>
            <x14:dxf>
              <font>
                <color theme="1"/>
              </font>
              <fill>
                <patternFill>
                  <fgColor theme="0"/>
                </patternFill>
              </fill>
            </x14:dxf>
          </x14:cfRule>
          <xm:sqref>M52</xm:sqref>
        </x14:conditionalFormatting>
        <x14:conditionalFormatting xmlns:xm="http://schemas.microsoft.com/office/excel/2006/main">
          <x14:cfRule type="expression" priority="164" id="{9B7222B5-48F6-4459-8A69-7F473E4D3630}">
            <xm:f>'Allgemeine Angaben'!$L$48&gt;0</xm:f>
            <x14:dxf>
              <font>
                <b val="0"/>
                <i val="0"/>
                <color theme="1"/>
              </font>
              <border>
                <left/>
                <right style="thin">
                  <color auto="1"/>
                </right>
                <top style="thin">
                  <color auto="1"/>
                </top>
                <bottom style="thin">
                  <color auto="1"/>
                </bottom>
                <vertical/>
                <horizontal/>
              </border>
            </x14:dxf>
          </x14:cfRule>
          <xm:sqref>M62</xm:sqref>
        </x14:conditionalFormatting>
        <x14:conditionalFormatting xmlns:xm="http://schemas.microsoft.com/office/excel/2006/main">
          <x14:cfRule type="expression" priority="143" id="{EAC309A6-02E0-4279-8E83-310AECF532E8}">
            <xm:f>'Allgemeine Angaben'!$L$48&gt;0</xm:f>
            <x14:dxf>
              <font>
                <b val="0"/>
                <i val="0"/>
                <color theme="1"/>
              </font>
              <border>
                <left/>
                <right style="thin">
                  <color auto="1"/>
                </right>
                <top style="thin">
                  <color auto="1"/>
                </top>
                <bottom style="thin">
                  <color auto="1"/>
                </bottom>
                <vertical/>
                <horizontal/>
              </border>
            </x14:dxf>
          </x14:cfRule>
          <xm:sqref>M64</xm:sqref>
        </x14:conditionalFormatting>
        <x14:conditionalFormatting xmlns:xm="http://schemas.microsoft.com/office/excel/2006/main">
          <x14:cfRule type="expression" priority="22" id="{667F49F3-361A-41D0-8C10-1A9B5BFA2859}">
            <xm:f>KAT!$S$4=4</xm:f>
            <x14:dxf>
              <font>
                <color rgb="FF0070C0"/>
              </font>
            </x14:dxf>
          </x14:cfRule>
          <xm:sqref>N70:P70</xm:sqref>
        </x14:conditionalFormatting>
        <x14:conditionalFormatting xmlns:xm="http://schemas.microsoft.com/office/excel/2006/main">
          <x14:cfRule type="expression" priority="21" id="{77D670D7-671F-4D13-8F39-E606E24FA77C}">
            <xm:f>KAT!$S$5=4</xm:f>
            <x14:dxf>
              <font>
                <color rgb="FF0070C0"/>
              </font>
            </x14:dxf>
          </x14:cfRule>
          <xm:sqref>N72:P72</xm:sqref>
        </x14:conditionalFormatting>
        <x14:conditionalFormatting xmlns:xm="http://schemas.microsoft.com/office/excel/2006/main">
          <x14:cfRule type="expression" priority="20" id="{D9222A75-4179-4F3E-ADFC-CCE6DDFB62B6}">
            <xm:f>KAT!$S$6=4</xm:f>
            <x14:dxf>
              <font>
                <color rgb="FF0070C0"/>
              </font>
            </x14:dxf>
          </x14:cfRule>
          <xm:sqref>N74:P74</xm:sqref>
        </x14:conditionalFormatting>
        <x14:conditionalFormatting xmlns:xm="http://schemas.microsoft.com/office/excel/2006/main">
          <x14:cfRule type="expression" priority="5" id="{3EC41547-2647-4188-A59D-4816704E8715}">
            <xm:f>KAT!$S$7=4</xm:f>
            <x14:dxf>
              <font>
                <color rgb="FF0070C0"/>
              </font>
            </x14:dxf>
          </x14:cfRule>
          <xm:sqref>N76:P76</xm:sqref>
        </x14:conditionalFormatting>
        <x14:conditionalFormatting xmlns:xm="http://schemas.microsoft.com/office/excel/2006/main">
          <x14:cfRule type="expression" priority="4" id="{D282F017-8B2B-4FFF-91EF-918EC503E68C}">
            <xm:f>KAT!$S$8=4</xm:f>
            <x14:dxf>
              <font>
                <color rgb="FF0070C0"/>
              </font>
            </x14:dxf>
          </x14:cfRule>
          <xm:sqref>N78:P78</xm:sqref>
        </x14:conditionalFormatting>
        <x14:conditionalFormatting xmlns:xm="http://schemas.microsoft.com/office/excel/2006/main">
          <x14:cfRule type="expression" priority="3" id="{97D78F93-D3BE-4252-90F4-07B1F085512F}">
            <xm:f>KAT!$S$9=4</xm:f>
            <x14:dxf>
              <font>
                <color rgb="FF0070C0"/>
              </font>
            </x14:dxf>
          </x14:cfRule>
          <xm:sqref>N80:P80</xm:sqref>
        </x14:conditionalFormatting>
        <x14:conditionalFormatting xmlns:xm="http://schemas.microsoft.com/office/excel/2006/main">
          <x14:cfRule type="expression" priority="2" id="{F8891DDC-AA84-4511-AB51-FB3CF80BC98A}">
            <xm:f>KAT!$S$10=4</xm:f>
            <x14:dxf>
              <font>
                <color rgb="FF0070C0"/>
              </font>
            </x14:dxf>
          </x14:cfRule>
          <xm:sqref>N83:P83</xm:sqref>
        </x14:conditionalFormatting>
        <x14:conditionalFormatting xmlns:xm="http://schemas.microsoft.com/office/excel/2006/main">
          <x14:cfRule type="expression" priority="1" id="{9EC81075-FA64-4866-959E-F26E1E6F87BE}">
            <xm:f>KAT!$S$11=4</xm:f>
            <x14:dxf>
              <font>
                <color rgb="FF0070C0"/>
              </font>
            </x14:dxf>
          </x14:cfRule>
          <xm:sqref>N85:P85</xm:sqref>
        </x14:conditionalFormatting>
        <x14:conditionalFormatting xmlns:xm="http://schemas.microsoft.com/office/excel/2006/main">
          <x14:cfRule type="expression" priority="822" id="{429CA4E8-78DD-451C-86CF-EDECAF8BC077}">
            <xm:f>KAT!$S$12=4</xm:f>
            <x14:dxf>
              <font>
                <color rgb="FF0070C0"/>
              </font>
            </x14:dxf>
          </x14:cfRule>
          <xm:sqref>N87:P87</xm:sqref>
        </x14:conditionalFormatting>
        <x14:conditionalFormatting xmlns:xm="http://schemas.microsoft.com/office/excel/2006/main">
          <x14:cfRule type="expression" priority="823" id="{E7FEFBB1-4903-4658-AEA5-76E52DD8F35D}">
            <xm:f>KAT!$S$13=4</xm:f>
            <x14:dxf>
              <font>
                <color rgb="FF0070C0"/>
              </font>
            </x14:dxf>
          </x14:cfRule>
          <xm:sqref>N89:P89</xm:sqref>
        </x14:conditionalFormatting>
        <x14:conditionalFormatting xmlns:xm="http://schemas.microsoft.com/office/excel/2006/main">
          <x14:cfRule type="expression" priority="824" id="{018C31EB-8ED0-4005-9C27-1260E7A224E9}">
            <xm:f>KAT!$S$14=4</xm:f>
            <x14:dxf>
              <font>
                <color rgb="FF0070C0"/>
              </font>
            </x14:dxf>
          </x14:cfRule>
          <xm:sqref>N91:P91</xm:sqref>
        </x14:conditionalFormatting>
        <x14:conditionalFormatting xmlns:xm="http://schemas.microsoft.com/office/excel/2006/main">
          <x14:cfRule type="expression" priority="825" id="{A68C5302-2E21-493C-A6CC-BD81553703C1}">
            <xm:f>KAT!$S$15=4</xm:f>
            <x14:dxf>
              <font>
                <color rgb="FF0070C0"/>
              </font>
            </x14:dxf>
          </x14:cfRule>
          <xm:sqref>N93:P93</xm:sqref>
        </x14:conditionalFormatting>
        <x14:conditionalFormatting xmlns:xm="http://schemas.microsoft.com/office/excel/2006/main">
          <x14:cfRule type="expression" priority="168" id="{C4F5661E-D546-4CFF-9BF8-F37E0B281F32}">
            <xm:f>'Allgemeine Angaben'!$L$48&gt;0</xm:f>
            <x14:dxf>
              <font>
                <b val="0"/>
                <i val="0"/>
                <color theme="1"/>
              </font>
              <fill>
                <patternFill>
                  <bgColor theme="0" tint="-4.9989318521683403E-2"/>
                </patternFill>
              </fill>
              <border>
                <left/>
                <right/>
                <top/>
                <bottom style="thin">
                  <color auto="1"/>
                </bottom>
                <vertical/>
                <horizontal/>
              </border>
            </x14:dxf>
          </x14:cfRule>
          <xm:sqref>O48</xm:sqref>
        </x14:conditionalFormatting>
        <x14:conditionalFormatting xmlns:xm="http://schemas.microsoft.com/office/excel/2006/main">
          <x14:cfRule type="expression" priority="454" id="{F4F8F9D8-D8B1-4692-BA18-63D81460D5EE}">
            <xm:f>Wennoder('Allgemeine Angaben'!$L$48&lt;0,'Allgemeine Angaben'!$L$48=0)</xm:f>
            <x14:dxf>
              <font>
                <color theme="0"/>
              </font>
              <fill>
                <patternFill patternType="none">
                  <bgColor auto="1"/>
                </patternFill>
              </fill>
              <border>
                <vertical/>
                <horizontal/>
              </border>
            </x14:dxf>
          </x14:cfRule>
          <xm:sqref>O51:O53 M55</xm:sqref>
        </x14:conditionalFormatting>
        <x14:conditionalFormatting xmlns:xm="http://schemas.microsoft.com/office/excel/2006/main">
          <x14:cfRule type="expression" priority="131" id="{8BB209F6-4771-4E4A-AE5A-749C0085FA4E}">
            <xm:f>'Allgemeine Angaben'!$L$48&gt;0</xm:f>
            <x14:dxf>
              <font>
                <b val="0"/>
                <i val="0"/>
                <color theme="1"/>
              </font>
              <fill>
                <patternFill>
                  <bgColor theme="0" tint="-4.9989318521683403E-2"/>
                </patternFill>
              </fill>
              <border>
                <left/>
                <right/>
                <top/>
                <bottom style="thin">
                  <color auto="1"/>
                </bottom>
                <vertical/>
                <horizontal/>
              </border>
            </x14:dxf>
          </x14:cfRule>
          <xm:sqref>O58</xm:sqref>
        </x14:conditionalFormatting>
        <x14:conditionalFormatting xmlns:xm="http://schemas.microsoft.com/office/excel/2006/main">
          <x14:cfRule type="expression" priority="826" id="{3238C468-9ED0-42EC-A9FF-9BDC91A5B869}">
            <xm:f>'Allgemeine Angaben'!$L$48&gt;0</xm:f>
            <x14:dxf>
              <font>
                <b val="0"/>
                <i val="0"/>
                <color theme="1"/>
              </font>
              <fill>
                <patternFill>
                  <bgColor theme="0" tint="-4.9989318521683403E-2"/>
                </patternFill>
              </fill>
              <border>
                <left/>
                <right/>
                <top/>
                <bottom style="thin">
                  <color auto="1"/>
                </bottom>
                <vertical/>
                <horizontal/>
              </border>
            </x14:dxf>
          </x14:cfRule>
          <x14:cfRule type="expression" priority="827" id="{F91EE6C9-67E9-48E3-A954-50F6F84E491F}">
            <xm:f>KAT!$Q$16=1</xm:f>
            <x14:dxf>
              <font>
                <color theme="0" tint="-4.9989318521683403E-2"/>
              </font>
            </x14:dxf>
          </x14:cfRule>
          <x14:cfRule type="expression" priority="828" id="{65A2CE8A-0209-4320-96F7-65E007A9A0CB}">
            <xm:f>'Allgemeine Angaben'!$H$52&lt;DATEVALUE("31.12.2024")</xm:f>
            <x14:dxf>
              <font>
                <color theme="0"/>
              </font>
              <fill>
                <patternFill>
                  <bgColor theme="0"/>
                </patternFill>
              </fill>
              <border>
                <left/>
                <right/>
                <top/>
                <bottom/>
                <vertical/>
                <horizontal/>
              </border>
            </x14:dxf>
          </x14:cfRule>
          <xm:sqref>O62 O64</xm:sqref>
        </x14:conditionalFormatting>
        <x14:conditionalFormatting xmlns:xm="http://schemas.microsoft.com/office/excel/2006/main">
          <x14:cfRule type="expression" priority="169" id="{90CD3874-903D-4776-8507-B7E8D282C018}">
            <xm:f>'Allgemeine Angaben'!$L$48&gt;0</xm:f>
            <x14:dxf>
              <font>
                <b val="0"/>
                <i val="0"/>
                <color theme="1"/>
              </font>
              <fill>
                <patternFill>
                  <bgColor theme="0"/>
                </patternFill>
              </fill>
              <border>
                <left/>
                <right style="thin">
                  <color auto="1"/>
                </right>
                <top/>
                <bottom/>
                <vertical/>
                <horizontal/>
              </border>
            </x14:dxf>
          </x14:cfRule>
          <xm:sqref>P48</xm:sqref>
        </x14:conditionalFormatting>
        <x14:conditionalFormatting xmlns:xm="http://schemas.microsoft.com/office/excel/2006/main">
          <x14:cfRule type="expression" priority="133" id="{15B8C89F-6D38-4595-B2CB-DC75FD68CD5A}">
            <xm:f>'Allgemeine Angaben'!$L$48&gt;0</xm:f>
            <x14:dxf>
              <font>
                <b val="0"/>
                <i val="0"/>
                <color theme="1"/>
              </font>
              <fill>
                <patternFill>
                  <bgColor theme="0"/>
                </patternFill>
              </fill>
              <border>
                <left/>
                <right style="thin">
                  <color auto="1"/>
                </right>
                <top/>
                <bottom/>
                <vertical/>
                <horizontal/>
              </border>
            </x14:dxf>
          </x14:cfRule>
          <xm:sqref>P58</xm:sqref>
        </x14:conditionalFormatting>
        <x14:conditionalFormatting xmlns:xm="http://schemas.microsoft.com/office/excel/2006/main">
          <x14:cfRule type="expression" priority="161" id="{7032E5AA-E115-40F0-B70B-4DA2B38AE816}">
            <xm:f>'Allgemeine Angaben'!$L$48&gt;0</xm:f>
            <x14:dxf>
              <font>
                <b val="0"/>
                <i val="0"/>
                <color theme="1"/>
              </font>
              <fill>
                <patternFill>
                  <bgColor theme="0"/>
                </patternFill>
              </fill>
              <border>
                <left/>
                <top/>
                <bottom/>
                <vertical/>
                <horizontal/>
              </border>
            </x14:dxf>
          </x14:cfRule>
          <xm:sqref>P62</xm:sqref>
        </x14:conditionalFormatting>
        <x14:conditionalFormatting xmlns:xm="http://schemas.microsoft.com/office/excel/2006/main">
          <x14:cfRule type="expression" priority="159" id="{818FAC6F-DD89-401B-89A9-9824B8A44EDA}">
            <xm:f>'Allgemeine Angaben'!$L$48&gt;0</xm:f>
            <x14:dxf>
              <font>
                <b val="0"/>
                <i val="0"/>
                <color theme="1"/>
              </font>
              <fill>
                <patternFill>
                  <bgColor theme="0"/>
                </patternFill>
              </fill>
              <border>
                <left/>
                <top/>
                <bottom/>
                <vertical/>
                <horizontal/>
              </border>
            </x14:dxf>
          </x14:cfRule>
          <xm:sqref>P64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74"/>
  <sheetViews>
    <sheetView showGridLines="0" zoomScaleNormal="100" workbookViewId="0">
      <pane ySplit="5" topLeftCell="A6" activePane="bottomLeft" state="frozen"/>
      <selection pane="bottomLeft" activeCell="E48" sqref="A1:E48"/>
    </sheetView>
  </sheetViews>
  <sheetFormatPr baseColWidth="10" defaultRowHeight="14.25" x14ac:dyDescent="0.2"/>
  <cols>
    <col min="1" max="1" width="10.625" customWidth="1"/>
    <col min="2" max="2" width="28.125" customWidth="1"/>
    <col min="3" max="3" width="30" customWidth="1"/>
    <col min="4" max="4" width="81.625" customWidth="1"/>
    <col min="5" max="5" width="29.75" customWidth="1"/>
  </cols>
  <sheetData>
    <row r="1" spans="1:6" x14ac:dyDescent="0.2">
      <c r="A1" s="431"/>
      <c r="B1" s="431"/>
      <c r="C1" s="431"/>
      <c r="D1" s="431"/>
      <c r="E1" s="431"/>
    </row>
    <row r="2" spans="1:6" ht="23.25" customHeight="1" x14ac:dyDescent="0.2">
      <c r="A2" s="2588" t="s">
        <v>1081</v>
      </c>
      <c r="B2" s="2589"/>
      <c r="C2" s="2589"/>
      <c r="D2" s="2589"/>
      <c r="E2" s="2589"/>
    </row>
    <row r="3" spans="1:6" x14ac:dyDescent="0.2">
      <c r="A3" s="431"/>
      <c r="B3" s="431"/>
      <c r="C3" s="431"/>
      <c r="D3" s="431"/>
      <c r="E3" s="431"/>
    </row>
    <row r="4" spans="1:6" ht="31.15" customHeight="1" x14ac:dyDescent="0.2">
      <c r="A4" s="2587" t="s">
        <v>1082</v>
      </c>
      <c r="B4" s="2587"/>
      <c r="C4" s="2587"/>
      <c r="D4" s="2587"/>
      <c r="E4" s="2587"/>
    </row>
    <row r="5" spans="1:6" ht="25.5" x14ac:dyDescent="0.2">
      <c r="A5" s="432" t="s">
        <v>288</v>
      </c>
      <c r="B5" s="432" t="s">
        <v>289</v>
      </c>
      <c r="C5" s="432" t="s">
        <v>290</v>
      </c>
      <c r="D5" s="432" t="s">
        <v>291</v>
      </c>
      <c r="E5" s="432" t="s">
        <v>292</v>
      </c>
      <c r="F5" s="2218"/>
    </row>
    <row r="6" spans="1:6" x14ac:dyDescent="0.2">
      <c r="A6" s="2198">
        <v>45932</v>
      </c>
      <c r="B6" s="2199" t="s">
        <v>1184</v>
      </c>
      <c r="C6" s="2199"/>
      <c r="D6" s="2199" t="s">
        <v>1185</v>
      </c>
      <c r="E6" s="2194"/>
      <c r="F6" s="28"/>
    </row>
    <row r="7" spans="1:6" x14ac:dyDescent="0.2">
      <c r="A7" s="2200">
        <v>45973</v>
      </c>
      <c r="B7" s="2201" t="s">
        <v>349</v>
      </c>
      <c r="C7" s="2201" t="s">
        <v>1186</v>
      </c>
      <c r="D7" s="2201" t="s">
        <v>1187</v>
      </c>
      <c r="E7" s="2208"/>
      <c r="F7" s="2219"/>
    </row>
    <row r="8" spans="1:6" x14ac:dyDescent="0.2">
      <c r="A8" s="2195"/>
      <c r="B8" s="2196"/>
      <c r="C8" s="2196"/>
      <c r="D8" s="2197"/>
      <c r="E8" s="2196"/>
      <c r="F8" s="28"/>
    </row>
    <row r="9" spans="1:6" s="500" customFormat="1" ht="12.75" x14ac:dyDescent="0.2">
      <c r="A9" s="2200">
        <v>46099</v>
      </c>
      <c r="B9" s="2201" t="s">
        <v>349</v>
      </c>
      <c r="C9" s="2201" t="s">
        <v>1154</v>
      </c>
      <c r="D9" s="2201" t="s">
        <v>1084</v>
      </c>
      <c r="E9" s="2208"/>
      <c r="F9" s="2220"/>
    </row>
    <row r="10" spans="1:6" s="500" customFormat="1" ht="12.75" x14ac:dyDescent="0.2">
      <c r="A10" s="2209"/>
      <c r="B10" s="2209"/>
      <c r="C10" s="2210" t="s">
        <v>1085</v>
      </c>
      <c r="D10" s="2211" t="s">
        <v>1086</v>
      </c>
      <c r="E10" s="2212"/>
      <c r="F10" s="2220"/>
    </row>
    <row r="11" spans="1:6" s="500" customFormat="1" ht="12.75" x14ac:dyDescent="0.2">
      <c r="A11" s="2209"/>
      <c r="B11" s="2209"/>
      <c r="C11" s="2210" t="s">
        <v>1093</v>
      </c>
      <c r="D11" s="2211" t="s">
        <v>1094</v>
      </c>
      <c r="E11" s="2212"/>
      <c r="F11" s="2221"/>
    </row>
    <row r="12" spans="1:6" s="500" customFormat="1" ht="12.75" x14ac:dyDescent="0.2">
      <c r="A12" s="2209"/>
      <c r="B12" s="2209"/>
      <c r="C12" s="2210" t="s">
        <v>1095</v>
      </c>
      <c r="D12" s="2213" t="s">
        <v>1116</v>
      </c>
      <c r="E12" s="2212"/>
      <c r="F12" s="2220"/>
    </row>
    <row r="13" spans="1:6" s="500" customFormat="1" ht="12.75" x14ac:dyDescent="0.2">
      <c r="A13" s="2209"/>
      <c r="B13" s="2209"/>
      <c r="C13" s="2210" t="s">
        <v>1117</v>
      </c>
      <c r="D13" s="2213" t="s">
        <v>1155</v>
      </c>
      <c r="E13" s="2212"/>
      <c r="F13" s="2220"/>
    </row>
    <row r="14" spans="1:6" s="500" customFormat="1" ht="38.25" x14ac:dyDescent="0.2">
      <c r="A14" s="2209"/>
      <c r="B14" s="2209"/>
      <c r="C14" s="2214" t="s">
        <v>1118</v>
      </c>
      <c r="D14" s="2213" t="s">
        <v>1173</v>
      </c>
      <c r="E14" s="2212"/>
      <c r="F14" s="2220"/>
    </row>
    <row r="15" spans="1:6" s="647" customFormat="1" ht="12.75" x14ac:dyDescent="0.2">
      <c r="A15" s="2209"/>
      <c r="B15" s="2210" t="s">
        <v>364</v>
      </c>
      <c r="C15" s="2210" t="s">
        <v>1119</v>
      </c>
      <c r="D15" s="2213" t="s">
        <v>1086</v>
      </c>
      <c r="E15" s="2215"/>
      <c r="F15" s="2222"/>
    </row>
    <row r="16" spans="1:6" s="647" customFormat="1" ht="12.75" x14ac:dyDescent="0.2">
      <c r="A16" s="2210"/>
      <c r="B16" s="2210"/>
      <c r="C16" s="2210" t="s">
        <v>1120</v>
      </c>
      <c r="D16" s="2213" t="s">
        <v>1087</v>
      </c>
      <c r="E16" s="2212"/>
      <c r="F16" s="2222"/>
    </row>
    <row r="17" spans="1:6" x14ac:dyDescent="0.2">
      <c r="A17" s="2210"/>
      <c r="B17" s="2210"/>
      <c r="C17" s="2210" t="s">
        <v>1088</v>
      </c>
      <c r="D17" s="2210" t="s">
        <v>1121</v>
      </c>
      <c r="E17" s="2212"/>
      <c r="F17" s="28"/>
    </row>
    <row r="18" spans="1:6" x14ac:dyDescent="0.2">
      <c r="A18" s="2210"/>
      <c r="B18" s="2210"/>
      <c r="C18" s="2210" t="s">
        <v>1122</v>
      </c>
      <c r="D18" s="2210" t="s">
        <v>1123</v>
      </c>
      <c r="E18" s="2212"/>
      <c r="F18" s="28"/>
    </row>
    <row r="19" spans="1:6" x14ac:dyDescent="0.2">
      <c r="A19" s="2210"/>
      <c r="B19" s="2210"/>
      <c r="C19" s="2210" t="s">
        <v>1124</v>
      </c>
      <c r="D19" s="2211" t="s">
        <v>1125</v>
      </c>
      <c r="E19" s="2212"/>
      <c r="F19" s="28"/>
    </row>
    <row r="20" spans="1:6" x14ac:dyDescent="0.2">
      <c r="A20" s="2210"/>
      <c r="B20" s="2210"/>
      <c r="C20" s="2210" t="s">
        <v>1126</v>
      </c>
      <c r="D20" s="2211" t="s">
        <v>1127</v>
      </c>
      <c r="E20" s="2212"/>
      <c r="F20" s="28"/>
    </row>
    <row r="21" spans="1:6" x14ac:dyDescent="0.2">
      <c r="A21" s="2210"/>
      <c r="B21" s="2210" t="s">
        <v>128</v>
      </c>
      <c r="C21" s="2210" t="s">
        <v>1128</v>
      </c>
      <c r="D21" s="2211" t="s">
        <v>1086</v>
      </c>
      <c r="E21" s="2212"/>
      <c r="F21" s="28"/>
    </row>
    <row r="22" spans="1:6" x14ac:dyDescent="0.2">
      <c r="A22" s="2210"/>
      <c r="B22" s="2210"/>
      <c r="C22" s="2210" t="s">
        <v>1129</v>
      </c>
      <c r="D22" s="2211" t="s">
        <v>1089</v>
      </c>
      <c r="E22" s="2212"/>
      <c r="F22" s="2221"/>
    </row>
    <row r="23" spans="1:6" x14ac:dyDescent="0.2">
      <c r="A23" s="2210"/>
      <c r="B23" s="2210"/>
      <c r="C23" s="2210" t="s">
        <v>1130</v>
      </c>
      <c r="D23" s="2211" t="s">
        <v>1131</v>
      </c>
      <c r="E23" s="2212"/>
      <c r="F23" s="28"/>
    </row>
    <row r="24" spans="1:6" x14ac:dyDescent="0.2">
      <c r="A24" s="2210"/>
      <c r="B24" s="2210"/>
      <c r="C24" s="2210" t="s">
        <v>1132</v>
      </c>
      <c r="D24" s="2210" t="s">
        <v>1133</v>
      </c>
      <c r="E24" s="2212"/>
    </row>
    <row r="25" spans="1:6" x14ac:dyDescent="0.2">
      <c r="A25" s="2210"/>
      <c r="B25" s="2210" t="s">
        <v>103</v>
      </c>
      <c r="C25" s="2210" t="s">
        <v>1134</v>
      </c>
      <c r="D25" s="2211" t="s">
        <v>1086</v>
      </c>
      <c r="E25" s="2212"/>
    </row>
    <row r="26" spans="1:6" x14ac:dyDescent="0.2">
      <c r="A26" s="2210"/>
      <c r="B26" s="2210"/>
      <c r="C26" s="2210" t="s">
        <v>1092</v>
      </c>
      <c r="D26" s="2211" t="s">
        <v>1135</v>
      </c>
      <c r="E26" s="2212"/>
    </row>
    <row r="27" spans="1:6" x14ac:dyDescent="0.2">
      <c r="A27" s="2210"/>
      <c r="B27" s="2210"/>
      <c r="C27" s="2210" t="s">
        <v>1136</v>
      </c>
      <c r="D27" s="2211" t="s">
        <v>1137</v>
      </c>
      <c r="E27" s="2212"/>
    </row>
    <row r="28" spans="1:6" x14ac:dyDescent="0.2">
      <c r="A28" s="2210"/>
      <c r="B28" s="2210"/>
      <c r="C28" s="2210" t="s">
        <v>1138</v>
      </c>
      <c r="D28" s="2210" t="s">
        <v>1089</v>
      </c>
      <c r="E28" s="2212"/>
    </row>
    <row r="29" spans="1:6" x14ac:dyDescent="0.2">
      <c r="A29" s="2210"/>
      <c r="B29" s="2210"/>
      <c r="C29" s="2210" t="s">
        <v>1139</v>
      </c>
      <c r="D29" s="2210" t="s">
        <v>1140</v>
      </c>
      <c r="E29" s="2212"/>
    </row>
    <row r="30" spans="1:6" x14ac:dyDescent="0.2">
      <c r="A30" s="2210"/>
      <c r="B30" s="2210"/>
      <c r="C30" s="2210" t="s">
        <v>1141</v>
      </c>
      <c r="D30" s="2210" t="s">
        <v>1142</v>
      </c>
      <c r="E30" s="2212"/>
    </row>
    <row r="31" spans="1:6" x14ac:dyDescent="0.2">
      <c r="A31" s="2210"/>
      <c r="B31" s="2210"/>
      <c r="C31" s="2216" t="s">
        <v>1168</v>
      </c>
      <c r="D31" s="2210" t="s">
        <v>1142</v>
      </c>
      <c r="E31" s="2212"/>
    </row>
    <row r="32" spans="1:6" x14ac:dyDescent="0.2">
      <c r="A32" s="2210"/>
      <c r="B32" s="2210" t="s">
        <v>1096</v>
      </c>
      <c r="C32" s="2210" t="s">
        <v>1143</v>
      </c>
      <c r="D32" s="2211" t="s">
        <v>1144</v>
      </c>
      <c r="E32" s="2212"/>
    </row>
    <row r="33" spans="1:5" x14ac:dyDescent="0.2">
      <c r="A33" s="2210"/>
      <c r="B33" s="2210"/>
      <c r="C33" s="2210" t="s">
        <v>1145</v>
      </c>
      <c r="D33" s="2210" t="s">
        <v>1146</v>
      </c>
      <c r="E33" s="2212"/>
    </row>
    <row r="34" spans="1:5" x14ac:dyDescent="0.2">
      <c r="A34" s="2210"/>
      <c r="B34" s="2210"/>
      <c r="C34" s="2210" t="s">
        <v>1147</v>
      </c>
      <c r="D34" s="2210" t="s">
        <v>1148</v>
      </c>
      <c r="E34" s="2212"/>
    </row>
    <row r="35" spans="1:5" x14ac:dyDescent="0.2">
      <c r="A35" s="2210"/>
      <c r="B35" s="2210"/>
      <c r="C35" s="2210" t="s">
        <v>1149</v>
      </c>
      <c r="D35" s="2210" t="s">
        <v>1150</v>
      </c>
      <c r="E35" s="2212"/>
    </row>
    <row r="36" spans="1:5" x14ac:dyDescent="0.2">
      <c r="A36" s="2210"/>
      <c r="B36" s="2210" t="s">
        <v>1090</v>
      </c>
      <c r="C36" s="2210" t="s">
        <v>1091</v>
      </c>
      <c r="D36" s="2210" t="s">
        <v>1084</v>
      </c>
      <c r="E36" s="2212"/>
    </row>
    <row r="37" spans="1:5" x14ac:dyDescent="0.2">
      <c r="A37" s="2210"/>
      <c r="B37" s="2210"/>
      <c r="C37" s="2217" t="s">
        <v>1156</v>
      </c>
      <c r="D37" s="2217" t="s">
        <v>1157</v>
      </c>
      <c r="E37" s="2212"/>
    </row>
    <row r="38" spans="1:5" x14ac:dyDescent="0.2">
      <c r="A38" s="2210"/>
      <c r="B38" s="2210"/>
      <c r="C38" s="2210" t="s">
        <v>1151</v>
      </c>
      <c r="D38" s="2210" t="s">
        <v>1137</v>
      </c>
      <c r="E38" s="2212"/>
    </row>
    <row r="39" spans="1:5" x14ac:dyDescent="0.2">
      <c r="A39" s="2212"/>
      <c r="B39" s="2212"/>
      <c r="C39" s="2210" t="s">
        <v>1152</v>
      </c>
      <c r="D39" s="2210" t="s">
        <v>1150</v>
      </c>
      <c r="E39" s="2212"/>
    </row>
    <row r="40" spans="1:5" x14ac:dyDescent="0.2">
      <c r="A40" s="2203"/>
      <c r="B40" s="2204" t="s">
        <v>1162</v>
      </c>
      <c r="C40" s="2204"/>
      <c r="D40" s="2205" t="s">
        <v>1167</v>
      </c>
      <c r="E40" s="2204"/>
    </row>
    <row r="41" spans="1:5" x14ac:dyDescent="0.2">
      <c r="A41" s="2206">
        <v>46106</v>
      </c>
      <c r="B41" s="2207" t="s">
        <v>1</v>
      </c>
      <c r="C41" s="2207" t="s">
        <v>1171</v>
      </c>
      <c r="D41" s="2207" t="s">
        <v>1172</v>
      </c>
      <c r="E41" s="2207"/>
    </row>
    <row r="42" spans="1:5" x14ac:dyDescent="0.2">
      <c r="A42" s="2203"/>
      <c r="B42" s="2204"/>
      <c r="C42" s="2204" t="s">
        <v>1174</v>
      </c>
      <c r="D42" s="2204" t="s">
        <v>1175</v>
      </c>
      <c r="E42" s="2204"/>
    </row>
    <row r="43" spans="1:5" x14ac:dyDescent="0.2">
      <c r="A43" s="2280">
        <v>46129</v>
      </c>
      <c r="B43" s="2281" t="s">
        <v>1096</v>
      </c>
      <c r="C43" s="2281" t="s">
        <v>1293</v>
      </c>
      <c r="D43" s="2282" t="s">
        <v>1295</v>
      </c>
      <c r="E43" s="2283"/>
    </row>
    <row r="44" spans="1:5" ht="25.5" x14ac:dyDescent="0.2">
      <c r="A44" s="2284"/>
      <c r="B44" s="2285" t="s">
        <v>1162</v>
      </c>
      <c r="C44" s="2284"/>
      <c r="D44" s="2286" t="s">
        <v>1294</v>
      </c>
      <c r="E44" s="2284"/>
    </row>
    <row r="45" spans="1:5" x14ac:dyDescent="0.2">
      <c r="A45" s="2299">
        <v>46139</v>
      </c>
      <c r="B45" s="2300" t="s">
        <v>1299</v>
      </c>
      <c r="C45" s="2300" t="s">
        <v>1300</v>
      </c>
      <c r="D45" s="2302" t="s">
        <v>1301</v>
      </c>
      <c r="E45" s="2301"/>
    </row>
    <row r="46" spans="1:5" x14ac:dyDescent="0.2">
      <c r="A46" s="2303">
        <v>46160</v>
      </c>
      <c r="B46" s="2304" t="s">
        <v>1090</v>
      </c>
      <c r="C46" s="2304" t="s">
        <v>1303</v>
      </c>
      <c r="D46" s="2305" t="s">
        <v>1304</v>
      </c>
      <c r="E46" s="2304"/>
    </row>
    <row r="47" spans="1:5" x14ac:dyDescent="0.2">
      <c r="A47" s="2311"/>
      <c r="B47" s="2311"/>
      <c r="C47" s="2311" t="s">
        <v>1305</v>
      </c>
      <c r="D47" s="2311" t="s">
        <v>1306</v>
      </c>
      <c r="E47" s="2311"/>
    </row>
    <row r="48" spans="1:5" x14ac:dyDescent="0.2">
      <c r="A48" s="2312"/>
      <c r="B48" s="2313" t="s">
        <v>349</v>
      </c>
      <c r="C48" s="2313" t="s">
        <v>1307</v>
      </c>
      <c r="D48" s="2313" t="s">
        <v>1308</v>
      </c>
      <c r="E48" s="2313"/>
    </row>
    <row r="49" spans="1:5" x14ac:dyDescent="0.2">
      <c r="A49" s="2136"/>
      <c r="B49" s="2136"/>
      <c r="C49" s="2139"/>
      <c r="D49" s="2138"/>
      <c r="E49" s="2136"/>
    </row>
    <row r="50" spans="1:5" x14ac:dyDescent="0.2">
      <c r="A50" s="2136"/>
      <c r="B50" s="2136"/>
      <c r="C50" s="2139"/>
      <c r="D50" s="2138"/>
      <c r="E50" s="2136"/>
    </row>
    <row r="51" spans="1:5" x14ac:dyDescent="0.2">
      <c r="A51" s="2136"/>
      <c r="B51" s="2136"/>
      <c r="C51" s="2139"/>
      <c r="D51" s="2138"/>
      <c r="E51" s="2136"/>
    </row>
    <row r="52" spans="1:5" x14ac:dyDescent="0.2">
      <c r="A52" s="2136"/>
      <c r="B52" s="2136"/>
      <c r="C52" s="2139"/>
      <c r="D52" s="2138"/>
      <c r="E52" s="2136"/>
    </row>
    <row r="53" spans="1:5" x14ac:dyDescent="0.2">
      <c r="A53" s="2136"/>
      <c r="B53" s="2136"/>
      <c r="C53" s="2136"/>
      <c r="D53" s="2138"/>
      <c r="E53" s="2136"/>
    </row>
    <row r="54" spans="1:5" x14ac:dyDescent="0.2">
      <c r="A54" s="2136"/>
      <c r="B54" s="2136"/>
      <c r="C54" s="2139"/>
      <c r="D54" s="2138"/>
      <c r="E54" s="2136"/>
    </row>
    <row r="55" spans="1:5" x14ac:dyDescent="0.2">
      <c r="A55" s="2136"/>
      <c r="B55" s="2136"/>
      <c r="C55" s="2139"/>
      <c r="D55" s="2138"/>
      <c r="E55" s="2136"/>
    </row>
    <row r="56" spans="1:5" x14ac:dyDescent="0.2">
      <c r="A56" s="2136"/>
      <c r="B56" s="2136"/>
      <c r="C56" s="2136"/>
      <c r="D56" s="2138"/>
      <c r="E56" s="2136"/>
    </row>
    <row r="57" spans="1:5" x14ac:dyDescent="0.2">
      <c r="A57" s="2136"/>
      <c r="B57" s="2136"/>
      <c r="C57" s="2139"/>
      <c r="D57" s="2138"/>
      <c r="E57" s="2136"/>
    </row>
    <row r="58" spans="1:5" x14ac:dyDescent="0.2">
      <c r="A58" s="2136"/>
      <c r="B58" s="2136"/>
      <c r="C58" s="2139"/>
      <c r="D58" s="2138"/>
      <c r="E58" s="2136"/>
    </row>
    <row r="59" spans="1:5" x14ac:dyDescent="0.2">
      <c r="A59" s="2136"/>
      <c r="B59" s="2136"/>
      <c r="C59" s="2139"/>
      <c r="D59" s="2138"/>
      <c r="E59" s="2136"/>
    </row>
    <row r="60" spans="1:5" x14ac:dyDescent="0.2">
      <c r="A60" s="2136"/>
      <c r="B60" s="2136"/>
      <c r="C60" s="2139"/>
      <c r="D60" s="2138"/>
      <c r="E60" s="2136"/>
    </row>
    <row r="61" spans="1:5" x14ac:dyDescent="0.2">
      <c r="A61" s="2136"/>
      <c r="B61" s="2136"/>
      <c r="C61" s="2139"/>
      <c r="D61" s="2138"/>
      <c r="E61" s="2136"/>
    </row>
    <row r="62" spans="1:5" x14ac:dyDescent="0.2">
      <c r="A62" s="2136"/>
      <c r="B62" s="2136"/>
      <c r="C62" s="2139"/>
      <c r="D62" s="2138"/>
      <c r="E62" s="2136"/>
    </row>
    <row r="63" spans="1:5" x14ac:dyDescent="0.2">
      <c r="A63" s="2136"/>
      <c r="B63" s="2136"/>
      <c r="C63" s="2136"/>
      <c r="D63" s="2138"/>
      <c r="E63" s="2136"/>
    </row>
    <row r="64" spans="1:5" x14ac:dyDescent="0.2">
      <c r="A64" s="2136"/>
      <c r="B64" s="2136"/>
      <c r="C64" s="2139"/>
      <c r="D64" s="2138"/>
      <c r="E64" s="2136"/>
    </row>
    <row r="65" spans="1:5" x14ac:dyDescent="0.2">
      <c r="A65" s="2136"/>
      <c r="B65" s="2136"/>
      <c r="C65" s="2139"/>
      <c r="D65" s="2138"/>
      <c r="E65" s="2136"/>
    </row>
    <row r="66" spans="1:5" x14ac:dyDescent="0.2">
      <c r="A66" s="2136"/>
      <c r="B66" s="2139"/>
      <c r="C66" s="2139"/>
      <c r="D66" s="2138"/>
      <c r="E66" s="2136"/>
    </row>
    <row r="67" spans="1:5" x14ac:dyDescent="0.2">
      <c r="A67" s="2136"/>
      <c r="B67" s="2136"/>
      <c r="C67" s="2139"/>
      <c r="D67" s="2136"/>
      <c r="E67" s="2136"/>
    </row>
    <row r="68" spans="1:5" x14ac:dyDescent="0.2">
      <c r="A68" s="2136"/>
      <c r="B68" s="2136"/>
      <c r="C68" s="2136"/>
      <c r="D68" s="2136"/>
      <c r="E68" s="2136"/>
    </row>
    <row r="69" spans="1:5" x14ac:dyDescent="0.2">
      <c r="A69" s="2136"/>
      <c r="B69" s="2136"/>
      <c r="C69" s="2139"/>
      <c r="D69" s="2138"/>
      <c r="E69" s="2138"/>
    </row>
    <row r="70" spans="1:5" x14ac:dyDescent="0.2">
      <c r="A70" s="2136"/>
      <c r="B70" s="2136"/>
      <c r="C70" s="2139"/>
      <c r="D70" s="2138"/>
      <c r="E70" s="2138"/>
    </row>
    <row r="71" spans="1:5" x14ac:dyDescent="0.2">
      <c r="A71" s="2136"/>
      <c r="B71" s="2136"/>
      <c r="C71" s="2139"/>
      <c r="D71" s="2138"/>
      <c r="E71" s="2138"/>
    </row>
    <row r="72" spans="1:5" x14ac:dyDescent="0.2">
      <c r="A72" s="2136"/>
      <c r="B72" s="2136"/>
      <c r="C72" s="2139"/>
      <c r="D72" s="2138"/>
      <c r="E72" s="2138"/>
    </row>
    <row r="73" spans="1:5" x14ac:dyDescent="0.2">
      <c r="A73" s="2136"/>
      <c r="B73" s="2136"/>
      <c r="C73" s="2139"/>
      <c r="D73" s="2138"/>
      <c r="E73" s="2138"/>
    </row>
    <row r="74" spans="1:5" x14ac:dyDescent="0.2">
      <c r="A74" s="2136"/>
      <c r="B74" s="2136"/>
      <c r="C74" s="2139"/>
      <c r="D74" s="2138"/>
      <c r="E74" s="2136"/>
    </row>
    <row r="75" spans="1:5" x14ac:dyDescent="0.2">
      <c r="A75" s="2137"/>
      <c r="B75" s="2136"/>
      <c r="C75" s="2139"/>
      <c r="D75" s="2138"/>
      <c r="E75" s="2138"/>
    </row>
    <row r="76" spans="1:5" x14ac:dyDescent="0.2">
      <c r="A76" s="2136"/>
      <c r="B76" s="2136"/>
      <c r="C76" s="2139"/>
      <c r="D76" s="2138"/>
      <c r="E76" s="2138"/>
    </row>
    <row r="77" spans="1:5" x14ac:dyDescent="0.2">
      <c r="A77" s="2136"/>
      <c r="B77" s="2136"/>
      <c r="C77" s="2139"/>
      <c r="D77" s="2138"/>
      <c r="E77" s="2138"/>
    </row>
    <row r="78" spans="1:5" x14ac:dyDescent="0.2">
      <c r="A78" s="2136"/>
      <c r="B78" s="2136"/>
      <c r="C78" s="2139"/>
      <c r="D78" s="2136"/>
      <c r="E78" s="2138"/>
    </row>
    <row r="79" spans="1:5" x14ac:dyDescent="0.2">
      <c r="A79" s="2136"/>
      <c r="B79" s="2136"/>
      <c r="C79" s="2139"/>
      <c r="D79" s="2136"/>
      <c r="E79" s="2138"/>
    </row>
    <row r="80" spans="1:5" x14ac:dyDescent="0.2">
      <c r="A80" s="2136"/>
      <c r="B80" s="2136"/>
      <c r="C80" s="2139"/>
      <c r="D80" s="2136"/>
      <c r="E80" s="2138"/>
    </row>
    <row r="81" spans="1:5" x14ac:dyDescent="0.2">
      <c r="A81" s="2136"/>
      <c r="B81" s="2136"/>
      <c r="C81" s="2139"/>
      <c r="D81" s="2136"/>
      <c r="E81" s="2138"/>
    </row>
    <row r="82" spans="1:5" x14ac:dyDescent="0.2">
      <c r="A82" s="2136"/>
      <c r="B82" s="2136"/>
      <c r="C82" s="2139"/>
      <c r="D82" s="2136"/>
      <c r="E82" s="2138"/>
    </row>
    <row r="83" spans="1:5" x14ac:dyDescent="0.2">
      <c r="A83" s="2136"/>
      <c r="B83" s="2136"/>
      <c r="C83" s="2139"/>
      <c r="D83" s="2136"/>
      <c r="E83" s="2138"/>
    </row>
    <row r="84" spans="1:5" x14ac:dyDescent="0.2">
      <c r="A84" s="2136"/>
      <c r="B84" s="2136"/>
      <c r="C84" s="2139"/>
      <c r="D84" s="2136"/>
      <c r="E84" s="2138"/>
    </row>
    <row r="85" spans="1:5" x14ac:dyDescent="0.2">
      <c r="A85" s="2136"/>
      <c r="B85" s="2136"/>
      <c r="C85" s="2139"/>
      <c r="D85" s="2136"/>
      <c r="E85" s="2138"/>
    </row>
    <row r="86" spans="1:5" x14ac:dyDescent="0.2">
      <c r="A86" s="2136"/>
      <c r="B86" s="2136"/>
      <c r="C86" s="2139"/>
      <c r="D86" s="2136"/>
      <c r="E86" s="2138"/>
    </row>
    <row r="87" spans="1:5" x14ac:dyDescent="0.2">
      <c r="A87" s="2136"/>
      <c r="B87" s="2136"/>
      <c r="C87" s="2136"/>
      <c r="D87" s="2136"/>
      <c r="E87" s="2138"/>
    </row>
    <row r="88" spans="1:5" x14ac:dyDescent="0.2">
      <c r="A88" s="2136"/>
      <c r="B88" s="2136"/>
      <c r="C88" s="2139"/>
      <c r="D88" s="2136"/>
      <c r="E88" s="2138"/>
    </row>
    <row r="89" spans="1:5" x14ac:dyDescent="0.2">
      <c r="A89" s="2136"/>
      <c r="B89" s="2136"/>
      <c r="C89" s="2139"/>
      <c r="D89" s="2136"/>
      <c r="E89" s="2138"/>
    </row>
    <row r="90" spans="1:5" x14ac:dyDescent="0.2">
      <c r="A90" s="2136"/>
      <c r="B90" s="2136"/>
      <c r="C90" s="2136"/>
      <c r="D90" s="2136"/>
      <c r="E90" s="2136"/>
    </row>
    <row r="91" spans="1:5" x14ac:dyDescent="0.2">
      <c r="A91" s="2136"/>
      <c r="B91" s="2136"/>
      <c r="C91" s="2136"/>
      <c r="D91" s="2136"/>
      <c r="E91" s="2136"/>
    </row>
    <row r="92" spans="1:5" x14ac:dyDescent="0.2">
      <c r="A92" s="2136"/>
      <c r="B92" s="2136"/>
      <c r="C92" s="2136"/>
      <c r="D92" s="2136"/>
      <c r="E92" s="2136"/>
    </row>
    <row r="93" spans="1:5" x14ac:dyDescent="0.2">
      <c r="A93" s="2136"/>
      <c r="B93" s="2136"/>
      <c r="C93" s="2136"/>
      <c r="D93" s="2136"/>
      <c r="E93" s="2136"/>
    </row>
    <row r="94" spans="1:5" x14ac:dyDescent="0.2">
      <c r="A94" s="2136"/>
      <c r="B94" s="2136"/>
      <c r="C94" s="2136"/>
      <c r="D94" s="2136"/>
      <c r="E94" s="2136"/>
    </row>
    <row r="95" spans="1:5" x14ac:dyDescent="0.2">
      <c r="A95" s="2136"/>
      <c r="B95" s="2136"/>
      <c r="C95" s="2136"/>
      <c r="D95" s="2136"/>
      <c r="E95" s="2136"/>
    </row>
    <row r="96" spans="1:5" x14ac:dyDescent="0.2">
      <c r="A96" s="2136"/>
      <c r="B96" s="2136"/>
      <c r="C96" s="2136"/>
      <c r="D96" s="2136"/>
      <c r="E96" s="2136"/>
    </row>
    <row r="97" spans="1:5" x14ac:dyDescent="0.2">
      <c r="A97" s="2136"/>
      <c r="B97" s="2136"/>
      <c r="C97" s="2136"/>
      <c r="D97" s="2136"/>
      <c r="E97" s="2136"/>
    </row>
    <row r="98" spans="1:5" x14ac:dyDescent="0.2">
      <c r="A98" s="2136"/>
      <c r="B98" s="2136"/>
      <c r="C98" s="2136"/>
      <c r="D98" s="2138"/>
      <c r="E98" s="2136"/>
    </row>
    <row r="99" spans="1:5" x14ac:dyDescent="0.2">
      <c r="A99" s="2136"/>
      <c r="B99" s="2136"/>
      <c r="C99" s="2136"/>
      <c r="D99" s="2136"/>
      <c r="E99" s="2136"/>
    </row>
    <row r="100" spans="1:5" x14ac:dyDescent="0.2">
      <c r="A100" s="2136"/>
      <c r="B100" s="2136"/>
      <c r="C100" s="2136"/>
      <c r="D100" s="2136"/>
      <c r="E100" s="2136"/>
    </row>
    <row r="101" spans="1:5" x14ac:dyDescent="0.2">
      <c r="A101" s="2136"/>
      <c r="B101" s="2136"/>
      <c r="C101" s="2136"/>
      <c r="D101" s="2138"/>
      <c r="E101" s="2136"/>
    </row>
    <row r="102" spans="1:5" x14ac:dyDescent="0.2">
      <c r="A102" s="2136"/>
      <c r="B102" s="2136"/>
      <c r="C102" s="2136"/>
      <c r="D102" s="2136"/>
      <c r="E102" s="2136"/>
    </row>
    <row r="103" spans="1:5" x14ac:dyDescent="0.2">
      <c r="A103" s="2136"/>
      <c r="B103" s="2136"/>
      <c r="C103" s="2138"/>
      <c r="D103" s="2136"/>
      <c r="E103" s="2136"/>
    </row>
    <row r="104" spans="1:5" x14ac:dyDescent="0.2">
      <c r="A104" s="2136"/>
      <c r="B104" s="2136"/>
      <c r="C104" s="2138"/>
      <c r="D104" s="2136"/>
      <c r="E104" s="2136"/>
    </row>
    <row r="105" spans="1:5" x14ac:dyDescent="0.2">
      <c r="A105" s="2137"/>
      <c r="B105" s="2136"/>
      <c r="C105" s="2138"/>
      <c r="D105" s="2136"/>
      <c r="E105" s="2136"/>
    </row>
    <row r="106" spans="1:5" x14ac:dyDescent="0.2">
      <c r="A106" s="2136"/>
      <c r="B106" s="2136"/>
      <c r="C106" s="2136"/>
      <c r="D106" s="2136"/>
      <c r="E106" s="2136"/>
    </row>
    <row r="107" spans="1:5" x14ac:dyDescent="0.2">
      <c r="A107" s="2136"/>
      <c r="B107" s="2136"/>
      <c r="C107" s="2136"/>
      <c r="D107" s="2136"/>
      <c r="E107" s="2136"/>
    </row>
    <row r="108" spans="1:5" x14ac:dyDescent="0.2">
      <c r="A108" s="2136"/>
      <c r="B108" s="2136"/>
      <c r="C108" s="2136"/>
      <c r="D108" s="2136"/>
      <c r="E108" s="2136"/>
    </row>
    <row r="109" spans="1:5" x14ac:dyDescent="0.2">
      <c r="A109" s="2136"/>
      <c r="B109" s="2136"/>
      <c r="C109" s="2136"/>
      <c r="D109" s="2136"/>
      <c r="E109" s="2136"/>
    </row>
    <row r="110" spans="1:5" x14ac:dyDescent="0.2">
      <c r="A110" s="2136"/>
      <c r="B110" s="2136"/>
      <c r="C110" s="2136"/>
      <c r="D110" s="2136"/>
      <c r="E110" s="2136"/>
    </row>
    <row r="111" spans="1:5" x14ac:dyDescent="0.2">
      <c r="A111" s="2136"/>
      <c r="B111" s="2136"/>
      <c r="C111" s="2136"/>
      <c r="D111" s="2136"/>
      <c r="E111" s="2136"/>
    </row>
    <row r="112" spans="1:5" x14ac:dyDescent="0.2">
      <c r="A112" s="2136"/>
      <c r="B112" s="2136"/>
      <c r="C112" s="2136"/>
      <c r="D112" s="2136"/>
      <c r="E112" s="2136"/>
    </row>
    <row r="113" spans="1:5" x14ac:dyDescent="0.2">
      <c r="A113" s="2136"/>
      <c r="B113" s="2136"/>
      <c r="C113" s="2136"/>
      <c r="D113" s="2136"/>
      <c r="E113" s="2136"/>
    </row>
    <row r="114" spans="1:5" x14ac:dyDescent="0.2">
      <c r="A114" s="2136"/>
      <c r="B114" s="2136"/>
      <c r="C114" s="2136"/>
      <c r="D114" s="2136"/>
      <c r="E114" s="2136"/>
    </row>
    <row r="115" spans="1:5" x14ac:dyDescent="0.2">
      <c r="A115" s="2136"/>
      <c r="B115" s="2136"/>
      <c r="C115" s="2136"/>
      <c r="D115" s="2136"/>
      <c r="E115" s="2136"/>
    </row>
    <row r="116" spans="1:5" x14ac:dyDescent="0.2">
      <c r="A116" s="2136"/>
      <c r="B116" s="2136"/>
      <c r="C116" s="2136"/>
      <c r="D116" s="2136"/>
      <c r="E116" s="2136"/>
    </row>
    <row r="117" spans="1:5" x14ac:dyDescent="0.2">
      <c r="A117" s="2136"/>
      <c r="B117" s="2136"/>
      <c r="C117" s="2136"/>
      <c r="D117" s="2136"/>
      <c r="E117" s="2136"/>
    </row>
    <row r="118" spans="1:5" x14ac:dyDescent="0.2">
      <c r="A118" s="2136"/>
      <c r="B118" s="2136"/>
      <c r="C118" s="2136"/>
      <c r="D118" s="2136"/>
      <c r="E118" s="2136"/>
    </row>
    <row r="119" spans="1:5" x14ac:dyDescent="0.2">
      <c r="A119" s="2136"/>
      <c r="B119" s="2136"/>
      <c r="C119" s="2136"/>
      <c r="D119" s="2136"/>
      <c r="E119" s="2136"/>
    </row>
    <row r="120" spans="1:5" x14ac:dyDescent="0.2">
      <c r="A120" s="1130"/>
      <c r="D120" s="1820"/>
    </row>
    <row r="121" spans="1:5" x14ac:dyDescent="0.2">
      <c r="D121" s="1820"/>
    </row>
    <row r="122" spans="1:5" x14ac:dyDescent="0.2">
      <c r="D122" s="1820"/>
    </row>
    <row r="123" spans="1:5" x14ac:dyDescent="0.2">
      <c r="D123" s="1820"/>
    </row>
    <row r="126" spans="1:5" x14ac:dyDescent="0.2">
      <c r="D126" s="1374"/>
    </row>
    <row r="127" spans="1:5" x14ac:dyDescent="0.2">
      <c r="D127" s="57"/>
    </row>
    <row r="128" spans="1:5" x14ac:dyDescent="0.2">
      <c r="A128" s="1130"/>
    </row>
    <row r="132" spans="4:4" x14ac:dyDescent="0.2">
      <c r="D132" s="1861"/>
    </row>
    <row r="141" spans="4:4" x14ac:dyDescent="0.2">
      <c r="D141" s="1869"/>
    </row>
    <row r="145" spans="1:4" x14ac:dyDescent="0.2">
      <c r="A145" s="1130"/>
    </row>
    <row r="159" spans="1:4" x14ac:dyDescent="0.2">
      <c r="C159" s="1861"/>
      <c r="D159" s="1861"/>
    </row>
    <row r="160" spans="1:4" x14ac:dyDescent="0.2">
      <c r="A160" s="1130"/>
    </row>
    <row r="173" spans="3:4" x14ac:dyDescent="0.2">
      <c r="C173" s="1861"/>
      <c r="D173" s="1861"/>
    </row>
    <row r="174" spans="3:4" x14ac:dyDescent="0.2">
      <c r="C174" s="1861"/>
      <c r="D174" s="1861"/>
    </row>
    <row r="183" spans="1:1" x14ac:dyDescent="0.2">
      <c r="A183" s="1130"/>
    </row>
    <row r="195" spans="1:5" ht="27.6" customHeight="1" x14ac:dyDescent="0.2">
      <c r="D195" s="1906"/>
    </row>
    <row r="196" spans="1:5" x14ac:dyDescent="0.2">
      <c r="A196" s="1130"/>
    </row>
    <row r="197" spans="1:5" x14ac:dyDescent="0.2">
      <c r="C197" s="201"/>
    </row>
    <row r="199" spans="1:5" x14ac:dyDescent="0.2">
      <c r="C199" s="201"/>
    </row>
    <row r="208" spans="1:5" x14ac:dyDescent="0.2">
      <c r="C208" s="2"/>
      <c r="D208" s="2"/>
      <c r="E208" s="2"/>
    </row>
    <row r="209" spans="1:5" x14ac:dyDescent="0.2">
      <c r="C209" s="2"/>
      <c r="D209" s="2"/>
      <c r="E209" s="2"/>
    </row>
    <row r="210" spans="1:5" x14ac:dyDescent="0.2">
      <c r="C210" s="2"/>
      <c r="D210" s="2"/>
      <c r="E210" s="2"/>
    </row>
    <row r="211" spans="1:5" x14ac:dyDescent="0.2">
      <c r="C211" s="2"/>
      <c r="D211" s="2"/>
      <c r="E211" s="2"/>
    </row>
    <row r="212" spans="1:5" x14ac:dyDescent="0.2">
      <c r="C212" s="2"/>
      <c r="D212" s="2"/>
      <c r="E212" s="2"/>
    </row>
    <row r="213" spans="1:5" x14ac:dyDescent="0.2">
      <c r="C213" s="2"/>
      <c r="D213" s="2"/>
      <c r="E213" s="2"/>
    </row>
    <row r="214" spans="1:5" x14ac:dyDescent="0.2">
      <c r="C214" s="84"/>
      <c r="D214" s="84"/>
    </row>
    <row r="215" spans="1:5" x14ac:dyDescent="0.2">
      <c r="C215" s="2"/>
      <c r="D215" s="1905"/>
      <c r="E215" s="2"/>
    </row>
    <row r="216" spans="1:5" x14ac:dyDescent="0.2">
      <c r="C216" s="1907"/>
      <c r="D216" s="1906"/>
    </row>
    <row r="217" spans="1:5" x14ac:dyDescent="0.2">
      <c r="C217" s="2"/>
      <c r="D217" s="2"/>
      <c r="E217" s="2"/>
    </row>
    <row r="218" spans="1:5" x14ac:dyDescent="0.2">
      <c r="C218" s="2"/>
    </row>
    <row r="219" spans="1:5" x14ac:dyDescent="0.2">
      <c r="D219" s="1906"/>
    </row>
    <row r="220" spans="1:5" x14ac:dyDescent="0.2">
      <c r="A220" s="1130"/>
    </row>
    <row r="222" spans="1:5" x14ac:dyDescent="0.2">
      <c r="A222" s="1130"/>
    </row>
    <row r="225" spans="1:4" x14ac:dyDescent="0.2">
      <c r="A225" s="1130"/>
    </row>
    <row r="236" spans="1:4" x14ac:dyDescent="0.2">
      <c r="D236" s="1906"/>
    </row>
    <row r="237" spans="1:4" x14ac:dyDescent="0.2">
      <c r="D237" s="1906"/>
    </row>
    <row r="238" spans="1:4" x14ac:dyDescent="0.2">
      <c r="D238" s="1906"/>
    </row>
    <row r="239" spans="1:4" x14ac:dyDescent="0.2">
      <c r="D239" s="1906"/>
    </row>
    <row r="240" spans="1:4" x14ac:dyDescent="0.2">
      <c r="D240" s="1906"/>
    </row>
    <row r="241" spans="1:4" x14ac:dyDescent="0.2">
      <c r="D241" s="1906"/>
    </row>
    <row r="242" spans="1:4" x14ac:dyDescent="0.2">
      <c r="D242" s="1906"/>
    </row>
    <row r="243" spans="1:4" x14ac:dyDescent="0.2">
      <c r="D243" s="1906"/>
    </row>
    <row r="244" spans="1:4" x14ac:dyDescent="0.2">
      <c r="D244" s="1906"/>
    </row>
    <row r="245" spans="1:4" x14ac:dyDescent="0.2">
      <c r="D245" s="1906"/>
    </row>
    <row r="246" spans="1:4" x14ac:dyDescent="0.2">
      <c r="D246" s="1906"/>
    </row>
    <row r="247" spans="1:4" x14ac:dyDescent="0.2">
      <c r="D247" s="1906"/>
    </row>
    <row r="248" spans="1:4" x14ac:dyDescent="0.2">
      <c r="A248" s="1130"/>
      <c r="D248" s="1906"/>
    </row>
    <row r="249" spans="1:4" x14ac:dyDescent="0.2">
      <c r="D249" s="1906"/>
    </row>
    <row r="250" spans="1:4" x14ac:dyDescent="0.2">
      <c r="D250" s="1906"/>
    </row>
    <row r="252" spans="1:4" x14ac:dyDescent="0.2">
      <c r="D252" s="1906"/>
    </row>
    <row r="253" spans="1:4" x14ac:dyDescent="0.2">
      <c r="D253" s="1906"/>
    </row>
    <row r="254" spans="1:4" x14ac:dyDescent="0.2">
      <c r="D254" s="1906"/>
    </row>
    <row r="255" spans="1:4" x14ac:dyDescent="0.2">
      <c r="D255" s="1906"/>
    </row>
    <row r="256" spans="1:4" x14ac:dyDescent="0.2">
      <c r="D256" s="1906"/>
    </row>
    <row r="257" spans="1:5" x14ac:dyDescent="0.2">
      <c r="D257" s="1906"/>
    </row>
    <row r="258" spans="1:5" x14ac:dyDescent="0.2">
      <c r="D258" s="1906"/>
    </row>
    <row r="259" spans="1:5" x14ac:dyDescent="0.2">
      <c r="D259" s="1906"/>
    </row>
    <row r="260" spans="1:5" x14ac:dyDescent="0.2">
      <c r="D260" s="1906"/>
    </row>
    <row r="262" spans="1:5" x14ac:dyDescent="0.2">
      <c r="D262" s="1906"/>
    </row>
    <row r="263" spans="1:5" x14ac:dyDescent="0.2">
      <c r="D263" s="1906"/>
    </row>
    <row r="264" spans="1:5" x14ac:dyDescent="0.2">
      <c r="D264" s="1906"/>
    </row>
    <row r="265" spans="1:5" x14ac:dyDescent="0.2">
      <c r="D265" s="1906"/>
    </row>
    <row r="266" spans="1:5" x14ac:dyDescent="0.2">
      <c r="D266" s="1906"/>
    </row>
    <row r="267" spans="1:5" x14ac:dyDescent="0.2">
      <c r="D267" s="1906"/>
    </row>
    <row r="268" spans="1:5" x14ac:dyDescent="0.2">
      <c r="D268" s="1906"/>
    </row>
    <row r="269" spans="1:5" x14ac:dyDescent="0.2">
      <c r="D269" s="1906"/>
    </row>
    <row r="270" spans="1:5" x14ac:dyDescent="0.2">
      <c r="D270" s="1906"/>
    </row>
    <row r="271" spans="1:5" x14ac:dyDescent="0.2">
      <c r="D271" s="1906"/>
    </row>
    <row r="272" spans="1:5" x14ac:dyDescent="0.2">
      <c r="A272" s="1130"/>
      <c r="D272" s="1906"/>
      <c r="E272" s="1906"/>
    </row>
    <row r="273" spans="1:5" x14ac:dyDescent="0.2">
      <c r="D273" s="1906"/>
      <c r="E273" s="1906"/>
    </row>
    <row r="274" spans="1:5" x14ac:dyDescent="0.2">
      <c r="D274" s="1906"/>
      <c r="E274" s="1906"/>
    </row>
    <row r="275" spans="1:5" x14ac:dyDescent="0.2">
      <c r="D275" s="1906"/>
      <c r="E275" s="1906"/>
    </row>
    <row r="276" spans="1:5" x14ac:dyDescent="0.2">
      <c r="D276" s="1906"/>
      <c r="E276" s="1906"/>
    </row>
    <row r="280" spans="1:5" x14ac:dyDescent="0.2">
      <c r="C280" s="1906"/>
    </row>
    <row r="281" spans="1:5" x14ac:dyDescent="0.2">
      <c r="A281" s="1130"/>
    </row>
    <row r="282" spans="1:5" x14ac:dyDescent="0.2">
      <c r="D282" s="1906"/>
    </row>
    <row r="285" spans="1:5" x14ac:dyDescent="0.2">
      <c r="D285" s="573"/>
    </row>
    <row r="295" spans="1:4" x14ac:dyDescent="0.2">
      <c r="A295" s="84"/>
    </row>
    <row r="296" spans="1:4" x14ac:dyDescent="0.2">
      <c r="A296" s="2000"/>
      <c r="B296" s="84"/>
      <c r="C296" s="84"/>
      <c r="D296" s="84"/>
    </row>
    <row r="297" spans="1:4" x14ac:dyDescent="0.2">
      <c r="A297" s="84"/>
      <c r="B297" s="84"/>
      <c r="C297" s="84"/>
      <c r="D297" s="84"/>
    </row>
    <row r="298" spans="1:4" x14ac:dyDescent="0.2">
      <c r="A298" s="84"/>
      <c r="B298" s="84"/>
      <c r="C298" s="84"/>
      <c r="D298" s="84"/>
    </row>
    <row r="299" spans="1:4" x14ac:dyDescent="0.2">
      <c r="A299" s="84"/>
      <c r="B299" s="84"/>
      <c r="C299" s="84"/>
      <c r="D299" s="84"/>
    </row>
    <row r="300" spans="1:4" x14ac:dyDescent="0.2">
      <c r="A300" s="84"/>
      <c r="B300" s="84"/>
      <c r="C300" s="84"/>
      <c r="D300" s="84"/>
    </row>
    <row r="301" spans="1:4" x14ac:dyDescent="0.2">
      <c r="A301" s="2000"/>
      <c r="B301" s="84"/>
      <c r="C301" s="84"/>
      <c r="D301" s="84"/>
    </row>
    <row r="302" spans="1:4" x14ac:dyDescent="0.2">
      <c r="A302" s="84"/>
      <c r="B302" s="84"/>
      <c r="C302" s="84"/>
      <c r="D302" s="84"/>
    </row>
    <row r="303" spans="1:4" x14ac:dyDescent="0.2">
      <c r="A303" s="84"/>
      <c r="B303" s="84"/>
      <c r="C303" s="84"/>
      <c r="D303" s="84"/>
    </row>
    <row r="304" spans="1:4" x14ac:dyDescent="0.2">
      <c r="A304" s="84"/>
      <c r="B304" s="84"/>
      <c r="C304" s="84"/>
      <c r="D304" s="84"/>
    </row>
    <row r="305" spans="1:5" x14ac:dyDescent="0.2">
      <c r="A305" s="84"/>
      <c r="B305" s="84"/>
      <c r="C305" s="84"/>
      <c r="D305" s="84"/>
    </row>
    <row r="306" spans="1:5" x14ac:dyDescent="0.2">
      <c r="A306" s="2000"/>
      <c r="B306" s="84"/>
      <c r="C306" s="84"/>
      <c r="D306" s="84"/>
    </row>
    <row r="307" spans="1:5" x14ac:dyDescent="0.2">
      <c r="A307" s="1130"/>
    </row>
    <row r="310" spans="1:5" x14ac:dyDescent="0.2">
      <c r="A310" s="1130"/>
    </row>
    <row r="314" spans="1:5" x14ac:dyDescent="0.2">
      <c r="A314" s="1130"/>
      <c r="D314" s="2"/>
      <c r="E314" s="2586"/>
    </row>
    <row r="315" spans="1:5" x14ac:dyDescent="0.2">
      <c r="D315" s="2"/>
      <c r="E315" s="2586"/>
    </row>
    <row r="316" spans="1:5" x14ac:dyDescent="0.2">
      <c r="D316" s="2"/>
      <c r="E316" s="2586"/>
    </row>
    <row r="317" spans="1:5" x14ac:dyDescent="0.2">
      <c r="D317" s="2"/>
      <c r="E317" s="2586"/>
    </row>
    <row r="318" spans="1:5" x14ac:dyDescent="0.2">
      <c r="D318" s="2"/>
      <c r="E318" s="2586"/>
    </row>
    <row r="319" spans="1:5" x14ac:dyDescent="0.2">
      <c r="D319" s="2"/>
      <c r="E319" s="2586"/>
    </row>
    <row r="320" spans="1:5" x14ac:dyDescent="0.2">
      <c r="D320" s="2"/>
      <c r="E320" s="2586"/>
    </row>
    <row r="321" spans="1:5" x14ac:dyDescent="0.2">
      <c r="D321" s="2"/>
      <c r="E321" s="2586"/>
    </row>
    <row r="322" spans="1:5" x14ac:dyDescent="0.2">
      <c r="D322" s="2"/>
      <c r="E322" s="2586"/>
    </row>
    <row r="323" spans="1:5" x14ac:dyDescent="0.2">
      <c r="D323" s="2"/>
      <c r="E323" s="2586"/>
    </row>
    <row r="324" spans="1:5" x14ac:dyDescent="0.2">
      <c r="D324" s="2"/>
      <c r="E324" s="2586"/>
    </row>
    <row r="325" spans="1:5" x14ac:dyDescent="0.2">
      <c r="D325" s="2"/>
      <c r="E325" s="2586"/>
    </row>
    <row r="326" spans="1:5" x14ac:dyDescent="0.2">
      <c r="D326" s="2"/>
      <c r="E326" s="2586"/>
    </row>
    <row r="327" spans="1:5" x14ac:dyDescent="0.2">
      <c r="D327" s="2"/>
      <c r="E327" s="2586"/>
    </row>
    <row r="328" spans="1:5" x14ac:dyDescent="0.2">
      <c r="D328" s="2"/>
      <c r="E328" s="2586"/>
    </row>
    <row r="329" spans="1:5" x14ac:dyDescent="0.2">
      <c r="B329" s="201"/>
      <c r="C329" s="201"/>
      <c r="D329" s="201"/>
    </row>
    <row r="330" spans="1:5" x14ac:dyDescent="0.2">
      <c r="B330" s="201"/>
      <c r="C330" s="201"/>
      <c r="D330" s="201"/>
    </row>
    <row r="331" spans="1:5" x14ac:dyDescent="0.2">
      <c r="B331" s="201"/>
      <c r="C331" s="201"/>
      <c r="D331" s="201"/>
    </row>
    <row r="332" spans="1:5" x14ac:dyDescent="0.2">
      <c r="A332" s="1130"/>
      <c r="B332" s="201"/>
      <c r="C332" s="201"/>
      <c r="D332" s="201"/>
    </row>
    <row r="333" spans="1:5" x14ac:dyDescent="0.2">
      <c r="B333" s="201"/>
      <c r="D333" s="201"/>
    </row>
    <row r="334" spans="1:5" x14ac:dyDescent="0.2">
      <c r="B334" s="201"/>
      <c r="C334" s="201"/>
      <c r="D334" s="201"/>
    </row>
    <row r="335" spans="1:5" x14ac:dyDescent="0.2">
      <c r="B335" s="201"/>
      <c r="C335" s="201"/>
      <c r="D335" s="201"/>
    </row>
    <row r="336" spans="1:5" x14ac:dyDescent="0.2">
      <c r="B336" s="201"/>
      <c r="D336" s="201"/>
    </row>
    <row r="337" spans="1:5" x14ac:dyDescent="0.2">
      <c r="B337" s="201"/>
      <c r="D337" s="201"/>
    </row>
    <row r="338" spans="1:5" x14ac:dyDescent="0.2">
      <c r="B338" s="2017"/>
      <c r="C338" s="2017"/>
      <c r="D338" s="2017"/>
      <c r="E338" s="545"/>
    </row>
    <row r="339" spans="1:5" x14ac:dyDescent="0.2">
      <c r="B339" s="2017"/>
      <c r="C339" s="2017"/>
      <c r="D339" s="2017"/>
      <c r="E339" s="545"/>
    </row>
    <row r="340" spans="1:5" x14ac:dyDescent="0.2">
      <c r="D340" s="201"/>
    </row>
    <row r="341" spans="1:5" x14ac:dyDescent="0.2">
      <c r="D341" s="201"/>
    </row>
    <row r="342" spans="1:5" x14ac:dyDescent="0.2">
      <c r="A342" s="1130"/>
      <c r="D342" s="201"/>
    </row>
    <row r="343" spans="1:5" x14ac:dyDescent="0.2">
      <c r="C343" s="2022"/>
      <c r="D343" s="201"/>
    </row>
    <row r="344" spans="1:5" x14ac:dyDescent="0.2">
      <c r="D344" s="1130"/>
    </row>
    <row r="345" spans="1:5" x14ac:dyDescent="0.2">
      <c r="D345" s="201"/>
    </row>
    <row r="346" spans="1:5" x14ac:dyDescent="0.2">
      <c r="D346" s="1130"/>
    </row>
    <row r="347" spans="1:5" x14ac:dyDescent="0.2">
      <c r="D347" s="201"/>
    </row>
    <row r="348" spans="1:5" x14ac:dyDescent="0.2">
      <c r="B348" s="1201"/>
      <c r="C348" s="1201"/>
      <c r="D348" s="2019"/>
    </row>
    <row r="350" spans="1:5" x14ac:dyDescent="0.2">
      <c r="A350" s="1130"/>
      <c r="D350" s="1906"/>
    </row>
    <row r="351" spans="1:5" x14ac:dyDescent="0.2">
      <c r="D351" s="1906"/>
    </row>
    <row r="352" spans="1:5" x14ac:dyDescent="0.2">
      <c r="D352" s="1906"/>
    </row>
    <row r="353" spans="1:4" x14ac:dyDescent="0.2">
      <c r="C353" s="1906"/>
      <c r="D353" s="1906"/>
    </row>
    <row r="365" spans="1:4" x14ac:dyDescent="0.2">
      <c r="A365" s="1130"/>
    </row>
    <row r="373" spans="1:1" x14ac:dyDescent="0.2">
      <c r="A373" s="1130"/>
    </row>
    <row r="374" spans="1:1" x14ac:dyDescent="0.2">
      <c r="A374" s="1130"/>
    </row>
  </sheetData>
  <sheetProtection algorithmName="SHA-512" hashValue="iCx/NjuxpiIl5v8u78W3Wm3baWiJ5uS7Y8+uxgwr2n56GzNN8ri2KB1GVdh7wr8WYsSOQ9VOuvwci2enpsyeEw==" saltValue="8ar8DQ+j2tVY8RR0TbIf6g==" spinCount="100000" sheet="1" objects="1" scenarios="1"/>
  <mergeCells count="3">
    <mergeCell ref="E314:E328"/>
    <mergeCell ref="A4:E4"/>
    <mergeCell ref="A2:E2"/>
  </mergeCells>
  <phoneticPr fontId="87" type="noConversion"/>
  <pageMargins left="0.70866141732283472" right="0.70866141732283472" top="0.78740157480314965" bottom="0.78740157480314965" header="0.31496062992125984" footer="0.31496062992125984"/>
  <pageSetup paperSize="9" scale="67" fitToHeight="10" orientation="landscape"/>
  <headerFooter>
    <oddFooter>&amp;L&amp;8Version: 24.04.2026&amp;C&amp;8Verhandlungsunterlagen vollstationär SGB XI ab 01.07.2026&amp;R&amp;8PSK vom 24.04.2026</oddFooter>
  </headerFooter>
  <extLst>
    <ext xmlns:x14="http://schemas.microsoft.com/office/spreadsheetml/2009/9/main" uri="{78C0D931-6437-407d-A8EE-F0AAD7539E65}">
      <x14:conditionalFormattings>
        <x14:conditionalFormatting xmlns:xm="http://schemas.microsoft.com/office/excel/2006/main">
          <x14:cfRule type="expression" priority="2" id="{D2F080F3-F706-4BB0-93D3-075A4DEB9735}">
            <xm:f>Personalkostenaufstellung!$M$13="regional übliches Entgelt"</xm:f>
            <x14:dxf>
              <font>
                <color rgb="FFF7FEF0"/>
              </font>
            </x14:dxf>
          </x14:cfRule>
          <xm:sqref>D126</xm:sqref>
        </x14:conditionalFormatting>
        <x14:conditionalFormatting xmlns:xm="http://schemas.microsoft.com/office/excel/2006/main">
          <x14:cfRule type="expression" priority="726" id="{A84535CD-056D-4CAE-86A1-485F2B81AC1D}">
            <xm:f>KAT!$A$70="ja"</xm:f>
            <x14:dxf>
              <fill>
                <patternFill>
                  <bgColor rgb="FFCCECFF"/>
                </patternFill>
              </fill>
            </x14:dxf>
          </x14:cfRule>
          <xm:sqref>D127</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AD73"/>
  <sheetViews>
    <sheetView topLeftCell="A42" zoomScale="80" zoomScaleNormal="80" workbookViewId="0">
      <selection activeCell="C62" sqref="C62"/>
    </sheetView>
  </sheetViews>
  <sheetFormatPr baseColWidth="10" defaultRowHeight="14.25" x14ac:dyDescent="0.2"/>
  <cols>
    <col min="1" max="1" width="22" customWidth="1"/>
    <col min="2" max="2" width="15.375" customWidth="1"/>
    <col min="3" max="3" width="14" customWidth="1"/>
    <col min="5" max="5" width="12.875" customWidth="1"/>
    <col min="7" max="8" width="10.625" customWidth="1"/>
    <col min="12" max="12" width="25.625" customWidth="1"/>
    <col min="13" max="13" width="14.25" customWidth="1"/>
    <col min="14" max="14" width="14.875" customWidth="1"/>
    <col min="15" max="15" width="20.25" customWidth="1"/>
    <col min="16" max="16" width="11.625" customWidth="1"/>
    <col min="17" max="17" width="10.875" customWidth="1"/>
    <col min="18" max="18" width="38" customWidth="1"/>
    <col min="19" max="19" width="27" customWidth="1"/>
    <col min="21" max="21" width="16.25" customWidth="1"/>
    <col min="24" max="24" width="2.375" customWidth="1"/>
  </cols>
  <sheetData>
    <row r="1" spans="1:30" s="213" customFormat="1" ht="15.75" thickBot="1" x14ac:dyDescent="0.3">
      <c r="A1" s="213" t="s">
        <v>152</v>
      </c>
      <c r="B1" s="213" t="s">
        <v>153</v>
      </c>
      <c r="C1" s="213" t="s">
        <v>107</v>
      </c>
      <c r="D1" s="213" t="s">
        <v>154</v>
      </c>
      <c r="E1" s="214" t="s">
        <v>155</v>
      </c>
      <c r="F1" s="213" t="s">
        <v>156</v>
      </c>
      <c r="G1" s="213" t="s">
        <v>287</v>
      </c>
      <c r="I1" s="488" t="s">
        <v>318</v>
      </c>
      <c r="J1" s="491">
        <v>40</v>
      </c>
      <c r="L1" s="1202" t="s">
        <v>525</v>
      </c>
      <c r="M1" s="1203"/>
      <c r="N1" s="1203"/>
      <c r="O1" s="1466"/>
      <c r="P1" s="2015" t="s">
        <v>555</v>
      </c>
      <c r="Q1" s="1467"/>
      <c r="R1" s="2016">
        <f>IFERROR(DATEDIF('Allgemeine Angaben'!H45,'Allgemeine Angaben'!L4,"m"),0)</f>
        <v>0</v>
      </c>
      <c r="S1" s="2597" t="s">
        <v>655</v>
      </c>
      <c r="T1" s="1975" t="s">
        <v>663</v>
      </c>
      <c r="U1" s="1976"/>
      <c r="V1" s="1976"/>
      <c r="W1" s="1977"/>
      <c r="X1" s="1965"/>
    </row>
    <row r="2" spans="1:30" x14ac:dyDescent="0.2">
      <c r="A2" s="215" t="s">
        <v>157</v>
      </c>
      <c r="B2" s="216" t="s">
        <v>158</v>
      </c>
      <c r="C2" s="215">
        <v>30.42</v>
      </c>
      <c r="D2" s="215">
        <v>365</v>
      </c>
      <c r="E2" s="217">
        <v>1</v>
      </c>
      <c r="F2" s="215" t="s">
        <v>159</v>
      </c>
      <c r="G2" s="215" t="s">
        <v>286</v>
      </c>
      <c r="L2" s="1222" t="s">
        <v>539</v>
      </c>
      <c r="M2" s="1470"/>
      <c r="N2" s="1204" t="s">
        <v>540</v>
      </c>
      <c r="O2" s="1205"/>
      <c r="P2" s="1205"/>
      <c r="Q2" s="1221" t="s">
        <v>541</v>
      </c>
      <c r="R2" s="1958" t="s">
        <v>538</v>
      </c>
      <c r="S2" s="2598"/>
      <c r="T2" s="2599" t="s">
        <v>664</v>
      </c>
      <c r="U2" s="2599"/>
      <c r="V2" s="2599"/>
      <c r="W2" s="2600"/>
      <c r="X2" s="436"/>
    </row>
    <row r="3" spans="1:30" ht="63.75" x14ac:dyDescent="0.2">
      <c r="A3" s="215" t="s">
        <v>3</v>
      </c>
      <c r="B3" s="215"/>
      <c r="C3" s="215">
        <v>26</v>
      </c>
      <c r="D3" s="215">
        <v>312</v>
      </c>
      <c r="E3" s="217">
        <v>0.99</v>
      </c>
      <c r="F3" s="215" t="s">
        <v>161</v>
      </c>
      <c r="G3" s="215"/>
      <c r="I3" s="1138" t="s">
        <v>340</v>
      </c>
      <c r="L3" s="1206"/>
      <c r="M3" s="1207"/>
      <c r="N3" s="1208" t="s">
        <v>384</v>
      </c>
      <c r="O3" s="1208" t="s">
        <v>526</v>
      </c>
      <c r="P3" s="1204" t="s">
        <v>527</v>
      </c>
      <c r="Q3" s="1218" t="s">
        <v>528</v>
      </c>
      <c r="R3" s="2190" t="s">
        <v>1161</v>
      </c>
      <c r="S3" s="1967" t="s">
        <v>667</v>
      </c>
      <c r="T3" s="1978" t="s">
        <v>660</v>
      </c>
      <c r="U3" s="1978" t="s">
        <v>660</v>
      </c>
      <c r="V3" s="1978" t="s">
        <v>661</v>
      </c>
      <c r="W3" s="1979" t="s">
        <v>662</v>
      </c>
      <c r="X3" s="436"/>
    </row>
    <row r="4" spans="1:30" ht="35.25" x14ac:dyDescent="0.2">
      <c r="A4" s="215" t="s">
        <v>36</v>
      </c>
      <c r="C4" s="215">
        <v>20.83</v>
      </c>
      <c r="D4" s="215">
        <v>250</v>
      </c>
      <c r="E4" s="217">
        <v>0.98</v>
      </c>
      <c r="F4" s="215"/>
      <c r="G4" s="215"/>
      <c r="I4" s="1138" t="s">
        <v>338</v>
      </c>
      <c r="L4" s="1215" t="s">
        <v>531</v>
      </c>
      <c r="M4" s="1216"/>
      <c r="N4" s="1228"/>
      <c r="O4" s="1228"/>
      <c r="P4" s="1228"/>
      <c r="Q4" s="1477">
        <f>IF(AND(R1&gt;18.99,'Belegung_wö. Arbeitszeit'!C39=0),1,0)</f>
        <v>0</v>
      </c>
      <c r="R4" s="1959" t="s">
        <v>632</v>
      </c>
      <c r="S4" s="1968">
        <f>IF(R19=0,1,IF(R1&lt;19,2,IF(Q4=0,3,IF(Q4=1,4))))</f>
        <v>1</v>
      </c>
      <c r="T4" s="1963" t="s">
        <v>658</v>
      </c>
      <c r="U4" s="1963" t="s">
        <v>657</v>
      </c>
      <c r="V4" s="1963" t="s">
        <v>656</v>
      </c>
      <c r="W4" s="1969" t="s">
        <v>659</v>
      </c>
      <c r="X4" s="1966"/>
    </row>
    <row r="5" spans="1:30" ht="25.5" x14ac:dyDescent="0.2">
      <c r="A5" s="215" t="s">
        <v>160</v>
      </c>
      <c r="C5" s="215"/>
      <c r="D5" s="215"/>
      <c r="E5" s="217">
        <v>0.97</v>
      </c>
      <c r="I5" s="1138"/>
      <c r="L5" s="1213" t="s">
        <v>529</v>
      </c>
      <c r="M5" s="1900" t="s">
        <v>630</v>
      </c>
      <c r="N5" s="1227"/>
      <c r="O5" s="1227"/>
      <c r="P5" s="1227"/>
      <c r="Q5" s="1899">
        <f>IF(OR('Allgemeine Angaben'!H45='Allgemeine Angaben'!H52,'Belegung_wö. Arbeitszeit'!D39&gt;0),0,1)</f>
        <v>0</v>
      </c>
      <c r="R5" s="1960" t="s">
        <v>633</v>
      </c>
      <c r="S5" s="1970">
        <f>IF(R19=0,1,IF('Allgemeine Angaben'!H52='Allgemeine Angaben'!H45,2,IF(Q5=0,3,IF(Q5=1,4))))</f>
        <v>1</v>
      </c>
      <c r="T5" s="1963" t="s">
        <v>658</v>
      </c>
      <c r="U5" s="1986" t="s">
        <v>676</v>
      </c>
      <c r="V5" s="1963" t="s">
        <v>665</v>
      </c>
      <c r="W5" s="1969" t="s">
        <v>666</v>
      </c>
      <c r="X5" s="436"/>
    </row>
    <row r="6" spans="1:30" ht="52.9" customHeight="1" x14ac:dyDescent="0.2">
      <c r="A6" s="215"/>
      <c r="E6" s="217">
        <v>0.96</v>
      </c>
      <c r="L6" s="1215" t="s">
        <v>524</v>
      </c>
      <c r="M6" s="1216"/>
      <c r="N6" s="1217">
        <f>IF(Personalkostenaufstellung!E34=0,1,0)</f>
        <v>1</v>
      </c>
      <c r="O6" s="1217">
        <f>IF(Personalkostenaufstellung!E362=0,1,0)</f>
        <v>1</v>
      </c>
      <c r="P6" s="1217">
        <f>IF(Personalkostenaufstellung!E426=0,1,0)</f>
        <v>1</v>
      </c>
      <c r="Q6" s="1477">
        <f>IF(AND(R1&gt;18.99,SUM(N6:P6)&gt;0),1,0)</f>
        <v>0</v>
      </c>
      <c r="R6" s="1959" t="s">
        <v>632</v>
      </c>
      <c r="S6" s="1968">
        <f>IF(R19=0,1,IF(R1&lt;19,2,IF(Q6=0,3,IF(Q6=1,4))))</f>
        <v>1</v>
      </c>
      <c r="T6" s="1963" t="s">
        <v>658</v>
      </c>
      <c r="U6" s="1963" t="s">
        <v>657</v>
      </c>
      <c r="V6" s="1963" t="s">
        <v>656</v>
      </c>
      <c r="W6" s="1969" t="s">
        <v>659</v>
      </c>
      <c r="X6" s="436"/>
      <c r="Y6" s="1980" t="s">
        <v>563</v>
      </c>
      <c r="Z6" s="1981" t="s">
        <v>671</v>
      </c>
      <c r="AA6" s="1469"/>
      <c r="AB6" s="1469"/>
      <c r="AC6" s="1469"/>
      <c r="AD6" s="1471"/>
    </row>
    <row r="7" spans="1:30" ht="24" x14ac:dyDescent="0.2">
      <c r="A7" s="215"/>
      <c r="E7" s="217">
        <v>0.95</v>
      </c>
      <c r="L7" s="1953" t="s">
        <v>534</v>
      </c>
      <c r="M7" s="1214"/>
      <c r="N7" s="1227"/>
      <c r="O7" s="1227"/>
      <c r="P7" s="1227"/>
      <c r="Q7" s="2008">
        <f>IF(Personalkostenaufstellung!H34&gt;Personalkostenaufstellung!AD4,1,0)</f>
        <v>0</v>
      </c>
      <c r="R7" s="2020"/>
      <c r="S7" s="1971">
        <f>IF(R19=0,1,IF(Q7=0,3,IF(Q7=1,4)))</f>
        <v>1</v>
      </c>
      <c r="T7" s="1963" t="s">
        <v>658</v>
      </c>
      <c r="U7" s="1964"/>
      <c r="V7" s="1963" t="s">
        <v>656</v>
      </c>
      <c r="W7" s="1969" t="s">
        <v>659</v>
      </c>
      <c r="X7" s="436"/>
      <c r="Y7" s="1397">
        <v>45658</v>
      </c>
      <c r="Z7" s="1396"/>
      <c r="AA7" s="1396" t="s">
        <v>488</v>
      </c>
      <c r="AB7" s="1396"/>
      <c r="AC7" s="1396"/>
      <c r="AD7" s="1472"/>
    </row>
    <row r="8" spans="1:30" ht="24" x14ac:dyDescent="0.2">
      <c r="A8" s="215"/>
      <c r="E8" s="217">
        <v>0.94</v>
      </c>
      <c r="L8" s="1954" t="s">
        <v>533</v>
      </c>
      <c r="M8" s="1216"/>
      <c r="N8" s="1228"/>
      <c r="O8" s="1228"/>
      <c r="P8" s="1228"/>
      <c r="Q8" s="1220">
        <f>IF(Personalkostenaufstellung!H40&gt;Personalkostenaufstellung!AD8,1,0)</f>
        <v>0</v>
      </c>
      <c r="R8" s="1962"/>
      <c r="S8" s="1971">
        <f>IF(R19=0,1,IF(Q8=0,3,IF(Q8=1,4)))</f>
        <v>1</v>
      </c>
      <c r="T8" s="1963" t="s">
        <v>658</v>
      </c>
      <c r="U8" s="1964"/>
      <c r="V8" s="1963" t="s">
        <v>656</v>
      </c>
      <c r="W8" s="1969" t="s">
        <v>659</v>
      </c>
      <c r="X8" s="436"/>
      <c r="Y8" s="1397">
        <v>45778</v>
      </c>
      <c r="Z8" s="1396">
        <f>DATEDIF(Y7,Y8,"m")</f>
        <v>4</v>
      </c>
      <c r="AA8" s="1396" t="s">
        <v>558</v>
      </c>
      <c r="AB8" s="1396"/>
      <c r="AC8" s="1396"/>
      <c r="AD8" s="1472"/>
    </row>
    <row r="9" spans="1:30" ht="24" x14ac:dyDescent="0.2">
      <c r="E9" s="217">
        <v>0.93</v>
      </c>
      <c r="L9" s="1953" t="s">
        <v>535</v>
      </c>
      <c r="M9" s="1214"/>
      <c r="N9" s="1227"/>
      <c r="O9" s="1227"/>
      <c r="P9" s="1227"/>
      <c r="Q9" s="1219">
        <f>IF(Personalkostenaufstellung!H46&gt;Personalkostenaufstellung!AD9,1,0)</f>
        <v>0</v>
      </c>
      <c r="R9" s="1961"/>
      <c r="S9" s="1971">
        <f>IF(R19=0,1,IF(Q9=0,3,IF(Q9=1,4)))</f>
        <v>1</v>
      </c>
      <c r="T9" s="1963" t="s">
        <v>658</v>
      </c>
      <c r="U9" s="1964"/>
      <c r="V9" s="1963" t="s">
        <v>656</v>
      </c>
      <c r="W9" s="1969" t="s">
        <v>659</v>
      </c>
      <c r="X9" s="436"/>
      <c r="Y9" s="1397">
        <v>45200</v>
      </c>
      <c r="Z9" s="1396">
        <f>DATEDIF(Y9,Y7,"m")</f>
        <v>15</v>
      </c>
      <c r="AA9" s="1396" t="s">
        <v>559</v>
      </c>
      <c r="AB9" s="1396"/>
      <c r="AC9" s="1396"/>
      <c r="AD9" s="1472"/>
    </row>
    <row r="10" spans="1:30" ht="24" x14ac:dyDescent="0.2">
      <c r="E10" s="217">
        <v>0.92</v>
      </c>
      <c r="L10" s="1954" t="s">
        <v>544</v>
      </c>
      <c r="M10" s="1229"/>
      <c r="N10" s="1230"/>
      <c r="O10" s="1230"/>
      <c r="P10" s="1230"/>
      <c r="Q10" s="1956">
        <f>IF(OR('Allgemeine Angaben'!L47=0,Personalkostenaufstellung!H426=0,Personalkostenaufstellung!H426&lt;&gt;'Allgemeine Angaben'!L47/20),1,0)</f>
        <v>1</v>
      </c>
      <c r="R10" s="1961"/>
      <c r="S10" s="1971">
        <f>IF(R19=0,1,IF(Q10=0,3,IF(Q10=1,4)))</f>
        <v>1</v>
      </c>
      <c r="T10" s="1963" t="s">
        <v>658</v>
      </c>
      <c r="U10" s="1964"/>
      <c r="V10" s="1963" t="s">
        <v>656</v>
      </c>
      <c r="W10" s="1969" t="s">
        <v>659</v>
      </c>
      <c r="X10" s="436"/>
      <c r="Y10" s="1476">
        <v>45200</v>
      </c>
      <c r="Z10" s="1468" t="s">
        <v>561</v>
      </c>
      <c r="AA10" s="1468" t="s">
        <v>560</v>
      </c>
      <c r="AB10" s="1468">
        <f>DATEDIF(Y10,Y8,"m")</f>
        <v>19</v>
      </c>
      <c r="AC10" s="1468" t="s">
        <v>562</v>
      </c>
      <c r="AD10" s="1473"/>
    </row>
    <row r="11" spans="1:30" ht="24" x14ac:dyDescent="0.2">
      <c r="E11" s="217">
        <v>0.91</v>
      </c>
      <c r="L11" s="1953" t="s">
        <v>1114</v>
      </c>
      <c r="M11" s="1214"/>
      <c r="N11" s="1227"/>
      <c r="O11" s="1227"/>
      <c r="P11" s="1227"/>
      <c r="Q11" s="1220">
        <f>IF(Personalkostenaufstellung!H435&gt;KAT!D59,1,0)</f>
        <v>0</v>
      </c>
      <c r="R11" s="1961"/>
      <c r="S11" s="1971">
        <f>IF(R19=0,1,IF(Q11=0,3,IF(Q11=1,4)))</f>
        <v>1</v>
      </c>
      <c r="T11" s="1963" t="s">
        <v>658</v>
      </c>
      <c r="U11" s="1964"/>
      <c r="V11" s="1963" t="s">
        <v>656</v>
      </c>
      <c r="W11" s="1969" t="s">
        <v>659</v>
      </c>
    </row>
    <row r="12" spans="1:30" ht="25.5" x14ac:dyDescent="0.2">
      <c r="E12" s="217">
        <v>0.9</v>
      </c>
      <c r="L12" s="1213" t="s">
        <v>530</v>
      </c>
      <c r="M12" s="1900" t="s">
        <v>630</v>
      </c>
      <c r="N12" s="1898">
        <f>IF(OR('Allgemeine Angaben'!H45='Allgemeine Angaben'!H52,Personalaufwendungen!G11&gt;0),0,1)</f>
        <v>0</v>
      </c>
      <c r="O12" s="1898">
        <f>IF(OR('Allgemeine Angaben'!H45='Allgemeine Angaben'!H52,Personalaufwendungen!G25&gt;0),0,1)</f>
        <v>0</v>
      </c>
      <c r="P12" s="1898">
        <f>IF(OR('Allgemeine Angaben'!H45='Allgemeine Angaben'!H52,Personalaufwendungen!G46&gt;0),0,1)</f>
        <v>0</v>
      </c>
      <c r="Q12" s="1897">
        <f>IF(SUM(N12:P12)=0,0,1)</f>
        <v>0</v>
      </c>
      <c r="R12" s="1960" t="s">
        <v>633</v>
      </c>
      <c r="S12" s="1970">
        <f>IF(R19=0,1,IF('Allgemeine Angaben'!H45='Allgemeine Angaben'!H52,2,IF(Q12=0,3,IF(Q12=1,4))))</f>
        <v>1</v>
      </c>
      <c r="T12" s="1963" t="s">
        <v>658</v>
      </c>
      <c r="U12" s="1986" t="s">
        <v>676</v>
      </c>
      <c r="V12" s="1963" t="s">
        <v>665</v>
      </c>
      <c r="W12" s="1969" t="s">
        <v>666</v>
      </c>
      <c r="X12" s="436"/>
    </row>
    <row r="13" spans="1:30" ht="35.25" x14ac:dyDescent="0.2">
      <c r="E13" s="217">
        <v>0.89</v>
      </c>
      <c r="L13" s="1225" t="s">
        <v>532</v>
      </c>
      <c r="M13" s="1226"/>
      <c r="N13" s="1228"/>
      <c r="O13" s="1228"/>
      <c r="P13" s="1228"/>
      <c r="Q13" s="1477">
        <f>IF(AND(R1&gt;18.99,Sachaufwendungen!H29=0),1,0)</f>
        <v>0</v>
      </c>
      <c r="R13" s="1959" t="s">
        <v>632</v>
      </c>
      <c r="S13" s="1968">
        <f>IF(R19=0,1,IF(R1&lt;19,2,IF(Q13=0,3,IF(Q13=1,4))))</f>
        <v>1</v>
      </c>
      <c r="T13" s="1963" t="s">
        <v>658</v>
      </c>
      <c r="U13" s="1963" t="s">
        <v>1010</v>
      </c>
      <c r="V13" s="1963" t="s">
        <v>656</v>
      </c>
      <c r="W13" s="1969" t="s">
        <v>659</v>
      </c>
      <c r="X13" s="436"/>
    </row>
    <row r="14" spans="1:30" ht="25.5" x14ac:dyDescent="0.2">
      <c r="E14" s="217">
        <v>0.88</v>
      </c>
      <c r="L14" s="1213" t="s">
        <v>536</v>
      </c>
      <c r="M14" s="1214"/>
      <c r="N14" s="1227"/>
      <c r="O14" s="1227"/>
      <c r="P14" s="1227"/>
      <c r="Q14" s="1999">
        <f>IF(AND(Personalkostenaufstellung!M13="regional übliches Entgelt",Personalkostenaufstellung!M12="nein"),"",IF(AND(OR(Personalkostenaufstellung!M13="Tarif/AVR maßgebend",Personalkostenaufstellung!M12="ja"),Personalkostenaufstellung!P15=""),1,0))</f>
        <v>0</v>
      </c>
      <c r="R14" s="1998" t="s">
        <v>1012</v>
      </c>
      <c r="S14" s="1970">
        <f>IF(R19=0,1,IF(Q14="",2,IF(Q14=0,3,IF(Q14=1,4))))</f>
        <v>1</v>
      </c>
      <c r="T14" s="1963" t="s">
        <v>658</v>
      </c>
      <c r="U14" s="1963" t="s">
        <v>1011</v>
      </c>
      <c r="V14" s="1963" t="s">
        <v>665</v>
      </c>
      <c r="W14" s="1969" t="s">
        <v>666</v>
      </c>
      <c r="X14" s="436"/>
    </row>
    <row r="15" spans="1:30" ht="61.9" customHeight="1" thickBot="1" x14ac:dyDescent="0.25">
      <c r="A15" s="84"/>
      <c r="E15" s="217">
        <v>0.87</v>
      </c>
      <c r="L15" s="1225" t="s">
        <v>611</v>
      </c>
      <c r="M15" s="1226"/>
      <c r="N15" s="1796"/>
      <c r="O15" s="1796"/>
      <c r="P15" s="1796"/>
      <c r="Q15" s="1896">
        <f>IF(AND(Personalkostenaufstellung!I368&lt;&gt;"",OR(Personalkostenaufstellung!M368="",Personalkostenaufstellung!M368="nein")),1,0)</f>
        <v>0</v>
      </c>
      <c r="S15" s="1972">
        <f>IF(R19=0,1,IF(Q15=0,3,IF(Q15=1,4)))</f>
        <v>1</v>
      </c>
      <c r="T15" s="1973" t="s">
        <v>658</v>
      </c>
      <c r="U15" s="1964"/>
      <c r="V15" s="1973" t="s">
        <v>665</v>
      </c>
      <c r="W15" s="1974" t="s">
        <v>666</v>
      </c>
      <c r="X15" s="436"/>
    </row>
    <row r="16" spans="1:30" ht="13.9" customHeight="1" thickBot="1" x14ac:dyDescent="0.25">
      <c r="A16" s="84"/>
      <c r="E16" s="217">
        <v>0.86</v>
      </c>
      <c r="L16" s="1209" t="s">
        <v>537</v>
      </c>
      <c r="M16" s="1210"/>
      <c r="N16" s="1211"/>
      <c r="O16" s="1211"/>
      <c r="P16" s="1211"/>
      <c r="Q16" s="1231">
        <f>IF(SUM(Q4:Q15)&gt;0,1,0)</f>
        <v>1</v>
      </c>
      <c r="R16" s="1212" t="s">
        <v>545</v>
      </c>
      <c r="X16" s="682"/>
    </row>
    <row r="17" spans="1:24" ht="28.15" customHeight="1" x14ac:dyDescent="0.2">
      <c r="E17" s="217">
        <v>0.85</v>
      </c>
      <c r="L17" s="1474" t="s">
        <v>564</v>
      </c>
      <c r="R17" s="2601" t="s">
        <v>673</v>
      </c>
      <c r="X17" s="682"/>
    </row>
    <row r="18" spans="1:24" ht="15" thickBot="1" x14ac:dyDescent="0.25">
      <c r="A18" s="204"/>
      <c r="E18" s="215"/>
      <c r="L18" s="1474" t="s">
        <v>556</v>
      </c>
      <c r="R18" s="2602"/>
      <c r="S18" s="684"/>
      <c r="T18" s="684"/>
      <c r="U18" s="684"/>
      <c r="V18" s="684"/>
      <c r="W18" s="684"/>
      <c r="X18" s="685"/>
    </row>
    <row r="19" spans="1:24" ht="15" thickBot="1" x14ac:dyDescent="0.25">
      <c r="A19" s="204"/>
      <c r="L19" s="1475" t="s">
        <v>557</v>
      </c>
      <c r="M19" s="684"/>
      <c r="N19" s="684"/>
      <c r="O19" s="684"/>
      <c r="P19" s="684"/>
      <c r="Q19" s="684"/>
      <c r="R19" s="1955">
        <f>IF(AND('Allgemeine Angaben'!L4="",'Allgemeine Angaben'!D6="",'Allgemeine Angaben'!H52="",'Allgemeine Angaben'!L47="",'Allgemeine Angaben'!H45=""),0,1)</f>
        <v>0</v>
      </c>
    </row>
    <row r="20" spans="1:24" x14ac:dyDescent="0.2">
      <c r="A20" s="1072" t="s">
        <v>367</v>
      </c>
      <c r="B20" s="1073"/>
      <c r="C20" s="1073"/>
      <c r="D20" s="1073"/>
      <c r="E20" s="1073"/>
      <c r="F20" s="1073"/>
      <c r="G20" s="1073"/>
      <c r="H20" s="1074"/>
    </row>
    <row r="21" spans="1:24" ht="51" x14ac:dyDescent="0.2">
      <c r="A21" s="688" t="s">
        <v>365</v>
      </c>
      <c r="B21" s="654" t="s">
        <v>354</v>
      </c>
      <c r="C21" s="655" t="s">
        <v>357</v>
      </c>
      <c r="D21" s="654" t="s">
        <v>355</v>
      </c>
      <c r="E21" s="655" t="s">
        <v>358</v>
      </c>
      <c r="F21" s="654" t="s">
        <v>356</v>
      </c>
      <c r="G21" s="655" t="s">
        <v>359</v>
      </c>
      <c r="H21" s="679" t="s">
        <v>39</v>
      </c>
      <c r="R21" t="s">
        <v>672</v>
      </c>
    </row>
    <row r="22" spans="1:24" ht="15" x14ac:dyDescent="0.25">
      <c r="A22" s="689">
        <f>'Belegung_wö. Arbeitszeit'!D33</f>
        <v>0</v>
      </c>
      <c r="B22" s="491">
        <v>7.6999999999999999E-2</v>
      </c>
      <c r="C22" s="656">
        <f>$A22*B22</f>
        <v>0</v>
      </c>
      <c r="D22" s="491">
        <v>5.6399999999999999E-2</v>
      </c>
      <c r="E22" s="656">
        <f>$A22*D22</f>
        <v>0</v>
      </c>
      <c r="F22" s="491">
        <v>8.72E-2</v>
      </c>
      <c r="G22" s="656">
        <f>$A22*F22</f>
        <v>0</v>
      </c>
      <c r="H22" s="1141"/>
    </row>
    <row r="23" spans="1:24" ht="15" x14ac:dyDescent="0.25">
      <c r="A23" s="689">
        <f>'Belegung_wö. Arbeitszeit'!D34</f>
        <v>0</v>
      </c>
      <c r="B23" s="491">
        <v>0.1037</v>
      </c>
      <c r="C23" s="656">
        <f>$A23*B23</f>
        <v>0</v>
      </c>
      <c r="D23" s="491">
        <v>6.7500000000000004E-2</v>
      </c>
      <c r="E23" s="656">
        <f>$A23*D23</f>
        <v>0</v>
      </c>
      <c r="F23" s="491">
        <v>0.1202</v>
      </c>
      <c r="G23" s="656">
        <f>$A23*F23</f>
        <v>0</v>
      </c>
      <c r="H23" s="1141"/>
    </row>
    <row r="24" spans="1:24" ht="15" x14ac:dyDescent="0.25">
      <c r="A24" s="689">
        <f>'Belegung_wö. Arbeitszeit'!D35</f>
        <v>0</v>
      </c>
      <c r="B24" s="491">
        <v>0.15509999999999999</v>
      </c>
      <c r="C24" s="656">
        <f>$A24*B24</f>
        <v>0</v>
      </c>
      <c r="D24" s="491">
        <v>0.1074</v>
      </c>
      <c r="E24" s="656">
        <f>$A24*D24</f>
        <v>0</v>
      </c>
      <c r="F24" s="1391">
        <v>0.1449</v>
      </c>
      <c r="G24" s="656">
        <f>$A24*F24</f>
        <v>0</v>
      </c>
      <c r="H24" s="1141"/>
    </row>
    <row r="25" spans="1:24" ht="15" x14ac:dyDescent="0.25">
      <c r="A25" s="689">
        <f>'Belegung_wö. Arbeitszeit'!D36</f>
        <v>0</v>
      </c>
      <c r="B25" s="491">
        <v>0.24629999999999999</v>
      </c>
      <c r="C25" s="656">
        <f>$A25*B25</f>
        <v>0</v>
      </c>
      <c r="D25" s="491">
        <v>0.14130000000000001</v>
      </c>
      <c r="E25" s="656">
        <f>$A25*D25</f>
        <v>0</v>
      </c>
      <c r="F25" s="491">
        <v>0.16270000000000001</v>
      </c>
      <c r="G25" s="656">
        <f>$A25*F25</f>
        <v>0</v>
      </c>
      <c r="H25" s="1141"/>
    </row>
    <row r="26" spans="1:24" ht="15" x14ac:dyDescent="0.25">
      <c r="A26" s="689">
        <f>'Belegung_wö. Arbeitszeit'!D37</f>
        <v>0</v>
      </c>
      <c r="B26" s="491">
        <v>0.38419999999999999</v>
      </c>
      <c r="C26" s="656">
        <f>$A26*B26</f>
        <v>0</v>
      </c>
      <c r="D26" s="491">
        <v>0.11020000000000001</v>
      </c>
      <c r="E26" s="656">
        <f>$A26*D26</f>
        <v>0</v>
      </c>
      <c r="F26" s="491">
        <v>0.17580000000000001</v>
      </c>
      <c r="G26" s="656">
        <f>$A26*F26</f>
        <v>0</v>
      </c>
      <c r="H26" s="1141"/>
    </row>
    <row r="27" spans="1:24" ht="24" thickBot="1" x14ac:dyDescent="0.3">
      <c r="A27" s="690">
        <f>SUM(A22:A26)</f>
        <v>0</v>
      </c>
      <c r="B27" s="658" t="s">
        <v>360</v>
      </c>
      <c r="C27" s="657">
        <f>SUM(C22:C26)</f>
        <v>0</v>
      </c>
      <c r="D27" s="653"/>
      <c r="E27" s="657">
        <f>SUM(E22:E26)</f>
        <v>0</v>
      </c>
      <c r="F27" s="653"/>
      <c r="G27" s="657">
        <f>SUM(G22:G26)</f>
        <v>0</v>
      </c>
      <c r="H27" s="680">
        <f>SUM(C27:G27)</f>
        <v>0</v>
      </c>
    </row>
    <row r="28" spans="1:24" ht="15.75" thickTop="1" thickBot="1" x14ac:dyDescent="0.25">
      <c r="A28" s="683"/>
      <c r="B28" s="684"/>
      <c r="C28" s="684"/>
      <c r="D28" s="684"/>
      <c r="E28" s="684"/>
      <c r="F28" s="684"/>
      <c r="G28" s="684"/>
      <c r="H28" s="685"/>
    </row>
    <row r="29" spans="1:24" ht="15" thickBot="1" x14ac:dyDescent="0.25"/>
    <row r="30" spans="1:24" ht="14.25" customHeight="1" x14ac:dyDescent="0.2">
      <c r="A30" s="2607" t="s">
        <v>591</v>
      </c>
      <c r="B30" s="2608"/>
      <c r="C30" s="2608"/>
      <c r="D30" s="2608"/>
      <c r="E30" s="2608"/>
      <c r="F30" s="2608"/>
      <c r="G30" s="2608"/>
      <c r="H30" s="2608"/>
      <c r="I30" s="2608"/>
      <c r="J30" s="2608"/>
      <c r="K30" s="2609"/>
      <c r="L30" s="2603" t="s">
        <v>514</v>
      </c>
      <c r="M30" s="2604"/>
    </row>
    <row r="31" spans="1:24" ht="89.25" customHeight="1" x14ac:dyDescent="0.2">
      <c r="A31" s="1167"/>
      <c r="B31" s="1168" t="s">
        <v>366</v>
      </c>
      <c r="C31" s="1169" t="s">
        <v>354</v>
      </c>
      <c r="D31" s="1170" t="s">
        <v>506</v>
      </c>
      <c r="E31" s="1169" t="s">
        <v>355</v>
      </c>
      <c r="F31" s="1170" t="s">
        <v>507</v>
      </c>
      <c r="G31" s="1169" t="s">
        <v>356</v>
      </c>
      <c r="H31" s="1170" t="s">
        <v>508</v>
      </c>
      <c r="I31" s="2610" t="s">
        <v>512</v>
      </c>
      <c r="J31" s="2594" t="s">
        <v>405</v>
      </c>
      <c r="K31" s="2595"/>
      <c r="L31" s="2605"/>
      <c r="M31" s="2606"/>
    </row>
    <row r="32" spans="1:24" ht="33" customHeight="1" thickBot="1" x14ac:dyDescent="0.25">
      <c r="A32" s="681"/>
      <c r="B32" s="1132"/>
      <c r="C32" s="1132"/>
      <c r="D32" s="1164"/>
      <c r="E32" s="1165"/>
      <c r="F32" s="1165"/>
      <c r="G32" s="1165"/>
      <c r="H32" s="1166"/>
      <c r="I32" s="2611"/>
      <c r="J32" s="1782" t="s">
        <v>510</v>
      </c>
      <c r="K32" s="1153" t="s">
        <v>511</v>
      </c>
      <c r="L32" s="1781" t="s">
        <v>513</v>
      </c>
      <c r="M32" s="1159" t="s">
        <v>509</v>
      </c>
    </row>
    <row r="33" spans="1:13" x14ac:dyDescent="0.2">
      <c r="A33" s="686" t="s">
        <v>85</v>
      </c>
      <c r="B33" s="1145">
        <f>'Belegung_wö. Arbeitszeit'!E33</f>
        <v>0</v>
      </c>
      <c r="C33" s="1147">
        <v>7.6999999999999999E-2</v>
      </c>
      <c r="D33" s="1154">
        <f>C33*B33</f>
        <v>0</v>
      </c>
      <c r="E33" s="1163">
        <v>5.6399999999999999E-2</v>
      </c>
      <c r="F33" s="1154">
        <f>E33*B33</f>
        <v>0</v>
      </c>
      <c r="G33" s="1163">
        <v>8.72E-2</v>
      </c>
      <c r="H33" s="1154">
        <f>G33*B33</f>
        <v>0</v>
      </c>
      <c r="I33" s="1777">
        <f>H33+F33+D33</f>
        <v>0</v>
      </c>
      <c r="J33" s="1160" t="e">
        <f>I33*$J$38/$I$38</f>
        <v>#DIV/0!</v>
      </c>
      <c r="K33" s="1155">
        <f t="shared" ref="K33:K38" si="0">IFERROR(J33/$J$38,0)</f>
        <v>0</v>
      </c>
      <c r="L33" s="1776">
        <f>G33+E33+C33</f>
        <v>0.22060000000000002</v>
      </c>
      <c r="M33" s="1161">
        <f>ROUND(L33/L34,4)</f>
        <v>0.75700000000000001</v>
      </c>
    </row>
    <row r="34" spans="1:13" x14ac:dyDescent="0.2">
      <c r="A34" s="686" t="s">
        <v>86</v>
      </c>
      <c r="B34" s="1145">
        <f>'Belegung_wö. Arbeitszeit'!E34</f>
        <v>0</v>
      </c>
      <c r="C34" s="1147">
        <v>0.1037</v>
      </c>
      <c r="D34" s="1154">
        <f>C34*B34</f>
        <v>0</v>
      </c>
      <c r="E34" s="1147">
        <v>6.7500000000000004E-2</v>
      </c>
      <c r="F34" s="1154">
        <f>E34*B34</f>
        <v>0</v>
      </c>
      <c r="G34" s="1147">
        <v>0.1202</v>
      </c>
      <c r="H34" s="1154">
        <f>G34*B34</f>
        <v>0</v>
      </c>
      <c r="I34" s="1778">
        <f>H34+F34+D34</f>
        <v>0</v>
      </c>
      <c r="J34" s="1160" t="e">
        <f>I34*$J$38/$I$38</f>
        <v>#DIV/0!</v>
      </c>
      <c r="K34" s="1155">
        <f t="shared" si="0"/>
        <v>0</v>
      </c>
      <c r="L34" s="1776">
        <f>G34+E34+C34</f>
        <v>0.29139999999999999</v>
      </c>
      <c r="M34" s="1162"/>
    </row>
    <row r="35" spans="1:13" x14ac:dyDescent="0.2">
      <c r="A35" s="686" t="s">
        <v>87</v>
      </c>
      <c r="B35" s="1145">
        <f>'Belegung_wö. Arbeitszeit'!E35</f>
        <v>0</v>
      </c>
      <c r="C35" s="1147">
        <v>0.15509999999999999</v>
      </c>
      <c r="D35" s="1154">
        <f>C35*B35</f>
        <v>0</v>
      </c>
      <c r="E35" s="1147">
        <v>0.1074</v>
      </c>
      <c r="F35" s="1154">
        <f>E35*B35</f>
        <v>0</v>
      </c>
      <c r="G35" s="1390">
        <v>0.1449</v>
      </c>
      <c r="H35" s="1154">
        <f>G35*B35</f>
        <v>0</v>
      </c>
      <c r="I35" s="1778">
        <f>H35+F35+D35</f>
        <v>0</v>
      </c>
      <c r="J35" s="1160" t="e">
        <f>I35*$J$38/$I$38</f>
        <v>#DIV/0!</v>
      </c>
      <c r="K35" s="1155">
        <f t="shared" si="0"/>
        <v>0</v>
      </c>
      <c r="L35" s="1132"/>
      <c r="M35" s="1162"/>
    </row>
    <row r="36" spans="1:13" x14ac:dyDescent="0.2">
      <c r="A36" s="686" t="s">
        <v>88</v>
      </c>
      <c r="B36" s="1145">
        <f>'Belegung_wö. Arbeitszeit'!E36</f>
        <v>0</v>
      </c>
      <c r="C36" s="1147">
        <v>0.24629999999999999</v>
      </c>
      <c r="D36" s="1154">
        <f>C36*B36</f>
        <v>0</v>
      </c>
      <c r="E36" s="1147">
        <v>0.14130000000000001</v>
      </c>
      <c r="F36" s="1154">
        <f>E36*B36</f>
        <v>0</v>
      </c>
      <c r="G36" s="1147">
        <v>0.16270000000000001</v>
      </c>
      <c r="H36" s="1154">
        <f>G36*B36</f>
        <v>0</v>
      </c>
      <c r="I36" s="1778">
        <f>H36+F36+D36</f>
        <v>0</v>
      </c>
      <c r="J36" s="1160" t="e">
        <f>I36*$J$38/$I$38</f>
        <v>#DIV/0!</v>
      </c>
      <c r="K36" s="1155">
        <f t="shared" si="0"/>
        <v>0</v>
      </c>
      <c r="L36" s="1132"/>
      <c r="M36" s="1162"/>
    </row>
    <row r="37" spans="1:13" x14ac:dyDescent="0.2">
      <c r="A37" s="1148" t="s">
        <v>89</v>
      </c>
      <c r="B37" s="1149">
        <f>'Belegung_wö. Arbeitszeit'!E37</f>
        <v>0</v>
      </c>
      <c r="C37" s="1150">
        <v>0.38419999999999999</v>
      </c>
      <c r="D37" s="1154">
        <f>C37*B37</f>
        <v>0</v>
      </c>
      <c r="E37" s="1150">
        <v>0.11020000000000001</v>
      </c>
      <c r="F37" s="1154">
        <f>E37*B37</f>
        <v>0</v>
      </c>
      <c r="G37" s="1150">
        <v>0.17580000000000001</v>
      </c>
      <c r="H37" s="1154">
        <f>G37*B37</f>
        <v>0</v>
      </c>
      <c r="I37" s="1778">
        <f>H37+F37+D37</f>
        <v>0</v>
      </c>
      <c r="J37" s="1783" t="e">
        <f>I37*$J$38/$I$38</f>
        <v>#DIV/0!</v>
      </c>
      <c r="K37" s="1155">
        <f t="shared" si="0"/>
        <v>0</v>
      </c>
      <c r="L37" s="1132"/>
      <c r="M37" s="1162"/>
    </row>
    <row r="38" spans="1:13" ht="15" thickBot="1" x14ac:dyDescent="0.25">
      <c r="A38" s="687" t="s">
        <v>305</v>
      </c>
      <c r="B38" s="1151">
        <f>SUM(B33:B37)</f>
        <v>0</v>
      </c>
      <c r="C38" s="1152"/>
      <c r="D38" s="1152"/>
      <c r="E38" s="1152"/>
      <c r="F38" s="1152"/>
      <c r="G38" s="1152"/>
      <c r="H38" s="1152"/>
      <c r="I38" s="1779">
        <f>SUM(I33:I37)</f>
        <v>0</v>
      </c>
      <c r="J38" s="1784">
        <f>IFERROR(Personalaufwendungen!H25,0)</f>
        <v>0</v>
      </c>
      <c r="K38" s="1155">
        <f t="shared" si="0"/>
        <v>0</v>
      </c>
      <c r="L38" s="1132"/>
      <c r="M38" s="1162"/>
    </row>
    <row r="39" spans="1:13" ht="15.75" thickTop="1" thickBot="1" x14ac:dyDescent="0.25">
      <c r="A39" s="1156"/>
      <c r="B39" s="1157"/>
      <c r="C39" s="1157"/>
      <c r="D39" s="1157"/>
      <c r="E39" s="1157"/>
      <c r="F39" s="1157"/>
      <c r="G39" s="1157"/>
      <c r="H39" s="1157"/>
      <c r="I39" s="1780" t="s">
        <v>515</v>
      </c>
      <c r="J39" s="1785" t="e">
        <f>SUM(J33:J37)</f>
        <v>#DIV/0!</v>
      </c>
      <c r="K39" s="1158"/>
      <c r="L39" s="1157"/>
      <c r="M39" s="1158"/>
    </row>
    <row r="40" spans="1:13" ht="15" thickBot="1" x14ac:dyDescent="0.25">
      <c r="L40" s="1107"/>
    </row>
    <row r="41" spans="1:13" ht="14.25" customHeight="1" x14ac:dyDescent="0.2">
      <c r="A41" s="1197" t="s">
        <v>520</v>
      </c>
      <c r="B41" s="1198"/>
      <c r="C41" s="1857" t="s">
        <v>615</v>
      </c>
      <c r="D41" s="1198"/>
      <c r="E41" s="1198"/>
      <c r="F41" s="1198"/>
      <c r="G41" s="1198"/>
      <c r="H41" s="1199"/>
      <c r="I41" s="1199"/>
      <c r="J41" s="1200"/>
      <c r="K41" s="1852"/>
      <c r="L41" s="1853"/>
      <c r="M41" s="1854"/>
    </row>
    <row r="42" spans="1:13" ht="34.5" customHeight="1" x14ac:dyDescent="0.2">
      <c r="A42" s="2590" t="s">
        <v>518</v>
      </c>
      <c r="B42" s="2591"/>
      <c r="C42" s="2591"/>
      <c r="D42" s="2591"/>
      <c r="E42" s="2591"/>
      <c r="F42" s="2591"/>
      <c r="G42" s="2591"/>
      <c r="H42" s="2592"/>
      <c r="I42" s="2596"/>
      <c r="J42" s="2593"/>
      <c r="L42" s="1835"/>
      <c r="M42" s="682"/>
    </row>
    <row r="43" spans="1:13" ht="27.75" customHeight="1" x14ac:dyDescent="0.2">
      <c r="A43" s="1187"/>
      <c r="B43" s="912" t="s">
        <v>85</v>
      </c>
      <c r="C43" s="912" t="s">
        <v>86</v>
      </c>
      <c r="D43" s="912" t="s">
        <v>87</v>
      </c>
      <c r="E43" s="912" t="s">
        <v>88</v>
      </c>
      <c r="F43" s="913" t="s">
        <v>89</v>
      </c>
      <c r="G43" s="1800" t="s">
        <v>599</v>
      </c>
      <c r="H43" s="2592"/>
      <c r="I43" s="2596"/>
      <c r="J43" s="2593"/>
      <c r="K43" t="s">
        <v>600</v>
      </c>
      <c r="L43" t="s">
        <v>598</v>
      </c>
      <c r="M43" s="682"/>
    </row>
    <row r="44" spans="1:13" x14ac:dyDescent="0.2">
      <c r="A44" s="1188" t="s">
        <v>519</v>
      </c>
      <c r="B44" s="1795">
        <v>0</v>
      </c>
      <c r="C44" s="1795">
        <v>3</v>
      </c>
      <c r="D44" s="1795">
        <v>0</v>
      </c>
      <c r="E44" s="1795">
        <v>0</v>
      </c>
      <c r="F44" s="1795">
        <v>0</v>
      </c>
      <c r="G44" s="1836">
        <f>SUM(B44:F44)</f>
        <v>3</v>
      </c>
      <c r="H44" s="1837"/>
      <c r="I44" s="1796"/>
      <c r="J44" s="1796"/>
      <c r="K44" s="1807">
        <f>G44/L44</f>
        <v>1.0830324909747293</v>
      </c>
      <c r="L44" s="1808">
        <v>2.77</v>
      </c>
      <c r="M44" s="1855" t="s">
        <v>597</v>
      </c>
    </row>
    <row r="45" spans="1:13" ht="25.5" x14ac:dyDescent="0.2">
      <c r="A45" s="1189" t="s">
        <v>391</v>
      </c>
      <c r="B45" s="1185">
        <v>7.6999999999999999E-2</v>
      </c>
      <c r="C45" s="1185">
        <v>0.1037</v>
      </c>
      <c r="D45" s="1185">
        <v>0.15509999999999999</v>
      </c>
      <c r="E45" s="1185">
        <v>0.24629999999999999</v>
      </c>
      <c r="F45" s="1185">
        <v>0.38419999999999999</v>
      </c>
      <c r="G45" s="897"/>
      <c r="H45" s="1837"/>
      <c r="I45" s="1838"/>
      <c r="J45" s="1796"/>
      <c r="L45" s="1839" t="s">
        <v>614</v>
      </c>
      <c r="M45" s="682" t="s">
        <v>614</v>
      </c>
    </row>
    <row r="46" spans="1:13" x14ac:dyDescent="0.2">
      <c r="A46" s="1190" t="s">
        <v>521</v>
      </c>
      <c r="B46" s="1840">
        <f>B45*B44</f>
        <v>0</v>
      </c>
      <c r="C46" s="1840">
        <f>C45*C44</f>
        <v>0.31109999999999999</v>
      </c>
      <c r="D46" s="1840">
        <f>D45*D44</f>
        <v>0</v>
      </c>
      <c r="E46" s="1840">
        <f>E45*E44</f>
        <v>0</v>
      </c>
      <c r="F46" s="1840">
        <f>F45*F44</f>
        <v>0</v>
      </c>
      <c r="G46" s="1841">
        <f>SUM(B46:F46)</f>
        <v>0.31109999999999999</v>
      </c>
      <c r="H46" s="1842"/>
      <c r="I46" s="1842"/>
      <c r="J46" s="1797"/>
      <c r="K46" t="e">
        <f>G46*L46</f>
        <v>#VALUE!</v>
      </c>
      <c r="L46" s="1843" t="str">
        <f>Forderung!M22</f>
        <v/>
      </c>
      <c r="M46" s="1856"/>
    </row>
    <row r="47" spans="1:13" ht="25.5" x14ac:dyDescent="0.2">
      <c r="A47" s="1189" t="s">
        <v>393</v>
      </c>
      <c r="B47" s="1146">
        <v>5.6399999999999999E-2</v>
      </c>
      <c r="C47" s="1146">
        <v>6.7500000000000004E-2</v>
      </c>
      <c r="D47" s="1146">
        <v>0.1074</v>
      </c>
      <c r="E47" s="1146">
        <v>0.14130000000000001</v>
      </c>
      <c r="F47" s="1146">
        <v>0.11020000000000001</v>
      </c>
      <c r="G47" s="1844"/>
      <c r="H47" s="1845"/>
      <c r="I47" s="1846"/>
      <c r="J47" s="1798"/>
      <c r="L47" s="1839"/>
      <c r="M47" s="682"/>
    </row>
    <row r="48" spans="1:13" x14ac:dyDescent="0.2">
      <c r="A48" s="1190" t="s">
        <v>522</v>
      </c>
      <c r="B48" s="1847">
        <f>B47*B44</f>
        <v>0</v>
      </c>
      <c r="C48" s="1847">
        <f>C47*C44</f>
        <v>0.20250000000000001</v>
      </c>
      <c r="D48" s="1847">
        <f>D47*D44</f>
        <v>0</v>
      </c>
      <c r="E48" s="1847">
        <f>E47*E44</f>
        <v>0</v>
      </c>
      <c r="F48" s="1847">
        <f>F47*F44</f>
        <v>0</v>
      </c>
      <c r="G48" s="1848">
        <f>SUM(B48:F48)</f>
        <v>0.20250000000000001</v>
      </c>
      <c r="H48" s="1842"/>
      <c r="I48" s="1842"/>
      <c r="J48" s="1797"/>
      <c r="K48" t="e">
        <f>G48*L48</f>
        <v>#VALUE!</v>
      </c>
      <c r="L48" s="1843" t="str">
        <f>Forderung!M23</f>
        <v/>
      </c>
      <c r="M48" s="1856"/>
    </row>
    <row r="49" spans="1:14" ht="25.5" x14ac:dyDescent="0.2">
      <c r="A49" s="1189" t="s">
        <v>394</v>
      </c>
      <c r="B49" s="1146">
        <v>8.72E-2</v>
      </c>
      <c r="C49" s="1146">
        <v>0.1202</v>
      </c>
      <c r="D49" s="1392">
        <v>0.1449</v>
      </c>
      <c r="E49" s="1146">
        <v>0.16270000000000001</v>
      </c>
      <c r="F49" s="1146">
        <v>0.17580000000000001</v>
      </c>
      <c r="G49" s="1849"/>
      <c r="H49" s="1845"/>
      <c r="I49" s="1850"/>
      <c r="J49" s="1798"/>
      <c r="L49" s="1839"/>
      <c r="M49" s="682"/>
    </row>
    <row r="50" spans="1:14" ht="15.75" customHeight="1" x14ac:dyDescent="0.2">
      <c r="A50" s="1190" t="s">
        <v>523</v>
      </c>
      <c r="B50" s="1847">
        <f>B49*B44</f>
        <v>0</v>
      </c>
      <c r="C50" s="1847">
        <f>C49*C44</f>
        <v>0.36060000000000003</v>
      </c>
      <c r="D50" s="1847">
        <f>D49*D44</f>
        <v>0</v>
      </c>
      <c r="E50" s="1847">
        <f>E49*E44</f>
        <v>0</v>
      </c>
      <c r="F50" s="1847">
        <f>F49*F44</f>
        <v>0</v>
      </c>
      <c r="G50" s="1848">
        <f>SUM(B50:F50)</f>
        <v>0.36060000000000003</v>
      </c>
      <c r="H50" s="1842"/>
      <c r="I50" s="1842"/>
      <c r="J50" s="1797"/>
      <c r="K50">
        <f>G50*L50</f>
        <v>0.58272960000000007</v>
      </c>
      <c r="L50" s="1843">
        <v>1.6160000000000001</v>
      </c>
      <c r="M50" s="1856"/>
    </row>
    <row r="51" spans="1:14" ht="15" thickBot="1" x14ac:dyDescent="0.25">
      <c r="A51" s="1191" t="s">
        <v>305</v>
      </c>
      <c r="B51" s="1186"/>
      <c r="C51" s="1186"/>
      <c r="D51" s="1186"/>
      <c r="E51" s="1186"/>
      <c r="F51" s="1186"/>
      <c r="G51" s="1799">
        <f>SUM(G46:G50)</f>
        <v>0.87420000000000009</v>
      </c>
      <c r="H51" s="1842"/>
      <c r="I51" s="1842"/>
      <c r="J51" s="1796"/>
      <c r="L51" s="1839"/>
      <c r="M51" s="682"/>
    </row>
    <row r="52" spans="1:14" ht="15.75" thickTop="1" thickBot="1" x14ac:dyDescent="0.25">
      <c r="A52" s="1192"/>
      <c r="B52" s="1193"/>
      <c r="C52" s="1193"/>
      <c r="D52" s="1193"/>
      <c r="E52" s="1193"/>
      <c r="F52" s="1193"/>
      <c r="G52" s="1194"/>
      <c r="H52" s="1195"/>
      <c r="I52" s="1196"/>
      <c r="J52" s="685"/>
      <c r="K52" s="1801" t="e">
        <f>SUM(K46:K50)</f>
        <v>#VALUE!</v>
      </c>
      <c r="L52" s="1839"/>
      <c r="M52" s="682"/>
    </row>
    <row r="53" spans="1:14" ht="15" thickBot="1" x14ac:dyDescent="0.25">
      <c r="A53" s="683"/>
      <c r="B53" s="684"/>
      <c r="C53" s="684"/>
      <c r="D53" s="684"/>
      <c r="E53" s="684"/>
      <c r="F53" s="684"/>
      <c r="G53" s="684"/>
      <c r="H53" s="684"/>
      <c r="I53" s="684"/>
      <c r="J53" s="684"/>
      <c r="K53" s="684" t="s">
        <v>601</v>
      </c>
      <c r="L53" s="684"/>
      <c r="M53" s="685"/>
    </row>
    <row r="54" spans="1:14" x14ac:dyDescent="0.2">
      <c r="K54" s="1851" t="e">
        <f>K44-K52</f>
        <v>#VALUE!</v>
      </c>
      <c r="L54" s="1851" t="s">
        <v>602</v>
      </c>
      <c r="M54" s="1851"/>
      <c r="N54" s="1851"/>
    </row>
    <row r="55" spans="1:14" ht="15" x14ac:dyDescent="0.25">
      <c r="A55" s="213" t="s">
        <v>1160</v>
      </c>
    </row>
    <row r="56" spans="1:14" x14ac:dyDescent="0.2">
      <c r="K56" s="2" t="s">
        <v>603</v>
      </c>
    </row>
    <row r="57" spans="1:14" x14ac:dyDescent="0.2">
      <c r="A57" s="2153" t="s">
        <v>1153</v>
      </c>
      <c r="B57" s="2154"/>
      <c r="C57" s="2154"/>
      <c r="D57" s="2173"/>
      <c r="E57" s="2155"/>
    </row>
    <row r="58" spans="1:14" x14ac:dyDescent="0.2">
      <c r="A58" s="2156" t="s">
        <v>281</v>
      </c>
      <c r="B58" s="2156" t="s">
        <v>282</v>
      </c>
      <c r="C58" s="2156" t="s">
        <v>331</v>
      </c>
      <c r="D58" s="2174" t="s">
        <v>385</v>
      </c>
      <c r="E58" s="2155"/>
    </row>
    <row r="59" spans="1:14" x14ac:dyDescent="0.2">
      <c r="A59" s="2157">
        <v>1</v>
      </c>
      <c r="B59" s="2158">
        <v>40</v>
      </c>
      <c r="C59" s="2159">
        <v>0.75</v>
      </c>
      <c r="D59" s="2175">
        <f>IF('Allgemeine Angaben'!L47&lt;A60,C59,IF('Allgemeine Angaben'!L47&lt;A61,C60,IF('Allgemeine Angaben'!L47&lt;A62,C61,C62)))</f>
        <v>0.75</v>
      </c>
      <c r="E59" s="2160"/>
      <c r="F59" s="765"/>
    </row>
    <row r="60" spans="1:14" x14ac:dyDescent="0.2">
      <c r="A60" s="2157">
        <v>41</v>
      </c>
      <c r="B60" s="2161">
        <v>80</v>
      </c>
      <c r="C60" s="2162">
        <v>1</v>
      </c>
      <c r="D60" s="2174"/>
      <c r="E60" s="2155"/>
    </row>
    <row r="61" spans="1:14" x14ac:dyDescent="0.2">
      <c r="A61" s="2157">
        <v>81</v>
      </c>
      <c r="B61" s="2161">
        <v>150</v>
      </c>
      <c r="C61" s="2162">
        <v>1.5</v>
      </c>
      <c r="D61" s="2174"/>
      <c r="E61" s="2155"/>
    </row>
    <row r="62" spans="1:14" x14ac:dyDescent="0.2">
      <c r="A62" s="2163">
        <v>151</v>
      </c>
      <c r="B62" s="2164"/>
      <c r="C62" s="2165">
        <v>2</v>
      </c>
      <c r="D62" s="2176"/>
      <c r="E62" s="2155"/>
    </row>
    <row r="63" spans="1:14" x14ac:dyDescent="0.2">
      <c r="A63" s="2155"/>
      <c r="B63" s="2155"/>
      <c r="C63" s="2155"/>
      <c r="D63" s="2155"/>
      <c r="E63" s="2155"/>
    </row>
    <row r="64" spans="1:14" x14ac:dyDescent="0.2">
      <c r="A64" s="2155" t="s">
        <v>1109</v>
      </c>
      <c r="B64" s="2155"/>
      <c r="C64" s="2155"/>
      <c r="D64" s="2155"/>
      <c r="E64" s="2155"/>
    </row>
    <row r="65" spans="1:5" x14ac:dyDescent="0.2">
      <c r="A65" s="2155"/>
      <c r="B65" s="2166"/>
      <c r="C65" s="2155"/>
      <c r="D65" s="2155"/>
      <c r="E65" s="2155"/>
    </row>
    <row r="66" spans="1:5" x14ac:dyDescent="0.2">
      <c r="A66" s="2155" t="s">
        <v>1108</v>
      </c>
      <c r="B66" s="2155"/>
      <c r="C66" s="2155"/>
      <c r="D66" s="2170">
        <v>7.0000000000000007E-2</v>
      </c>
      <c r="E66" s="2155"/>
    </row>
    <row r="67" spans="1:5" x14ac:dyDescent="0.2">
      <c r="A67" s="2155" t="s">
        <v>1110</v>
      </c>
      <c r="B67" s="2155"/>
      <c r="C67" s="2155"/>
      <c r="D67" s="2171">
        <v>94500</v>
      </c>
      <c r="E67" s="2155" t="s">
        <v>1111</v>
      </c>
    </row>
    <row r="68" spans="1:5" x14ac:dyDescent="0.2">
      <c r="A68" s="2155"/>
      <c r="B68" s="2155"/>
      <c r="C68" s="2155"/>
      <c r="D68" s="2155"/>
      <c r="E68" s="2155"/>
    </row>
    <row r="69" spans="1:5" ht="15" x14ac:dyDescent="0.25">
      <c r="A69" s="2177" t="s">
        <v>375</v>
      </c>
      <c r="C69" s="763"/>
      <c r="D69" s="763"/>
    </row>
    <row r="70" spans="1:5" x14ac:dyDescent="0.2">
      <c r="A70" s="2172" t="s">
        <v>161</v>
      </c>
      <c r="B70" s="764" t="s">
        <v>376</v>
      </c>
    </row>
    <row r="73" spans="1:5" ht="15" x14ac:dyDescent="0.25">
      <c r="A73" s="213"/>
      <c r="B73" s="213"/>
      <c r="C73" s="213"/>
      <c r="D73" s="213"/>
    </row>
  </sheetData>
  <sheetProtection algorithmName="SHA-512" hashValue="1dltmRIcmLTeMl2LuPsHp1JOLycIhQ98uXKz4DQjpwzeNyTUjj9YcPZbpaonZnnUGCydyYYQNiZdH/rhvZg11A==" saltValue="vM68VvHG1UjZN4mLO79zkg==" spinCount="100000" sheet="1" objects="1" scenarios="1" selectLockedCells="1"/>
  <mergeCells count="11">
    <mergeCell ref="S1:S2"/>
    <mergeCell ref="T2:W2"/>
    <mergeCell ref="R17:R18"/>
    <mergeCell ref="L30:M31"/>
    <mergeCell ref="A30:K30"/>
    <mergeCell ref="I31:I32"/>
    <mergeCell ref="A42:G42"/>
    <mergeCell ref="H42:H43"/>
    <mergeCell ref="J42:J43"/>
    <mergeCell ref="J31:K31"/>
    <mergeCell ref="I42:I43"/>
  </mergeCells>
  <phoneticPr fontId="87" type="noConversion"/>
  <dataValidations disablePrompts="1" count="1">
    <dataValidation type="list" allowBlank="1" showInputMessage="1" showErrorMessage="1" sqref="A70" xr:uid="{00000000-0002-0000-0800-000000000000}">
      <formula1>"ja,nein"</formula1>
    </dataValidation>
  </dataValidations>
  <pageMargins left="0.70866141732283472" right="0.70866141732283472" top="0.78740157480314965" bottom="0.78740157480314965" header="0.31496062992125984" footer="0.31496062992125984"/>
  <pageSetup paperSize="9" orientation="portrait"/>
  <headerFooter>
    <oddFooter>&amp;L&amp;9Version 24.04.2026&amp;C&amp;9Verhandlungsunterlagen vollstationär SGB XI ab 01.07.2026&amp;11
&amp;1#&amp;"Calibri,Standard"&amp;10&amp;K000000 &amp;R&amp;9PSK vom 24.04. 2026</oddFooter>
  </headerFooter>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19</vt:i4>
      </vt:variant>
    </vt:vector>
  </HeadingPairs>
  <TitlesOfParts>
    <vt:vector size="34" baseType="lpstr">
      <vt:lpstr>Allgemeine Hinweise</vt:lpstr>
      <vt:lpstr>Allgemeine Angaben</vt:lpstr>
      <vt:lpstr>Belegung_wö. Arbeitszeit</vt:lpstr>
      <vt:lpstr>Personalkostenaufstellung</vt:lpstr>
      <vt:lpstr>Personalaufwendungen</vt:lpstr>
      <vt:lpstr>Sachaufwendungen</vt:lpstr>
      <vt:lpstr>Forderung</vt:lpstr>
      <vt:lpstr>Versionsinfo</vt:lpstr>
      <vt:lpstr>KAT</vt:lpstr>
      <vt:lpstr>Gesamtkalkulation </vt:lpstr>
      <vt:lpstr>Bewohnervertretung</vt:lpstr>
      <vt:lpstr>Hinweise Sachaufwendungen</vt:lpstr>
      <vt:lpstr>Adressverzeichnis</vt:lpstr>
      <vt:lpstr>Verknüpfungstabelle</vt:lpstr>
      <vt:lpstr>Tabelle für VP</vt:lpstr>
      <vt:lpstr>divisor</vt:lpstr>
      <vt:lpstr>Adressverzeichnis!Druckbereich</vt:lpstr>
      <vt:lpstr>'Allgemeine Angaben'!Druckbereich</vt:lpstr>
      <vt:lpstr>'Allgemeine Hinweise'!Druckbereich</vt:lpstr>
      <vt:lpstr>'Belegung_wö. Arbeitszeit'!Druckbereich</vt:lpstr>
      <vt:lpstr>Bewohnervertretung!Druckbereich</vt:lpstr>
      <vt:lpstr>Forderung!Druckbereich</vt:lpstr>
      <vt:lpstr>'Gesamtkalkulation '!Druckbereich</vt:lpstr>
      <vt:lpstr>'Hinweise Sachaufwendungen'!Druckbereich</vt:lpstr>
      <vt:lpstr>KAT!Druckbereich</vt:lpstr>
      <vt:lpstr>Personalaufwendungen!Druckbereich</vt:lpstr>
      <vt:lpstr>Personalkostenaufstellung!Druckbereich</vt:lpstr>
      <vt:lpstr>Sachaufwendungen!Druckbereich</vt:lpstr>
      <vt:lpstr>Versionsinfo!Druckbereich</vt:lpstr>
      <vt:lpstr>'Hinweise Sachaufwendungen'!Drucktitel</vt:lpstr>
      <vt:lpstr>Versionsinfo!Drucktitel</vt:lpstr>
      <vt:lpstr>eeadivisor</vt:lpstr>
      <vt:lpstr>pnk</vt:lpstr>
      <vt:lpstr>risiko</vt:lpstr>
    </vt:vector>
  </TitlesOfParts>
  <Company>AOK PLUS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Antragsunterlagen für Entgeltverhandlungen vollstationäre Pflege</dc:title>
  <dc:subject>Antragsunterlagen für Entgeltverhandlungen vollstationäre Pflege</dc:subject>
  <dc:creator>AOK PLUS - Die Gesundheitskasse für Sachsen und Thüringen</dc:creator>
  <cp:lastPrinted>2026-04-27T08:11:12Z</cp:lastPrinted>
  <dcterms:created xsi:type="dcterms:W3CDTF">2012-08-21T12:23:19Z</dcterms:created>
  <dcterms:modified xsi:type="dcterms:W3CDTF">2026-05-18T09:42:09Z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f72c9e-ff9b-4d29-a8be-f698af1f1989_Enabled">
    <vt:lpwstr>true</vt:lpwstr>
  </property>
  <property fmtid="{D5CDD505-2E9C-101B-9397-08002B2CF9AE}" pid="3" name="MSIP_Label_94f72c9e-ff9b-4d29-a8be-f698af1f1989_SetDate">
    <vt:lpwstr>2024-11-22T09:31:23Z</vt:lpwstr>
  </property>
  <property fmtid="{D5CDD505-2E9C-101B-9397-08002B2CF9AE}" pid="4" name="MSIP_Label_94f72c9e-ff9b-4d29-a8be-f698af1f1989_Method">
    <vt:lpwstr>Privileged</vt:lpwstr>
  </property>
  <property fmtid="{D5CDD505-2E9C-101B-9397-08002B2CF9AE}" pid="5" name="MSIP_Label_94f72c9e-ff9b-4d29-a8be-f698af1f1989_Name">
    <vt:lpwstr>öffentlich</vt:lpwstr>
  </property>
  <property fmtid="{D5CDD505-2E9C-101B-9397-08002B2CF9AE}" pid="6" name="MSIP_Label_94f72c9e-ff9b-4d29-a8be-f698af1f1989_SiteId">
    <vt:lpwstr>f5342d95-aa7e-460f-b3ed-51b1514dd06a</vt:lpwstr>
  </property>
  <property fmtid="{D5CDD505-2E9C-101B-9397-08002B2CF9AE}" pid="7" name="MSIP_Label_94f72c9e-ff9b-4d29-a8be-f698af1f1989_ActionId">
    <vt:lpwstr>252afa2a-33ef-480e-9129-5d5596cec5e0</vt:lpwstr>
  </property>
  <property fmtid="{D5CDD505-2E9C-101B-9397-08002B2CF9AE}" pid="8" name="MSIP_Label_94f72c9e-ff9b-4d29-a8be-f698af1f1989_ContentBits">
    <vt:lpwstr>2</vt:lpwstr>
  </property>
</Properties>
</file>