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R:\G\PFST\_ALL\Performance_Steuerung\05_Gesundheitspartnerportal\B Pflege_HKP\"/>
    </mc:Choice>
  </mc:AlternateContent>
  <xr:revisionPtr revIDLastSave="0" documentId="8_{DF9C4454-04BC-4360-AA79-D77C768576E8}" xr6:coauthVersionLast="47" xr6:coauthVersionMax="47" xr10:uidLastSave="{00000000-0000-0000-0000-000000000000}"/>
  <workbookProtection workbookAlgorithmName="SHA-512" workbookHashValue="IKjFGpJtbPSxxeqA7FOmDihdmsTcDa48Uo0prLZpuim4ae4e8fzs5PVkeCEh0YtdSguvhYy2BhmCggFY3dt7Eg==" workbookSaltValue="yRkwSAc0kw68gJV/KaItBQ==" workbookSpinCount="100000" lockStructure="1"/>
  <bookViews>
    <workbookView xWindow="-108" yWindow="-108" windowWidth="23256" windowHeight="12456" tabRatio="783" firstSheet="2" activeTab="2" xr2:uid="{00000000-000D-0000-FFFF-FFFF00000000}"/>
  </bookViews>
  <sheets>
    <sheet name="B_TP_VERSIONSINFO" sheetId="19" state="hidden" r:id="rId1"/>
    <sheet name="KAT" sheetId="9" state="hidden" r:id="rId2"/>
    <sheet name="B_TP_Hinweise" sheetId="17" r:id="rId3"/>
    <sheet name="B_TP_Allgemeine Angaben" sheetId="1" r:id="rId4"/>
    <sheet name="B_TP_Kalkulation" sheetId="16" r:id="rId5"/>
    <sheet name="B_TP_Ergebnis" sheetId="26" r:id="rId6"/>
    <sheet name="B_TP_Gesamtkalkulation" sheetId="7" r:id="rId7"/>
    <sheet name="B3_Ergebnis (alt)" sheetId="20" state="hidden" r:id="rId8"/>
    <sheet name="Adressverzeichnis" sheetId="25" r:id="rId9"/>
    <sheet name="Archiv" sheetId="24" state="hidden" r:id="rId10"/>
  </sheets>
  <definedNames>
    <definedName name="_xlnm.Print_Area" localSheetId="8">Adressverzeichnis!$A$1:$I$61</definedName>
    <definedName name="_xlnm.Print_Area" localSheetId="3">'B_TP_Allgemeine Angaben'!$A$1:$N$79</definedName>
    <definedName name="_xlnm.Print_Area" localSheetId="5">B_TP_Ergebnis!$A$1:$O$93</definedName>
    <definedName name="_xlnm.Print_Area" localSheetId="6">B_TP_Gesamtkalkulation!$A$1:$W$54</definedName>
    <definedName name="_xlnm.Print_Area" localSheetId="2">B_TP_Hinweise!$A$1:$G$72</definedName>
    <definedName name="_xlnm.Print_Area" localSheetId="4">B_TP_Kalkulation!$A$1:$R$68</definedName>
    <definedName name="_xlnm.Print_Area" localSheetId="0">B_TP_VERSIONSINFO!$A$1:$E$91</definedName>
    <definedName name="_xlnm.Print_Titles" localSheetId="0">B_TP_VERSIONSINFO!$5:$5</definedName>
    <definedName name="Z_9119B1A0_FD79_4FE4_B78E_10E0AEB8080B_.wvu.PrintArea" localSheetId="5" hidden="1">B_TP_Ergebnis!$A$1:$O$93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2" i="16" l="1"/>
  <c r="C61" i="17"/>
  <c r="G61" i="17"/>
  <c r="E61" i="16"/>
  <c r="D15" i="16"/>
  <c r="E15" i="16"/>
  <c r="C15" i="16"/>
  <c r="A3" i="1"/>
  <c r="F34" i="26"/>
  <c r="I38" i="26" l="1"/>
  <c r="I36" i="26"/>
  <c r="F49" i="26"/>
  <c r="I30" i="26"/>
  <c r="I31" i="26"/>
  <c r="I32" i="26"/>
  <c r="I33" i="26"/>
  <c r="I29" i="26"/>
  <c r="F8" i="26" l="1"/>
  <c r="F7" i="26"/>
  <c r="F6" i="26"/>
  <c r="I11" i="26" l="1"/>
  <c r="F11" i="26"/>
  <c r="C9" i="26"/>
  <c r="B8" i="26"/>
  <c r="B6" i="20"/>
  <c r="B7" i="20"/>
  <c r="B8" i="20"/>
  <c r="B7" i="26"/>
  <c r="B6" i="26"/>
  <c r="N3" i="26"/>
  <c r="A1" i="26"/>
  <c r="L47" i="16"/>
  <c r="I51" i="16"/>
  <c r="I59" i="26" s="1"/>
  <c r="I50" i="16"/>
  <c r="I58" i="26" s="1"/>
  <c r="L28" i="16" l="1"/>
  <c r="J49" i="26" s="1"/>
  <c r="L29" i="16"/>
  <c r="L23" i="16"/>
  <c r="J36" i="26" s="1"/>
  <c r="L24" i="16"/>
  <c r="J40" i="26" s="1"/>
  <c r="L25" i="16"/>
  <c r="J42" i="26" s="1"/>
  <c r="L26" i="16"/>
  <c r="J44" i="26" s="1"/>
  <c r="L27" i="16"/>
  <c r="J46" i="26" s="1"/>
  <c r="L22" i="16"/>
  <c r="J28" i="26" s="1"/>
  <c r="L49" i="26" l="1"/>
  <c r="J38" i="26"/>
  <c r="L10" i="16"/>
  <c r="I14" i="16"/>
  <c r="F17" i="26" s="1"/>
  <c r="J14" i="16"/>
  <c r="F18" i="26" s="1"/>
  <c r="K14" i="16"/>
  <c r="F19" i="26" s="1"/>
  <c r="L14" i="16"/>
  <c r="F20" i="26" s="1"/>
  <c r="H14" i="16"/>
  <c r="F16" i="26" s="1"/>
  <c r="K92" i="9"/>
  <c r="E90" i="9" a="1"/>
  <c r="E90" i="9" s="1"/>
  <c r="E94" i="9" s="1"/>
  <c r="D98" i="9"/>
  <c r="K71" i="1"/>
  <c r="M92" i="9" l="1"/>
  <c r="L92" i="9"/>
  <c r="E93" i="9"/>
  <c r="E92" i="9"/>
  <c r="E98" i="9"/>
  <c r="E99" i="9"/>
  <c r="E96" i="9"/>
  <c r="E95" i="9"/>
  <c r="E91" i="9"/>
  <c r="E39" i="25" l="1"/>
  <c r="E34" i="25"/>
  <c r="E27" i="25"/>
  <c r="E21" i="25"/>
  <c r="E16" i="25"/>
  <c r="E12" i="25"/>
  <c r="E7" i="25"/>
  <c r="E53" i="25"/>
  <c r="K59" i="1" l="1"/>
  <c r="K93" i="9" l="1"/>
  <c r="L93" i="9" s="1"/>
  <c r="J93" i="9"/>
  <c r="J92" i="9"/>
  <c r="L32" i="16"/>
  <c r="M93" i="9" l="1"/>
  <c r="N94" i="9" s="1"/>
  <c r="J94" i="9"/>
  <c r="K60" i="16" s="1"/>
  <c r="I37" i="20"/>
  <c r="H37" i="20"/>
  <c r="G37" i="20"/>
  <c r="F37" i="20"/>
  <c r="E37" i="20"/>
  <c r="C37" i="20"/>
  <c r="B37" i="20"/>
  <c r="B35" i="20"/>
  <c r="L34" i="20"/>
  <c r="K34" i="20"/>
  <c r="J34" i="20"/>
  <c r="I34" i="20"/>
  <c r="H34" i="20"/>
  <c r="G34" i="20"/>
  <c r="F34" i="20"/>
  <c r="E34" i="20"/>
  <c r="D34" i="20"/>
  <c r="C34" i="20"/>
  <c r="B34" i="20"/>
  <c r="I32" i="20"/>
  <c r="C32" i="20"/>
  <c r="B32" i="20"/>
  <c r="I27" i="20"/>
  <c r="H27" i="20"/>
  <c r="C27" i="20"/>
  <c r="H23" i="20"/>
  <c r="G23" i="20"/>
  <c r="F23" i="20"/>
  <c r="E23" i="20"/>
  <c r="D23" i="20"/>
  <c r="C23" i="20"/>
  <c r="C18" i="20"/>
  <c r="D18" i="20"/>
  <c r="E18" i="20"/>
  <c r="F18" i="20"/>
  <c r="G18" i="20"/>
  <c r="H15" i="20"/>
  <c r="F15" i="20"/>
  <c r="G13" i="20"/>
  <c r="G12" i="20"/>
  <c r="G11" i="20"/>
  <c r="G7" i="20"/>
  <c r="G8" i="20"/>
  <c r="G6" i="20"/>
  <c r="G5" i="20"/>
  <c r="B13" i="20"/>
  <c r="B12" i="20"/>
  <c r="B11" i="20"/>
  <c r="C9" i="20"/>
  <c r="A1" i="7"/>
  <c r="A1" i="20"/>
  <c r="L49" i="16"/>
  <c r="L50" i="16"/>
  <c r="L51" i="16"/>
  <c r="L48" i="16"/>
  <c r="L46" i="16"/>
  <c r="C38" i="20" s="1"/>
  <c r="L45" i="16"/>
  <c r="B38" i="20" s="1"/>
  <c r="L33" i="16"/>
  <c r="C35" i="20" s="1"/>
  <c r="L34" i="16"/>
  <c r="D35" i="20" s="1"/>
  <c r="L94" i="9" l="1"/>
  <c r="L16" i="16" s="1"/>
  <c r="L42" i="20" s="1"/>
  <c r="L17" i="16"/>
  <c r="H38" i="20"/>
  <c r="G38" i="20"/>
  <c r="F38" i="20"/>
  <c r="E38" i="20"/>
  <c r="L35" i="16"/>
  <c r="E35" i="20" s="1"/>
  <c r="L36" i="16" l="1"/>
  <c r="F35" i="20" l="1"/>
  <c r="L37" i="16"/>
  <c r="G35" i="20" s="1"/>
  <c r="L38" i="16" l="1"/>
  <c r="H35" i="20" s="1"/>
  <c r="L39" i="16" l="1"/>
  <c r="I35" i="20" l="1"/>
  <c r="L41" i="16"/>
  <c r="K35" i="20" s="1"/>
  <c r="L40" i="16"/>
  <c r="J35" i="20" s="1"/>
  <c r="L42" i="16" l="1"/>
  <c r="L35" i="20" s="1"/>
  <c r="D24" i="7" l="1"/>
  <c r="B53" i="7"/>
  <c r="F10" i="16"/>
  <c r="D10" i="16"/>
  <c r="K46" i="1"/>
  <c r="K45" i="1"/>
  <c r="D36" i="7"/>
  <c r="F62" i="26" s="1"/>
  <c r="J10" i="7"/>
  <c r="I24" i="16"/>
  <c r="D27" i="20" s="1"/>
  <c r="C82" i="9"/>
  <c r="C83" i="9"/>
  <c r="C84" i="9"/>
  <c r="C85" i="9"/>
  <c r="C81" i="9"/>
  <c r="B85" i="9"/>
  <c r="B84" i="9"/>
  <c r="B83" i="9"/>
  <c r="B82" i="9"/>
  <c r="B81" i="9"/>
  <c r="F42" i="16"/>
  <c r="D29" i="7"/>
  <c r="F55" i="26" s="1"/>
  <c r="J17" i="16"/>
  <c r="J18" i="16"/>
  <c r="J19" i="16"/>
  <c r="J20" i="16"/>
  <c r="J21" i="16"/>
  <c r="C70" i="9"/>
  <c r="B70" i="9"/>
  <c r="C69" i="9"/>
  <c r="B69" i="9"/>
  <c r="C71" i="9"/>
  <c r="B71" i="9"/>
  <c r="C72" i="9"/>
  <c r="B72" i="9"/>
  <c r="C73" i="9"/>
  <c r="B73" i="9"/>
  <c r="D62" i="9"/>
  <c r="D87" i="9" s="1"/>
  <c r="L6" i="7"/>
  <c r="J6" i="7"/>
  <c r="D40" i="7"/>
  <c r="L54" i="26" s="1"/>
  <c r="D42" i="7"/>
  <c r="L56" i="26" s="1"/>
  <c r="D43" i="7"/>
  <c r="L57" i="26" s="1"/>
  <c r="D44" i="7"/>
  <c r="L58" i="26" s="1"/>
  <c r="D45" i="7"/>
  <c r="L59" i="26" s="1"/>
  <c r="D39" i="7"/>
  <c r="L53" i="26" s="1"/>
  <c r="J10" i="16"/>
  <c r="C41" i="7"/>
  <c r="C42" i="7"/>
  <c r="C43" i="7"/>
  <c r="C44" i="7"/>
  <c r="C45" i="7"/>
  <c r="C40" i="7"/>
  <c r="B40" i="7"/>
  <c r="B41" i="7"/>
  <c r="B42" i="7"/>
  <c r="B43" i="7"/>
  <c r="B44" i="7"/>
  <c r="B45" i="7"/>
  <c r="B39" i="7"/>
  <c r="K61" i="16"/>
  <c r="F88" i="26" s="1"/>
  <c r="C49" i="9"/>
  <c r="D49" i="9"/>
  <c r="E49" i="9"/>
  <c r="F49" i="9"/>
  <c r="F56" i="9"/>
  <c r="E56" i="9"/>
  <c r="D56" i="9"/>
  <c r="C56" i="9"/>
  <c r="F53" i="9"/>
  <c r="E53" i="9"/>
  <c r="D53" i="9"/>
  <c r="F52" i="9"/>
  <c r="E52" i="9"/>
  <c r="D52" i="9"/>
  <c r="D28" i="7"/>
  <c r="F54" i="26" s="1"/>
  <c r="D30" i="7"/>
  <c r="F56" i="26" s="1"/>
  <c r="D31" i="7"/>
  <c r="F57" i="26" s="1"/>
  <c r="D32" i="7"/>
  <c r="F58" i="26" s="1"/>
  <c r="D33" i="7"/>
  <c r="F59" i="26" s="1"/>
  <c r="D34" i="7"/>
  <c r="F60" i="26" s="1"/>
  <c r="D35" i="7"/>
  <c r="F61" i="26" s="1"/>
  <c r="D27" i="7"/>
  <c r="F53" i="26" s="1"/>
  <c r="L12" i="16"/>
  <c r="H10" i="7"/>
  <c r="L6" i="16"/>
  <c r="L10" i="7"/>
  <c r="P10" i="7"/>
  <c r="N10" i="7"/>
  <c r="A1" i="16"/>
  <c r="D17" i="16"/>
  <c r="D18" i="16"/>
  <c r="D19" i="16"/>
  <c r="D20" i="16"/>
  <c r="D21" i="16"/>
  <c r="F12" i="16"/>
  <c r="I25" i="16"/>
  <c r="I26" i="16"/>
  <c r="I27" i="16"/>
  <c r="K28" i="16"/>
  <c r="K27" i="16"/>
  <c r="K26" i="16"/>
  <c r="K25" i="16"/>
  <c r="K24" i="16"/>
  <c r="K23" i="16"/>
  <c r="E23" i="16"/>
  <c r="E24" i="16"/>
  <c r="E25" i="16"/>
  <c r="E26" i="16"/>
  <c r="E27" i="16"/>
  <c r="E28" i="16"/>
  <c r="A4" i="1"/>
  <c r="K73" i="1"/>
  <c r="G53" i="7"/>
  <c r="D6" i="7"/>
  <c r="F7" i="1"/>
  <c r="D11" i="1"/>
  <c r="E7" i="1"/>
  <c r="B23" i="9"/>
  <c r="D29" i="16" l="1"/>
  <c r="B15" i="16"/>
  <c r="J29" i="16"/>
  <c r="F22" i="26"/>
  <c r="A3" i="7"/>
  <c r="A3" i="16"/>
  <c r="A4" i="16"/>
  <c r="A4" i="7"/>
  <c r="G27" i="20"/>
  <c r="I46" i="26"/>
  <c r="F27" i="20"/>
  <c r="I44" i="26"/>
  <c r="E27" i="20"/>
  <c r="I42" i="26"/>
  <c r="D26" i="16"/>
  <c r="D24" i="16"/>
  <c r="D25" i="16"/>
  <c r="D27" i="16"/>
  <c r="D23" i="16"/>
  <c r="D71" i="9"/>
  <c r="B74" i="9"/>
  <c r="D81" i="9"/>
  <c r="D83" i="9"/>
  <c r="D82" i="9"/>
  <c r="D72" i="9"/>
  <c r="J26" i="16"/>
  <c r="D75" i="9"/>
  <c r="J27" i="16"/>
  <c r="J24" i="16"/>
  <c r="D73" i="9"/>
  <c r="D22" i="16"/>
  <c r="D85" i="9"/>
  <c r="J25" i="16"/>
  <c r="B88" i="9"/>
  <c r="E10" i="7"/>
  <c r="D84" i="9"/>
  <c r="D70" i="9"/>
  <c r="J23" i="16"/>
  <c r="D69" i="9"/>
  <c r="D32" i="20"/>
  <c r="E32" i="20"/>
  <c r="G32" i="20"/>
  <c r="F32" i="20"/>
  <c r="H11" i="7"/>
  <c r="J11" i="7"/>
  <c r="N11" i="7"/>
  <c r="P11" i="7"/>
  <c r="N6" i="7"/>
  <c r="P6" i="7"/>
  <c r="L11" i="7"/>
  <c r="Q40" i="7"/>
  <c r="D26" i="7"/>
  <c r="F64" i="26" s="1"/>
  <c r="S27" i="7"/>
  <c r="Q29" i="7"/>
  <c r="Q36" i="7"/>
  <c r="J22" i="16"/>
  <c r="J49" i="7"/>
  <c r="E49" i="7"/>
  <c r="N48" i="7"/>
  <c r="L48" i="7"/>
  <c r="P48" i="7"/>
  <c r="O48" i="7"/>
  <c r="I49" i="7"/>
  <c r="M48" i="7"/>
  <c r="Q43" i="7"/>
  <c r="Q39" i="7"/>
  <c r="Q44" i="7"/>
  <c r="Q45" i="7"/>
  <c r="Q42" i="7"/>
  <c r="Q35" i="7"/>
  <c r="Q33" i="7"/>
  <c r="Q34" i="7"/>
  <c r="Q30" i="7"/>
  <c r="Q31" i="7"/>
  <c r="Q24" i="7"/>
  <c r="K48" i="7"/>
  <c r="P49" i="7"/>
  <c r="E48" i="7"/>
  <c r="I48" i="7"/>
  <c r="J48" i="7"/>
  <c r="N49" i="7"/>
  <c r="C47" i="7"/>
  <c r="D48" i="7"/>
  <c r="O49" i="7"/>
  <c r="M49" i="7"/>
  <c r="L8" i="7"/>
  <c r="N8" i="7" s="1"/>
  <c r="F25" i="9"/>
  <c r="L49" i="7"/>
  <c r="K49" i="7"/>
  <c r="D49" i="7"/>
  <c r="H32" i="20" l="1"/>
  <c r="F38" i="26"/>
  <c r="L38" i="26" s="1"/>
  <c r="D19" i="7"/>
  <c r="U19" i="7" s="1"/>
  <c r="V19" i="7" s="1"/>
  <c r="V51" i="7" s="1"/>
  <c r="D20" i="7"/>
  <c r="Q20" i="7" s="1"/>
  <c r="R20" i="7" s="1"/>
  <c r="F40" i="26"/>
  <c r="L40" i="26" s="1"/>
  <c r="I40" i="26"/>
  <c r="D23" i="7"/>
  <c r="Q23" i="7" s="1"/>
  <c r="R23" i="7" s="1"/>
  <c r="F46" i="26"/>
  <c r="L46" i="26" s="1"/>
  <c r="D22" i="7"/>
  <c r="Q22" i="7" s="1"/>
  <c r="R22" i="7" s="1"/>
  <c r="F44" i="26"/>
  <c r="L44" i="26" s="1"/>
  <c r="D21" i="7"/>
  <c r="O21" i="7" s="1"/>
  <c r="P21" i="7" s="1"/>
  <c r="F42" i="26"/>
  <c r="L42" i="26" s="1"/>
  <c r="D18" i="7"/>
  <c r="G18" i="7" s="1"/>
  <c r="H18" i="7" s="1"/>
  <c r="F36" i="26"/>
  <c r="L36" i="26" s="1"/>
  <c r="D17" i="7"/>
  <c r="G17" i="7" s="1"/>
  <c r="H17" i="7" s="1"/>
  <c r="H16" i="7" s="1"/>
  <c r="F28" i="26"/>
  <c r="D74" i="9"/>
  <c r="D76" i="9" s="1"/>
  <c r="F76" i="9" s="1"/>
  <c r="D86" i="9"/>
  <c r="E82" i="9" s="1"/>
  <c r="M42" i="7"/>
  <c r="N42" i="7" s="1"/>
  <c r="K34" i="7"/>
  <c r="L34" i="7" s="1"/>
  <c r="M33" i="16"/>
  <c r="R34" i="7"/>
  <c r="R44" i="7"/>
  <c r="M36" i="7"/>
  <c r="N36" i="7" s="1"/>
  <c r="G42" i="7"/>
  <c r="H42" i="7" s="1"/>
  <c r="I36" i="7"/>
  <c r="J36" i="7" s="1"/>
  <c r="G40" i="7"/>
  <c r="H40" i="7" s="1"/>
  <c r="O31" i="7"/>
  <c r="P31" i="7" s="1"/>
  <c r="G29" i="7"/>
  <c r="H29" i="7" s="1"/>
  <c r="R40" i="7"/>
  <c r="M40" i="7"/>
  <c r="N40" i="7" s="1"/>
  <c r="I40" i="7"/>
  <c r="J40" i="7" s="1"/>
  <c r="M40" i="16"/>
  <c r="G34" i="7"/>
  <c r="H34" i="7" s="1"/>
  <c r="M34" i="16"/>
  <c r="I42" i="7"/>
  <c r="J42" i="7" s="1"/>
  <c r="D41" i="7"/>
  <c r="D38" i="20"/>
  <c r="L52" i="16"/>
  <c r="I38" i="20" s="1"/>
  <c r="K40" i="7"/>
  <c r="L40" i="7" s="1"/>
  <c r="G30" i="7"/>
  <c r="I30" i="7"/>
  <c r="J30" i="7" s="1"/>
  <c r="K30" i="7"/>
  <c r="L30" i="7" s="1"/>
  <c r="M39" i="7"/>
  <c r="N39" i="7" s="1"/>
  <c r="K44" i="7"/>
  <c r="L44" i="7" s="1"/>
  <c r="O39" i="7"/>
  <c r="P39" i="7" s="1"/>
  <c r="R39" i="7"/>
  <c r="M30" i="7"/>
  <c r="N30" i="7" s="1"/>
  <c r="O30" i="7"/>
  <c r="P30" i="7" s="1"/>
  <c r="K24" i="7"/>
  <c r="L24" i="7" s="1"/>
  <c r="R30" i="7"/>
  <c r="G35" i="7"/>
  <c r="M43" i="7"/>
  <c r="N43" i="7" s="1"/>
  <c r="G36" i="7"/>
  <c r="H36" i="7" s="1"/>
  <c r="K31" i="7"/>
  <c r="L31" i="7" s="1"/>
  <c r="I35" i="7"/>
  <c r="J35" i="7" s="1"/>
  <c r="I39" i="7"/>
  <c r="J39" i="7" s="1"/>
  <c r="K35" i="7"/>
  <c r="L35" i="7" s="1"/>
  <c r="O35" i="7"/>
  <c r="P35" i="7" s="1"/>
  <c r="I43" i="7"/>
  <c r="J43" i="7" s="1"/>
  <c r="O28" i="7"/>
  <c r="P28" i="7" s="1"/>
  <c r="O42" i="7"/>
  <c r="P42" i="7" s="1"/>
  <c r="M31" i="7"/>
  <c r="N31" i="7" s="1"/>
  <c r="M28" i="7"/>
  <c r="N28" i="7" s="1"/>
  <c r="M35" i="16"/>
  <c r="M47" i="16"/>
  <c r="M48" i="16"/>
  <c r="M51" i="16"/>
  <c r="M50" i="16"/>
  <c r="M45" i="16"/>
  <c r="M46" i="16"/>
  <c r="M49" i="16"/>
  <c r="O29" i="7"/>
  <c r="P29" i="7" s="1"/>
  <c r="R29" i="7"/>
  <c r="O24" i="7"/>
  <c r="P24" i="7" s="1"/>
  <c r="G44" i="7"/>
  <c r="H44" i="7" s="1"/>
  <c r="R31" i="7"/>
  <c r="M29" i="7"/>
  <c r="N29" i="7" s="1"/>
  <c r="M33" i="7"/>
  <c r="N33" i="7" s="1"/>
  <c r="R24" i="7"/>
  <c r="I32" i="7"/>
  <c r="J32" i="7" s="1"/>
  <c r="R33" i="7"/>
  <c r="I44" i="7"/>
  <c r="J44" i="7" s="1"/>
  <c r="I34" i="7"/>
  <c r="J34" i="7" s="1"/>
  <c r="M24" i="7"/>
  <c r="N24" i="7" s="1"/>
  <c r="O45" i="7"/>
  <c r="P45" i="7" s="1"/>
  <c r="O32" i="7"/>
  <c r="P32" i="7" s="1"/>
  <c r="O44" i="7"/>
  <c r="P44" i="7" s="1"/>
  <c r="I31" i="7"/>
  <c r="J31" i="7" s="1"/>
  <c r="O43" i="7"/>
  <c r="P43" i="7" s="1"/>
  <c r="I24" i="7"/>
  <c r="J24" i="7" s="1"/>
  <c r="K45" i="7"/>
  <c r="L45" i="7" s="1"/>
  <c r="O33" i="7"/>
  <c r="P33" i="7" s="1"/>
  <c r="M32" i="7"/>
  <c r="N32" i="7" s="1"/>
  <c r="R35" i="7"/>
  <c r="G28" i="7"/>
  <c r="H28" i="7" s="1"/>
  <c r="H26" i="7" s="1"/>
  <c r="M35" i="7"/>
  <c r="N35" i="7" s="1"/>
  <c r="M44" i="7"/>
  <c r="N44" i="7" s="1"/>
  <c r="O40" i="7"/>
  <c r="P40" i="7" s="1"/>
  <c r="M39" i="16"/>
  <c r="G32" i="7"/>
  <c r="H32" i="7" s="1"/>
  <c r="O34" i="7"/>
  <c r="P34" i="7" s="1"/>
  <c r="R42" i="7"/>
  <c r="G43" i="7"/>
  <c r="H43" i="7" s="1"/>
  <c r="O36" i="7"/>
  <c r="P36" i="7" s="1"/>
  <c r="M38" i="16"/>
  <c r="G24" i="7"/>
  <c r="H24" i="7" s="1"/>
  <c r="K32" i="7"/>
  <c r="L32" i="7" s="1"/>
  <c r="M34" i="7"/>
  <c r="N34" i="7" s="1"/>
  <c r="R45" i="7"/>
  <c r="K43" i="7"/>
  <c r="L43" i="7" s="1"/>
  <c r="R36" i="7"/>
  <c r="M37" i="16"/>
  <c r="K42" i="7"/>
  <c r="L42" i="7" s="1"/>
  <c r="K29" i="7"/>
  <c r="L29" i="7" s="1"/>
  <c r="M32" i="16"/>
  <c r="G33" i="7"/>
  <c r="G45" i="7"/>
  <c r="H45" i="7" s="1"/>
  <c r="K39" i="7"/>
  <c r="M36" i="16"/>
  <c r="I28" i="7"/>
  <c r="K33" i="7"/>
  <c r="L33" i="7" s="1"/>
  <c r="I45" i="7"/>
  <c r="J45" i="7" s="1"/>
  <c r="G39" i="7"/>
  <c r="M41" i="16"/>
  <c r="K36" i="7"/>
  <c r="L36" i="7" s="1"/>
  <c r="I29" i="7"/>
  <c r="J29" i="7" s="1"/>
  <c r="K28" i="7"/>
  <c r="I33" i="7"/>
  <c r="J33" i="7" s="1"/>
  <c r="M45" i="7"/>
  <c r="N45" i="7" s="1"/>
  <c r="R43" i="7"/>
  <c r="G31" i="7"/>
  <c r="H31" i="7" s="1"/>
  <c r="E11" i="7"/>
  <c r="Q26" i="7"/>
  <c r="S26" i="7"/>
  <c r="T27" i="7"/>
  <c r="T26" i="7" s="1"/>
  <c r="T51" i="7" s="1"/>
  <c r="L31" i="26" l="1"/>
  <c r="L32" i="26"/>
  <c r="L29" i="26"/>
  <c r="L28" i="26"/>
  <c r="L33" i="26"/>
  <c r="L30" i="26"/>
  <c r="G23" i="7"/>
  <c r="H23" i="7" s="1"/>
  <c r="I22" i="7"/>
  <c r="J22" i="7" s="1"/>
  <c r="K23" i="7"/>
  <c r="L23" i="7" s="1"/>
  <c r="O23" i="7"/>
  <c r="P23" i="7" s="1"/>
  <c r="I23" i="7"/>
  <c r="J23" i="7" s="1"/>
  <c r="M23" i="7"/>
  <c r="N23" i="7" s="1"/>
  <c r="G22" i="7"/>
  <c r="H22" i="7" s="1"/>
  <c r="O22" i="7"/>
  <c r="P22" i="7" s="1"/>
  <c r="M22" i="7"/>
  <c r="N22" i="7" s="1"/>
  <c r="K21" i="7"/>
  <c r="L21" i="7" s="1"/>
  <c r="G21" i="7"/>
  <c r="H21" i="7" s="1"/>
  <c r="M20" i="7"/>
  <c r="N20" i="7" s="1"/>
  <c r="K20" i="7"/>
  <c r="L20" i="7" s="1"/>
  <c r="O20" i="7"/>
  <c r="P20" i="7" s="1"/>
  <c r="G20" i="7"/>
  <c r="H20" i="7" s="1"/>
  <c r="I20" i="7"/>
  <c r="J20" i="7" s="1"/>
  <c r="I21" i="7"/>
  <c r="J21" i="7" s="1"/>
  <c r="K22" i="7"/>
  <c r="L22" i="7" s="1"/>
  <c r="Q21" i="7"/>
  <c r="R21" i="7" s="1"/>
  <c r="R16" i="7" s="1"/>
  <c r="M21" i="7"/>
  <c r="N21" i="7" s="1"/>
  <c r="I17" i="7"/>
  <c r="J17" i="7" s="1"/>
  <c r="K17" i="7"/>
  <c r="L17" i="7" s="1"/>
  <c r="M41" i="7"/>
  <c r="N41" i="7" s="1"/>
  <c r="L55" i="26"/>
  <c r="O18" i="7"/>
  <c r="P18" i="7" s="1"/>
  <c r="K18" i="7"/>
  <c r="L18" i="7" s="1"/>
  <c r="M18" i="7"/>
  <c r="N18" i="7" s="1"/>
  <c r="I18" i="7"/>
  <c r="J18" i="7" s="1"/>
  <c r="D16" i="7"/>
  <c r="M17" i="7"/>
  <c r="N17" i="7" s="1"/>
  <c r="O17" i="7"/>
  <c r="P17" i="7" s="1"/>
  <c r="P16" i="7" s="1"/>
  <c r="J42" i="20"/>
  <c r="F86" i="26"/>
  <c r="J61" i="16"/>
  <c r="F80" i="26"/>
  <c r="E72" i="9"/>
  <c r="F72" i="9" s="1"/>
  <c r="E73" i="9"/>
  <c r="F73" i="9" s="1"/>
  <c r="E70" i="9"/>
  <c r="F70" i="9" s="1"/>
  <c r="E69" i="9"/>
  <c r="F69" i="9" s="1"/>
  <c r="E71" i="9"/>
  <c r="F71" i="9" s="1"/>
  <c r="E84" i="9"/>
  <c r="E83" i="9"/>
  <c r="D88" i="9"/>
  <c r="F82" i="9" s="1"/>
  <c r="G82" i="9" s="1"/>
  <c r="H82" i="9" s="1"/>
  <c r="E85" i="9"/>
  <c r="E81" i="9"/>
  <c r="K42" i="20"/>
  <c r="I41" i="7"/>
  <c r="J41" i="7" s="1"/>
  <c r="J38" i="7" s="1"/>
  <c r="Q41" i="7"/>
  <c r="Q38" i="7" s="1"/>
  <c r="K41" i="7"/>
  <c r="L41" i="7" s="1"/>
  <c r="G41" i="7"/>
  <c r="H41" i="7" s="1"/>
  <c r="O41" i="7"/>
  <c r="P41" i="7" s="1"/>
  <c r="D38" i="7"/>
  <c r="L64" i="26" s="1"/>
  <c r="P38" i="7"/>
  <c r="P26" i="7"/>
  <c r="N38" i="7"/>
  <c r="N26" i="7"/>
  <c r="E30" i="7"/>
  <c r="E40" i="7"/>
  <c r="E44" i="7"/>
  <c r="E35" i="7"/>
  <c r="H30" i="7"/>
  <c r="H35" i="7"/>
  <c r="E28" i="7"/>
  <c r="M52" i="16"/>
  <c r="R26" i="7"/>
  <c r="E36" i="7"/>
  <c r="M26" i="7"/>
  <c r="M42" i="16"/>
  <c r="E43" i="7"/>
  <c r="E32" i="7"/>
  <c r="E34" i="7"/>
  <c r="E31" i="7"/>
  <c r="E33" i="7"/>
  <c r="L39" i="7"/>
  <c r="E29" i="7"/>
  <c r="E24" i="7"/>
  <c r="K26" i="7"/>
  <c r="G26" i="7"/>
  <c r="M38" i="7"/>
  <c r="O26" i="7"/>
  <c r="E42" i="7"/>
  <c r="I26" i="7"/>
  <c r="E39" i="7"/>
  <c r="J28" i="7"/>
  <c r="J26" i="7" s="1"/>
  <c r="E45" i="7"/>
  <c r="H33" i="7"/>
  <c r="L28" i="7"/>
  <c r="L26" i="7" s="1"/>
  <c r="H39" i="7"/>
  <c r="H38" i="7" s="1"/>
  <c r="I61" i="16"/>
  <c r="G16" i="7" l="1"/>
  <c r="Q16" i="7"/>
  <c r="E22" i="7"/>
  <c r="E23" i="7"/>
  <c r="E21" i="7"/>
  <c r="E20" i="7"/>
  <c r="J16" i="7"/>
  <c r="J47" i="7" s="1"/>
  <c r="N16" i="7"/>
  <c r="N47" i="7" s="1"/>
  <c r="M47" i="7" s="1"/>
  <c r="I16" i="7"/>
  <c r="K16" i="7"/>
  <c r="L16" i="7"/>
  <c r="E18" i="7"/>
  <c r="O16" i="7"/>
  <c r="M16" i="7"/>
  <c r="E17" i="7"/>
  <c r="G38" i="7"/>
  <c r="F85" i="9"/>
  <c r="G85" i="9" s="1"/>
  <c r="H85" i="9" s="1"/>
  <c r="K38" i="7"/>
  <c r="L38" i="7"/>
  <c r="I38" i="7"/>
  <c r="R41" i="7"/>
  <c r="R38" i="7" s="1"/>
  <c r="R51" i="7" s="1"/>
  <c r="F84" i="9"/>
  <c r="G84" i="9" s="1"/>
  <c r="H84" i="9" s="1"/>
  <c r="F83" i="9"/>
  <c r="G83" i="9" s="1"/>
  <c r="H83" i="9" s="1"/>
  <c r="E86" i="9"/>
  <c r="F81" i="9"/>
  <c r="G81" i="9" s="1"/>
  <c r="H81" i="9" s="1"/>
  <c r="H88" i="9" s="1"/>
  <c r="E41" i="7"/>
  <c r="E38" i="7" s="1"/>
  <c r="P47" i="7"/>
  <c r="O47" i="7" s="1"/>
  <c r="O38" i="7"/>
  <c r="F74" i="9"/>
  <c r="B27" i="9"/>
  <c r="E26" i="7"/>
  <c r="L47" i="7" l="1"/>
  <c r="K47" i="7" s="1"/>
  <c r="E16" i="7"/>
  <c r="I42" i="20"/>
  <c r="F84" i="26"/>
  <c r="B26" i="9"/>
  <c r="E35" i="9" s="1"/>
  <c r="F88" i="9"/>
  <c r="H61" i="16"/>
  <c r="I47" i="7"/>
  <c r="B24" i="9"/>
  <c r="B25" i="9" l="1"/>
  <c r="H33" i="9" s="1"/>
  <c r="L51" i="7" s="1"/>
  <c r="F74" i="26" s="1"/>
  <c r="D35" i="9"/>
  <c r="G35" i="9" s="1"/>
  <c r="H35" i="9" s="1"/>
  <c r="P51" i="7" s="1"/>
  <c r="H34" i="9"/>
  <c r="N51" i="7" s="1"/>
  <c r="D47" i="7"/>
  <c r="H32" i="9"/>
  <c r="J51" i="7" s="1"/>
  <c r="F72" i="26" s="1"/>
  <c r="D31" i="9"/>
  <c r="E31" i="9"/>
  <c r="J57" i="16" l="1"/>
  <c r="E42" i="20"/>
  <c r="F42" i="20"/>
  <c r="F76" i="26"/>
  <c r="L57" i="16"/>
  <c r="F78" i="26"/>
  <c r="K57" i="16"/>
  <c r="G42" i="20"/>
  <c r="G31" i="9"/>
  <c r="H31" i="9" s="1"/>
  <c r="I57" i="16"/>
  <c r="H47" i="7"/>
  <c r="D42" i="20"/>
  <c r="G47" i="7" l="1"/>
  <c r="E47" i="7" s="1"/>
  <c r="H51" i="7"/>
  <c r="F70" i="26" s="1"/>
  <c r="C42" i="20" l="1"/>
  <c r="H57"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Dietrich, Astrid</author>
  </authors>
  <commentList>
    <comment ref="E17" authorId="0" shapeId="0" xr:uid="{00000000-0006-0000-0300-000001000000}">
      <text>
        <r>
          <rPr>
            <sz val="8"/>
            <color indexed="81"/>
            <rFont val="Tahoma"/>
            <family val="2"/>
          </rPr>
          <t>Stolle, Simone:
Differenz ergibt sich aus Hundertstel VK-Diff. wegen Rundung Personalrelation auf 2 Nachkommastellen - ist nicht zu vermeiden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<sst xmlns="http://schemas.openxmlformats.org/spreadsheetml/2006/main" count="1043" uniqueCount="721">
  <si>
    <t>Allgemeine Angaben</t>
  </si>
  <si>
    <t>Art der Einrichtung:</t>
  </si>
  <si>
    <t>Allgemeine Angaben zur Pflegeeinrichtung und zum Träger</t>
  </si>
  <si>
    <t>Name der Einrichtung</t>
  </si>
  <si>
    <t>Straße</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</si>
  <si>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</si>
  <si>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</si>
  <si>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</si>
  <si>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</si>
  <si>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</si>
  <si>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</si>
  <si>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</si>
  <si>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</si>
  <si>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</si>
  <si>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</si>
  <si>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</si>
  <si>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ist als Anlage beigefügt</t>
  </si>
  <si>
    <t>von</t>
  </si>
  <si>
    <t>bis</t>
  </si>
  <si>
    <t>AOK PLUS</t>
  </si>
  <si>
    <t>vdek</t>
  </si>
  <si>
    <t>BKK</t>
  </si>
  <si>
    <t>IKK</t>
  </si>
  <si>
    <t>Knappschaft</t>
  </si>
  <si>
    <t>PKV</t>
  </si>
  <si>
    <t>Sonstige Sozialversicherungsträger</t>
  </si>
  <si>
    <t>jährliche Öffnungstage:</t>
  </si>
  <si>
    <t>Plätze:</t>
  </si>
  <si>
    <t>Wachkoma</t>
  </si>
  <si>
    <t>2.</t>
  </si>
  <si>
    <t>Küche</t>
  </si>
  <si>
    <t>Haustechnik</t>
  </si>
  <si>
    <t>Wäscherei</t>
  </si>
  <si>
    <t>Reinigung</t>
  </si>
  <si>
    <t>Verwaltung</t>
  </si>
  <si>
    <t>2.1</t>
  </si>
  <si>
    <t>Lebensmittel</t>
  </si>
  <si>
    <t>2.2</t>
  </si>
  <si>
    <t>Pflegerischer Bedarf</t>
  </si>
  <si>
    <t>2.3</t>
  </si>
  <si>
    <t>2.4</t>
  </si>
  <si>
    <t>Verwaltungsbedarf</t>
  </si>
  <si>
    <t>2.5</t>
  </si>
  <si>
    <t>Zentrale Verwaltungsdienste</t>
  </si>
  <si>
    <t>2.6</t>
  </si>
  <si>
    <t>Betreuungsaufwand</t>
  </si>
  <si>
    <t>2.7</t>
  </si>
  <si>
    <t>Wirtschaftsbedarf</t>
  </si>
  <si>
    <t>2.8</t>
  </si>
  <si>
    <t>Steuern/Abgaben/Versicherungen</t>
  </si>
  <si>
    <t>2.9</t>
  </si>
  <si>
    <t>Wartung (keine Instandhaltung)</t>
  </si>
  <si>
    <t>2.10</t>
  </si>
  <si>
    <t>sonstige Aufwendungen</t>
  </si>
  <si>
    <t>Divisor:</t>
  </si>
  <si>
    <t>Pflegegrad 1</t>
  </si>
  <si>
    <t>Pflegegrad 2</t>
  </si>
  <si>
    <t>Pflegegrad 3</t>
  </si>
  <si>
    <t>Pflegegrad 4</t>
  </si>
  <si>
    <t>Pflegegrad 5</t>
  </si>
  <si>
    <t>Hauswirtschaft</t>
  </si>
  <si>
    <t>Pflegegrad 1:</t>
  </si>
  <si>
    <t>Pflegegrad 2:</t>
  </si>
  <si>
    <t>Pflegegrad 3:</t>
  </si>
  <si>
    <t>Pflegegrad 4:</t>
  </si>
  <si>
    <t>Pflegegrad 5:</t>
  </si>
  <si>
    <t>Die Richtigkeit der in der Aufforderung enthaltenen Angaben wird bestätigt:</t>
  </si>
  <si>
    <t>Gesamtkalkulation</t>
  </si>
  <si>
    <t>GELBER TEIL</t>
  </si>
  <si>
    <t>Gesamtplätze:</t>
  </si>
  <si>
    <t>WIRD AUS-</t>
  </si>
  <si>
    <t>Tage/Monat</t>
  </si>
  <si>
    <t>GEBLENDET</t>
  </si>
  <si>
    <t>Leistungsbetrag § 43 SGB XI (nur vollstationär):</t>
  </si>
  <si>
    <t>Aufwendungen für Leistungen im Pflegegrad 1</t>
  </si>
  <si>
    <t>Aufwendungen für Leistungen im Pflegegrad 2</t>
  </si>
  <si>
    <t>Aufwendungen für Leistungen im Pflegegrad 3</t>
  </si>
  <si>
    <t>Aufwendungen für Leistungen im Pflegegrad 4</t>
  </si>
  <si>
    <t>Aufwendungen für Leistungen im Pflegegrad 5</t>
  </si>
  <si>
    <t>Aufwendungen für die Unterkunft</t>
  </si>
  <si>
    <t>Aufwendungen für die Verpflegung</t>
  </si>
  <si>
    <t>Gesamtaufwendungen</t>
  </si>
  <si>
    <t>Plausi Ges.</t>
  </si>
  <si>
    <t>Gesamt in €</t>
  </si>
  <si>
    <t xml:space="preserve">1. </t>
  </si>
  <si>
    <t>1.1.</t>
  </si>
  <si>
    <t>1.2.</t>
  </si>
  <si>
    <t>1.3.</t>
  </si>
  <si>
    <t>1.4.</t>
  </si>
  <si>
    <t>1.5.</t>
  </si>
  <si>
    <t>1.6.</t>
  </si>
  <si>
    <t>1.7.</t>
  </si>
  <si>
    <t>Sachaufwendungen</t>
  </si>
  <si>
    <t xml:space="preserve">3. </t>
  </si>
  <si>
    <t>Fremdleistungen / Trägerleistungen</t>
  </si>
  <si>
    <t>Umsatz Leistungsbeträge § 43 SGB XI:</t>
  </si>
  <si>
    <t xml:space="preserve"> Budget Eigenanteil nach Pflegegraden:</t>
  </si>
  <si>
    <t>errechnete Pflegesätze (Tag je Platz):</t>
  </si>
  <si>
    <t>Unterkunft:</t>
  </si>
  <si>
    <t>Verpflegung:</t>
  </si>
  <si>
    <t xml:space="preserve">   (ohne Ausbildungsvergütung nach § 82a SGB XI)</t>
  </si>
  <si>
    <t>1.8.</t>
  </si>
  <si>
    <t>Einrichtungsart</t>
  </si>
  <si>
    <t>Kreuz</t>
  </si>
  <si>
    <t>Öffnungstage</t>
  </si>
  <si>
    <t>Auslastung</t>
  </si>
  <si>
    <t>Ja/Nein</t>
  </si>
  <si>
    <t xml:space="preserve">vollstationäre Pflege </t>
  </si>
  <si>
    <t>x</t>
  </si>
  <si>
    <t>ja</t>
  </si>
  <si>
    <t>4. Generation</t>
  </si>
  <si>
    <t>nein</t>
  </si>
  <si>
    <t>teilstationäre Pflege</t>
  </si>
  <si>
    <t>Kurzzeitpflege</t>
  </si>
  <si>
    <t>Pflegeeinrichtung:</t>
  </si>
  <si>
    <t>Einrichtungsleitung</t>
  </si>
  <si>
    <t>Web-Adresse</t>
  </si>
  <si>
    <t>bis:</t>
  </si>
  <si>
    <t>Pflege inklusive QM</t>
  </si>
  <si>
    <t>Betreuung</t>
  </si>
  <si>
    <t>ANT am PS</t>
  </si>
  <si>
    <t>Divisor allg</t>
  </si>
  <si>
    <t>§ 43b:</t>
  </si>
  <si>
    <t>Aufwendungen für § 43b</t>
  </si>
  <si>
    <t>§ 43b SGB XI:</t>
  </si>
  <si>
    <r>
      <t xml:space="preserve">Aufwendungen für Leistungen im </t>
    </r>
    <r>
      <rPr>
        <b/>
        <sz val="10"/>
        <color theme="1"/>
        <rFont val="Arial"/>
        <family val="2"/>
      </rPr>
      <t>Pflegegrad 1</t>
    </r>
  </si>
  <si>
    <r>
      <t>Aufwendungen für Leistungen im</t>
    </r>
    <r>
      <rPr>
        <b/>
        <sz val="10"/>
        <color theme="1"/>
        <rFont val="Arial"/>
        <family val="2"/>
      </rPr>
      <t xml:space="preserve"> Pflegegrad 2</t>
    </r>
  </si>
  <si>
    <r>
      <t xml:space="preserve">Aufwendungen für Leistungen im </t>
    </r>
    <r>
      <rPr>
        <b/>
        <sz val="10"/>
        <color theme="1"/>
        <rFont val="Arial"/>
        <family val="2"/>
      </rPr>
      <t>Pflegegrad 3</t>
    </r>
  </si>
  <si>
    <r>
      <t xml:space="preserve">Aufwendungen für Leistungen im </t>
    </r>
    <r>
      <rPr>
        <b/>
        <sz val="10"/>
        <color theme="1"/>
        <rFont val="Arial"/>
        <family val="2"/>
      </rPr>
      <t>Pflegegrad 4</t>
    </r>
  </si>
  <si>
    <r>
      <t>Aufwendungen für Leistungen im</t>
    </r>
    <r>
      <rPr>
        <b/>
        <sz val="10"/>
        <color theme="1"/>
        <rFont val="Arial"/>
        <family val="2"/>
      </rPr>
      <t xml:space="preserve"> Pflegegrad 5</t>
    </r>
  </si>
  <si>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</si>
  <si>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</si>
  <si>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Aufwendungen für 
</t>
    </r>
    <r>
      <rPr>
        <b/>
        <sz val="10"/>
        <color theme="1"/>
        <rFont val="Arial"/>
        <family val="2"/>
      </rPr>
      <t>§ 43b</t>
    </r>
  </si>
  <si>
    <t xml:space="preserve">davon Träger der Sozialhilfe in %   </t>
  </si>
  <si>
    <t xml:space="preserve">Parteien der Pflegesatzvereinbarung (gem. § 85 Abs. 2 SGB XI) </t>
  </si>
  <si>
    <t>Anteil in %</t>
  </si>
  <si>
    <t>kalkulatorischer Auslastungsgrad:</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</si>
  <si>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</si>
  <si>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</si>
  <si>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</si>
  <si>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</si>
  <si>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</si>
  <si>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</si>
  <si>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</si>
  <si>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</si>
  <si>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</si>
  <si>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</si>
  <si>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</si>
  <si>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</si>
  <si>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</si>
  <si>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</si>
  <si>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</si>
  <si>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</si>
  <si>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</si>
  <si>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</si>
  <si>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vdek - Landesvertretung Sachsen</t>
  </si>
  <si>
    <t>Glacisstr. 4</t>
  </si>
  <si>
    <t>01099 Dresden</t>
  </si>
  <si>
    <t>DAK-Gesundheit</t>
  </si>
  <si>
    <t>Kaufmännische Krankenkasse - KKH</t>
  </si>
  <si>
    <t>Verband der Privaten Kranken-</t>
  </si>
  <si>
    <t>versicherung e.V.</t>
  </si>
  <si>
    <t>Barmer</t>
  </si>
  <si>
    <t>Handelskrankenkasse (hkk)</t>
  </si>
  <si>
    <t>HEK - Hanseatische Krankenkasse</t>
  </si>
  <si>
    <t>Äquivalenzen</t>
  </si>
  <si>
    <t>PG 1</t>
  </si>
  <si>
    <t>PG 5</t>
  </si>
  <si>
    <t>PG 4</t>
  </si>
  <si>
    <t>PG 3</t>
  </si>
  <si>
    <t>PG 2</t>
  </si>
  <si>
    <t>PG</t>
  </si>
  <si>
    <t>a</t>
  </si>
  <si>
    <t>b</t>
  </si>
  <si>
    <t>Faktor tst</t>
  </si>
  <si>
    <t>Leistungbetrag vst</t>
  </si>
  <si>
    <t>e</t>
  </si>
  <si>
    <t>Kennzeichen Einrichtungsart:</t>
  </si>
  <si>
    <t>Personalaufwendungen (ohne 1.3.)</t>
  </si>
  <si>
    <r>
      <t>Freiwillige Dienste, FSJ</t>
    </r>
    <r>
      <rPr>
        <b/>
        <sz val="10"/>
        <color rgb="FFFF0000"/>
        <rFont val="Arial"/>
        <family val="2"/>
      </rPr>
      <t xml:space="preserve"> </t>
    </r>
  </si>
  <si>
    <t>check/Psatz</t>
  </si>
  <si>
    <t>g</t>
  </si>
  <si>
    <t>f = "tst"</t>
  </si>
  <si>
    <t>f = "KZP"</t>
  </si>
  <si>
    <t>Rechnung mit Äquvalenzen (Rothgang bei vst und KZP, Faktor bei tst)</t>
  </si>
  <si>
    <t>Hochrechnung der Pflegesätze bei Nullbelegung fürTP+KZP</t>
  </si>
  <si>
    <t>vst. PE mit Nullbelegung =&gt; Psätze Ermittlung dr. EEE + Leistungsbetrag, Psatz für PG 1 = 0,78 von Psatz PG 2</t>
  </si>
  <si>
    <t>Überlegung:</t>
  </si>
  <si>
    <t>h</t>
  </si>
  <si>
    <t>Faktor KZP</t>
  </si>
  <si>
    <t>"2" = tst, "1" = vst,WK, 4. Generation , "3" = KZP</t>
  </si>
  <si>
    <t>Abstimmung vom 07.08.2017 mit folgender Entscheidung:</t>
  </si>
  <si>
    <t xml:space="preserve"> - die Herleitung der Psätze für tst + KZP analog der Herleitung der PR bei Nichtbelegung</t>
  </si>
  <si>
    <t xml:space="preserve">   führt in einzelnen Fällen nicht zu den gewünschten Ergebnissen (siehe Testergebnisse vom 05.08.2017)</t>
  </si>
  <si>
    <t xml:space="preserve"> =&gt; desh. ist bei KzP und tst. PE der PG 2 bis 4 zwindend zu belegen</t>
  </si>
  <si>
    <t>Erläuterung zur Verformelung:</t>
  </si>
  <si>
    <t xml:space="preserve">                b)bilde den Psatz PG 1 und PG 5 ab, sofern belegt </t>
  </si>
  <si>
    <t xml:space="preserve">                c) ist der PG 1 bzw. PG 5 nicht belegt, dann "0"</t>
  </si>
  <si>
    <t xml:space="preserve">2. (Spalte f "tst" und f "kzp") </t>
  </si>
  <si>
    <t xml:space="preserve">    gilt 1 b) dann wird der kalkulierte Psatz abgebildet</t>
  </si>
  <si>
    <t xml:space="preserve">    gilt 1 c) dann wird anhand der jeweiligen Faktoren "tst" und "kzp" </t>
  </si>
  <si>
    <t xml:space="preserve">                 der Psatz für PG 1 vom Psatz PG 2  hochgerechnet</t>
  </si>
  <si>
    <t xml:space="preserve">                 der Psatz für PG 5 vom Psatz PG 4 hochgerechnet</t>
  </si>
  <si>
    <t>3. (Spalte g)</t>
  </si>
  <si>
    <t xml:space="preserve">     bilde die Psätze PG 1 und PG 5 entsprechend des Einrichtungstyp "tst" o. </t>
  </si>
  <si>
    <t xml:space="preserve">    "KZP" ab</t>
  </si>
  <si>
    <t>4. (Spalte h)</t>
  </si>
  <si>
    <t xml:space="preserve">    bilde alle Psätze entspr. für den einrichtungstyp "tst" oder "Kzp" ab</t>
  </si>
  <si>
    <t>07.08.2017 - Ableitung der Psätze für tst. PE und KZP bei Nullbelegungen</t>
  </si>
  <si>
    <t>1. Check - a) bilde den Psatz für PG 2 - 4 ab, falls Belegung "0" dann LEER</t>
  </si>
  <si>
    <t>errechnete Pflegesätze (Tag je Platz) für angebundene Kurzzeitpflege:</t>
  </si>
  <si>
    <t>2 weitere Zellen eingefügt</t>
  </si>
  <si>
    <t>bedingte Formatierung für Zeile 53 klappte nicht</t>
  </si>
  <si>
    <t>Zeile 53 bedingte Formatierungen</t>
  </si>
  <si>
    <t>dtr Rahmen formatiert</t>
  </si>
  <si>
    <t>Ansprechpartner/ Funktion</t>
  </si>
  <si>
    <t>Stand:13.12.2017 Druckbereich angepasst (einschl. Zeilen 53 und 54)</t>
  </si>
  <si>
    <t>Humboldtstraße 18</t>
  </si>
  <si>
    <t>04105 Leipzig</t>
  </si>
  <si>
    <t>vereinbarungen-pflege@ksv-sachsen.de</t>
  </si>
  <si>
    <t>Zelle H53 neue Formel: =WENN(Belegung!E26&gt;0;Gesamtkalkulation!H47*0,96/0,9;J53*0,78) STATT BISHER: =WENN('Allgemeine Angaben'!$L$45&gt;0;Gesamtkalkulation!L47*0,96/0,9;"")</t>
  </si>
  <si>
    <t>Nachrichtliche Angaben zum Zeitpunkt der Antragstellung und nicht Gegenstand dieses Antrages</t>
  </si>
  <si>
    <r>
      <t xml:space="preserve">Angebot gesundheitliche Versorgungsplanung in der letzten Lebensphase </t>
    </r>
    <r>
      <rPr>
        <sz val="9"/>
        <color theme="1"/>
        <rFont val="Arial"/>
        <family val="2"/>
      </rPr>
      <t>(§132g SGB V)</t>
    </r>
  </si>
  <si>
    <t>Verhandelte Kostenkalkulation der letzten Pflegesatzvereinbarung</t>
  </si>
  <si>
    <t>vom:</t>
  </si>
  <si>
    <t>Relationen</t>
  </si>
  <si>
    <t>Belegung:</t>
  </si>
  <si>
    <t>Fachkraftquote Pflege:</t>
  </si>
  <si>
    <t>Betreuung:</t>
  </si>
  <si>
    <t>Leitung/Verwaltung:</t>
  </si>
  <si>
    <t>Hauswirtschaft:</t>
  </si>
  <si>
    <t>Küche:</t>
  </si>
  <si>
    <t>Haustechnik:</t>
  </si>
  <si>
    <t>Personalkosten:</t>
  </si>
  <si>
    <t>zusätzliche Betreuung und Aktivierung nach       § 43 b SGB XI:</t>
  </si>
  <si>
    <t>Forderung</t>
  </si>
  <si>
    <t>Pflege gesamt:</t>
  </si>
  <si>
    <t>Funktionsbereich:</t>
  </si>
  <si>
    <t>Steigerungsrate:</t>
  </si>
  <si>
    <t>gesamt:</t>
  </si>
  <si>
    <t>Stellen</t>
  </si>
  <si>
    <t>Personalausstattung:</t>
  </si>
  <si>
    <t>Freiwillige Dienste/FSJ Einsatz:</t>
  </si>
  <si>
    <t>Freiwillige Dienste/ FSJ Einsatz:</t>
  </si>
  <si>
    <t>€/VK / €/Stelle</t>
  </si>
  <si>
    <t>pflegerischer Sachbedarf</t>
  </si>
  <si>
    <t>Wasser, Energie, Brenntstoffe</t>
  </si>
  <si>
    <t>Gesamtsumme:</t>
  </si>
  <si>
    <t>2.1.</t>
  </si>
  <si>
    <t>2.2.</t>
  </si>
  <si>
    <t>2.3.</t>
  </si>
  <si>
    <t>2.4.</t>
  </si>
  <si>
    <t>2.5.</t>
  </si>
  <si>
    <t>2.6.</t>
  </si>
  <si>
    <t>2.7.</t>
  </si>
  <si>
    <t>2.8.</t>
  </si>
  <si>
    <t>2.9.</t>
  </si>
  <si>
    <t>2.10.</t>
  </si>
  <si>
    <t>Fremdleistungen/ Leistungen des Trägers</t>
  </si>
  <si>
    <t>3.1.</t>
  </si>
  <si>
    <t>3.2.</t>
  </si>
  <si>
    <t>3.3.</t>
  </si>
  <si>
    <t>3.4.</t>
  </si>
  <si>
    <t>3.5.</t>
  </si>
  <si>
    <t>3.6.</t>
  </si>
  <si>
    <t>3.7.</t>
  </si>
  <si>
    <t>Unterkunft</t>
  </si>
  <si>
    <t>43 b SGB XI</t>
  </si>
  <si>
    <t>Beförderung:</t>
  </si>
  <si>
    <t>Vergütungszuschlag für:</t>
  </si>
  <si>
    <t>Datum</t>
  </si>
  <si>
    <t>Laufzeit:</t>
  </si>
  <si>
    <t>27.06.2019:</t>
  </si>
  <si>
    <t>Verknüpfung der Gesamtkalkulation mit dem neuen Tab. Kalkulation</t>
  </si>
  <si>
    <t xml:space="preserve"> - D16 bis D 45 Gesamtaufwendungen werden aus Tab. Kalkulation (geforderten Werte) gezogen</t>
  </si>
  <si>
    <t xml:space="preserve"> - Formeln in Zelle G17;I17;K17;M17;o17 angepasst mit Bezug zu Tab Kalkualtion</t>
  </si>
  <si>
    <t>Zelle J6 =&gt; Formel angepasst, Bezug jetzt zu Tab. Kalkulation</t>
  </si>
  <si>
    <t>Zelle L6 =&gt; Formel angepasst, Bezug jetzt zu Tab. Kalkulation</t>
  </si>
  <si>
    <t>Zelle N6 =&gt; Formel angepasst bisher Bezug zu Divisor?, jetzt Platzzahl * Tage * Auslastung</t>
  </si>
  <si>
    <t>Formeln in Zellen I,K;M,O,R 28-36 + 39-45 und D27 angepasst, bisher mit Divisor gerechnet jetzt Bezug $N$6</t>
  </si>
  <si>
    <t xml:space="preserve"> =WENN(Belegung!E26=0;RUNDEN(Gesamtkalkulation!J51*0,78;2);RUNDEN((Gesamtkalkulation!H16+Gesamtkalkulation!H26+Gesamtkalkulation!H38);2))</t>
  </si>
  <si>
    <t>H47 bisher</t>
  </si>
  <si>
    <t>H47 neu</t>
  </si>
  <si>
    <t xml:space="preserve">  =WENN(Kalkulation!H14=0;RUNDEN(Gesamtkalkulation!J51*0,78;2);RUNDEN((Gesamtkalkulation!H16+Gesamtkalkulation!H26+Gesamtkalkulation!H38);2))</t>
  </si>
  <si>
    <t>01.07.2019/ Formel in Zelle J51/L51/N51/P51 mit Bezug zu Tab KAT angepasst</t>
  </si>
  <si>
    <t>zusätzliche Betreuung und Aktivierung</t>
  </si>
  <si>
    <t>Leitung/ Verwaltung</t>
  </si>
  <si>
    <t>Wasser/ Energie/ Brennstoffe</t>
  </si>
  <si>
    <t>Steuern/ Abgaben/ Versicherungen</t>
  </si>
  <si>
    <r>
      <rPr>
        <sz val="10"/>
        <color theme="1"/>
        <rFont val="Arial"/>
        <family val="2"/>
      </rPr>
      <t>Wartung</t>
    </r>
    <r>
      <rPr>
        <sz val="9"/>
        <color theme="1"/>
        <rFont val="Arial"/>
        <family val="2"/>
      </rPr>
      <t xml:space="preserve"> (keine Instandhaltung)</t>
    </r>
  </si>
  <si>
    <t>sonstige Aufwendugnen</t>
  </si>
  <si>
    <t>Küche (ohne Pkt. 2.1)</t>
  </si>
  <si>
    <t>VK-Umfang für der PDL/stellv. PDL entsprechend RVT</t>
  </si>
  <si>
    <t>Plätze von</t>
  </si>
  <si>
    <t>Plätze bis</t>
  </si>
  <si>
    <t>VK</t>
  </si>
  <si>
    <t>VK PDL für PE</t>
  </si>
  <si>
    <t xml:space="preserve"> &lt; 151</t>
  </si>
  <si>
    <t>TAB Berechnung VK-Umfang PDL/stellv. PDL eingefügt = Ergebnis mit TAB Kat verknüpft</t>
  </si>
  <si>
    <t>Belegung</t>
  </si>
  <si>
    <t>PR</t>
  </si>
  <si>
    <t>VK nach PR</t>
  </si>
  <si>
    <t>% Ansatz für Verteilung Pkosten Pflege</t>
  </si>
  <si>
    <t>PK-Pflege</t>
  </si>
  <si>
    <t>Summe:</t>
  </si>
  <si>
    <t>PDL lt. TAB Personalaufw.</t>
  </si>
  <si>
    <t>Gesamt VK Pflege inkl PDL/stellv.</t>
  </si>
  <si>
    <t>Zellen: G17;I17;K17;M17;O17 erweiter um Wennfunktion, sofern vst. Einrichtung Verteilung der PK Pflege nach prozentualer Verteilung des PersonalsPflege siehe TAB Kat, ansonsten erfolgt die Verteilung mit Hilfe von PR</t>
  </si>
  <si>
    <t>13.11.2019/ Zelle B41 bis C41 bedingt formatiert, Anzeige "3.3.Wäschekennzeichnung" nur bei vst. PE</t>
  </si>
  <si>
    <t>13.11.2019/ in H53; J53;L53;N53;953, R53, T53 und V53 bestehende Formeln um Funktions Wennfehler( …….;0) ergänzt</t>
  </si>
  <si>
    <t>13.11.2019/ Spalte D26:D36; D38:D45; D47; D16:D24 grau formatiert, Schrift schwarz, Zwischensumme: D38;D26 undD16 Schrift fett</t>
  </si>
  <si>
    <t>13.11.2019/ D16:D17  Formeln um Wenffehler-funktion ergänzt, damit keine 0 Werte stehen bei leeren Antrag</t>
  </si>
  <si>
    <t>13.11.2019:bisher wurden bei einem leeren Antrag in Zellen D16 bis D23 Nullwerte angezeigt, Korrektur durch eine Wennfunktion,</t>
  </si>
  <si>
    <t xml:space="preserve">  13.11.2019 Formel von C53 in B53 verschoben =WENN('Allgemeine Angaben'!L45&gt;0;"errechnete Pflegesätze (Tag je Platz) für angebundene Kurzzeitpflege:";"")</t>
  </si>
  <si>
    <t>Kalkulation</t>
  </si>
  <si>
    <t>05.12.2019 Veränderung vom 13.11.2019 in Formeln D16 bis D23 aufgehoben, Anzeige Nullwert, da excel mit "Wert" nicht rechnen kann</t>
  </si>
  <si>
    <t>vollstationäre Pflegeeinrichtung</t>
  </si>
  <si>
    <t>angebundene Kurzzeitpflege</t>
  </si>
  <si>
    <t>Probe</t>
  </si>
  <si>
    <t>Relation ohne PDL/stellv. PDL</t>
  </si>
  <si>
    <t>Personalumfang</t>
  </si>
  <si>
    <t>proz. Verteilung Personalumfang nach Relation</t>
  </si>
  <si>
    <t>Relation inklusive PDL/stellv. PDL</t>
  </si>
  <si>
    <t xml:space="preserve">  PDL/stellv. PDL:</t>
  </si>
  <si>
    <t>Gesamt:</t>
  </si>
  <si>
    <t>Umrechnung der Personalrelation Pflege vst. exkl. PDL/stellv. PDL für die angebundene KZP Relation Pflege inklusive PDL/stellv. PDL</t>
  </si>
  <si>
    <t>letzter Vereinbarungszeitraum:</t>
  </si>
  <si>
    <t>Antrag vom:</t>
  </si>
  <si>
    <t>Wohnpflegeheim</t>
  </si>
  <si>
    <t>Tabellenblatt</t>
  </si>
  <si>
    <t>Inhalt</t>
  </si>
  <si>
    <t>Anpassung</t>
  </si>
  <si>
    <t>Hinweise</t>
  </si>
  <si>
    <t>Zulassungsdatum der Pflegeeinrichtung:</t>
  </si>
  <si>
    <t>Ausbildungsbetrieb und/oder Praktikumsbetrieb nach dem Pflegeberufegesetz</t>
  </si>
  <si>
    <t>D6</t>
  </si>
  <si>
    <t>Hinweise für Anwender bzw. erledigt am:</t>
  </si>
  <si>
    <t>Datum der 
Änderung</t>
  </si>
  <si>
    <t>N16</t>
  </si>
  <si>
    <t>solitär</t>
  </si>
  <si>
    <t>angebunden</t>
  </si>
  <si>
    <t>Steigerungsraten</t>
  </si>
  <si>
    <t>Personalkosten</t>
  </si>
  <si>
    <t>Fremdleistung</t>
  </si>
  <si>
    <t>L20</t>
  </si>
  <si>
    <t>L16</t>
  </si>
  <si>
    <t>Belegung für angebundene / integrierte KZP:</t>
  </si>
  <si>
    <t>B22:D22</t>
  </si>
  <si>
    <t>bedingte Formatierung angepasst für die Erkennung von Fehlerfassungen</t>
  </si>
  <si>
    <t>die Angabe des Stellenumfang der PDL/stv. PDL ist ein Erfassungsfeld für vst. PE, damit Fehleintragungen dr. KZP + TP in diesem Feld besser sichtbar sind, wurde die Schriftfarbe bei derbedingten Formatierung angepasst</t>
  </si>
  <si>
    <t>H22:J22</t>
  </si>
  <si>
    <t>keine Anpassung der bedingten Formatierung</t>
  </si>
  <si>
    <t>für die Berücksichtigung der Pkosten in der Pflege gibt es in der Zelle eine J23 eine PlausiFormel, die den VK Anteil für PDL/stv. nur bei vst. PE berücksichtigt</t>
  </si>
  <si>
    <t>ab Zeile 69</t>
  </si>
  <si>
    <t>Angaben zu Investkosten gelöscht analog anderen Antragsvarianten</t>
  </si>
  <si>
    <t>Auswahl nur KZP und TP (siehe Abstimmung vom 02.08.2023), Text Datenübertragung angepasst</t>
  </si>
  <si>
    <t>vorher:</t>
  </si>
  <si>
    <t>bzw.</t>
  </si>
  <si>
    <t>Welcher Tarif / AVR:</t>
  </si>
  <si>
    <t>unmittelbare Bindung Tarif / AVR:</t>
  </si>
  <si>
    <t>Fassung vom:</t>
  </si>
  <si>
    <t>neue Zeile in 56-58 eingefügt</t>
  </si>
  <si>
    <t>B56</t>
  </si>
  <si>
    <t>H56</t>
  </si>
  <si>
    <t>neu: unmittelbare Bindung Tarif / AVR:</t>
  </si>
  <si>
    <t>B57</t>
  </si>
  <si>
    <t>H57</t>
  </si>
  <si>
    <t>Erfassungsfeld für LE</t>
  </si>
  <si>
    <t>B58</t>
  </si>
  <si>
    <t>neu: Fassung vom:</t>
  </si>
  <si>
    <t>H58</t>
  </si>
  <si>
    <t>Differenzierung Träger ob TV-Binder oder Anwender</t>
  </si>
  <si>
    <t>neu: Dropdownfeld ja nein eingefügt</t>
  </si>
  <si>
    <t>K56</t>
  </si>
  <si>
    <t>Plausi-Neu:  =WENN(UND(H56="";H52="");"Bitte Angaben zur Bindung Tarif / AVR vornehmen.";"")</t>
  </si>
  <si>
    <t>K58</t>
  </si>
  <si>
    <t>Plausi-Neu:  =WENN(H57="";"Bitte Angaben zum Tarif / AVR vornehmen.";"")</t>
  </si>
  <si>
    <t>Wenn(und funktioniert nicht richtig mit neuem Microsoftprogramm somit zusätzl. Formel in K58</t>
  </si>
  <si>
    <t>Text ergänzt für Tarifanwender</t>
  </si>
  <si>
    <t xml:space="preserve">der Träger für die Bezahlung der Mitarbeiter an einen Tarifvertrag oder an kirchliche Arbeitsrechtsregelungen gebunden ist </t>
  </si>
  <si>
    <t>bisheriger Punkt 3 gestrichen: Für vollstationäre Einrichtungen gelten die Regelungen des vollstationären Rahmenvertrages zur Personalausstattung entsprechend</t>
  </si>
  <si>
    <t>der Träger für die Bezahlung der Mitarbeiter einen Tarifvertrag oder eine kirchliche Arbeitsrechtsregelung anwendet (Der Träger wendet den Tarifvertrag oder kirchliche Arbeitsregelungen an ohne selbst Tarifpartei zu sein und  die letzte Vergütungsverhandlung abweichend zu nachfolgenden Regelungen auf Basis eines Vollantrages und keinem vereinfachten, pauschalen Verfahren erfolgte)</t>
  </si>
  <si>
    <t>neue Nummerierung durch Streichung bisherigen Pkt. 3</t>
  </si>
  <si>
    <t>Antrag soll nun doch lt. PSK vom 31.08.2023 nur für Tarifbinder gelten</t>
  </si>
  <si>
    <t>deshalb Streichung des folgenden Textes: bzw. "der Träger für die Bezahlung der Mitarbeiter einen Tarifvertrag oder eine kirchliche Arbeitsrechtsregelung anwendet ohne selbst Tarifpartei zu sein und die letzte Vergütungsverhandlung abweichend zu den nachfolgenden Regelungen auf Basis eines Vollantrages und keinem vereinfachten, pauschalen Verfahren erfolgte"</t>
  </si>
  <si>
    <t>keine Auswahl zw. Tarifbindung mittelbar und unmittelbar, Antrag nur für Tarifbinder</t>
  </si>
  <si>
    <t>Plausi in K56 gelöscht (bisher: =WENN(UND(H56="";H52="");"Bitte Angaben zur Bindung Tarif / AVR vornehmen.";""))</t>
  </si>
  <si>
    <t>Plausifeld in K56 nicht notw.</t>
  </si>
  <si>
    <t>Formeln und Felder in H57, H58 und K57 bleiben</t>
  </si>
  <si>
    <t>H56 Dropdown-Feld gelöscht und mit ja angegeben + kein Erfassung /Hinweistext</t>
  </si>
  <si>
    <t>zusätzliche Betreuung und Aktivierung nach                § 43 b SGB XI:</t>
  </si>
  <si>
    <r>
      <t>Dieses Verfahren kann von zugelassenen Pflegeeinrichtungen (</t>
    </r>
    <r>
      <rPr>
        <sz val="10"/>
        <color rgb="FFFF0000"/>
        <rFont val="Arial"/>
        <family val="2"/>
      </rPr>
      <t>Tagespflegen, Kurzzeitpflegen solitär wie angebundene)</t>
    </r>
    <r>
      <rPr>
        <sz val="10"/>
        <rFont val="Arial"/>
        <family val="2"/>
      </rPr>
      <t xml:space="preserve"> nur dann in Anspruch genommen werden, wenn </t>
    </r>
  </si>
  <si>
    <t>Stellungnahme Heimbeirat noch beibehalten wg. KZP</t>
  </si>
  <si>
    <t>sonstige Stellen</t>
  </si>
  <si>
    <t>Benennung der Version als B3 (Gegenstück für B1 für tarifungebundene LE) - Hinweise bleiben vorerst so</t>
  </si>
  <si>
    <t>B3_Kalkulation</t>
  </si>
  <si>
    <t>B3_Allgemeine Angaben</t>
  </si>
  <si>
    <t>Überschrift angepasst</t>
  </si>
  <si>
    <t>bisher: vereinfachtes .... Verfahren neu: analog der B1,B2 + B3 Variante</t>
  </si>
  <si>
    <t xml:space="preserve">B48 </t>
  </si>
  <si>
    <t>Inhalt entfernt (Text bisher: Platzzahl der angebundenen / integrierten Kurzzeitpflege lt. Versorgungsvertrag)</t>
  </si>
  <si>
    <t>L48</t>
  </si>
  <si>
    <t>Erfassungsfeld gelöscht</t>
  </si>
  <si>
    <t>B3 können nur TP + KZP nutzen, desh. Angaben zu eingestreuten/ integrierten KZP unnötig</t>
  </si>
  <si>
    <t xml:space="preserve"> dito</t>
  </si>
  <si>
    <t>Zeile 56 : 58 neu eingefügt</t>
  </si>
  <si>
    <t>Angaben zur Tarifbindung, Tarif und Fassung vom</t>
  </si>
  <si>
    <t>K19</t>
  </si>
  <si>
    <t>K20</t>
  </si>
  <si>
    <t>Text neu: "Personalkosten:"</t>
  </si>
  <si>
    <t>Text "Personalkosten:" verschoben in K20</t>
  </si>
  <si>
    <t>M20</t>
  </si>
  <si>
    <t>Text neu: Steigerungsrate</t>
  </si>
  <si>
    <t>Text + bedingte Formatierung gelöscht: Relationen  angebundene / integrierte KZP</t>
  </si>
  <si>
    <t>N16:N20</t>
  </si>
  <si>
    <t>Inhalt und bedingte Formatierung für angebundene KZP gelöscht</t>
  </si>
  <si>
    <t>N22:N30</t>
  </si>
  <si>
    <t>dito</t>
  </si>
  <si>
    <t>Erfassungsfeld gelöscht für % pauschal für alle Funktionsbereiche</t>
  </si>
  <si>
    <t xml:space="preserve">in Höhe von: </t>
  </si>
  <si>
    <t>Begründungen für:</t>
  </si>
  <si>
    <t xml:space="preserve"> - die Personalkostensteigerungen -</t>
  </si>
  <si>
    <t xml:space="preserve"> - die Sachkostensteigerungen -</t>
  </si>
  <si>
    <t xml:space="preserve"> - die Fremdleistungen -</t>
  </si>
  <si>
    <t>ERGEBNIS</t>
  </si>
  <si>
    <t>Entlohnung nach:</t>
  </si>
  <si>
    <t>unmittelbare Bindung Tarif/AVR</t>
  </si>
  <si>
    <t>Trägerdaten:</t>
  </si>
  <si>
    <t>Ein.-Art</t>
  </si>
  <si>
    <t>Telefon:</t>
  </si>
  <si>
    <t>Fax:</t>
  </si>
  <si>
    <t>E-Mail:</t>
  </si>
  <si>
    <t>Institutionskennzeichen (IK):</t>
  </si>
  <si>
    <t>Vereinbarungszeitraum (prospektiv):</t>
  </si>
  <si>
    <t>von:</t>
  </si>
  <si>
    <t>Belegung je Pflegegrad:</t>
  </si>
  <si>
    <t>I</t>
  </si>
  <si>
    <t>II</t>
  </si>
  <si>
    <t>III</t>
  </si>
  <si>
    <t>IV</t>
  </si>
  <si>
    <t>V</t>
  </si>
  <si>
    <t>Einrichtung:</t>
  </si>
  <si>
    <t>Personalrelation Pflege:</t>
  </si>
  <si>
    <t>Pflegegrad:</t>
  </si>
  <si>
    <t>Fachkraftquote</t>
  </si>
  <si>
    <t>Personalrelationen außerhalb der Pflege:</t>
  </si>
  <si>
    <t>Leitung/Ver-waltung</t>
  </si>
  <si>
    <t>zusätzliche Betreuung § 43b SGB XI</t>
  </si>
  <si>
    <t>FSJ/BFD Anzahl Stellen</t>
  </si>
  <si>
    <t>Personalaufwendungen:</t>
  </si>
  <si>
    <t>Pflege</t>
  </si>
  <si>
    <t>Sachaufwendungen:</t>
  </si>
  <si>
    <t>Fremdleistungen:</t>
  </si>
  <si>
    <t>Wäsche-             kennzeichnung</t>
  </si>
  <si>
    <t>Verpflegung</t>
  </si>
  <si>
    <t>§ 43b SGB XI</t>
  </si>
  <si>
    <t>Fahrtkosten</t>
  </si>
  <si>
    <t>Die Richtigkeit der Angaben wird bestätigt:</t>
  </si>
  <si>
    <t>Vergütungszuschläge für</t>
  </si>
  <si>
    <t>Pflegesätze</t>
  </si>
  <si>
    <t>handelnd für alle Kostenträger (Datum, Unterschrift)</t>
  </si>
  <si>
    <t>M16, M23:M30; M32; M45</t>
  </si>
  <si>
    <t>neu: Erfassungsfelder für Steigerungsraten, Begrenzung Erfassung mit Datenübertragung, Personalkosten + 10% sonstige Mitarbeiter + 5%, Sachkosten bis max. 7,5% und Fremdleistung bis max. 9,1%</t>
  </si>
  <si>
    <t>Verschiebung Erfassungsfeld für % - Anpassung Formel notw.</t>
  </si>
  <si>
    <t>L17</t>
  </si>
  <si>
    <t>Hinweisfeld eingefügt - Fahrtkosten bis max. 17,90 € vereinbar</t>
  </si>
  <si>
    <t>M15; M20</t>
  </si>
  <si>
    <t>Überschrift Steigerungsrate neu</t>
  </si>
  <si>
    <t>M21:N22</t>
  </si>
  <si>
    <t>L16;L23:L30;L33:L43;L46:L53</t>
  </si>
  <si>
    <t>durch Verschiebung Erfassungsfeld für Steigerungsrate - Anpassung der Formeln notw.</t>
  </si>
  <si>
    <t>L33:L43;L46:L53</t>
  </si>
  <si>
    <t xml:space="preserve">Abbildung €/Tag </t>
  </si>
  <si>
    <t>O15:R53</t>
  </si>
  <si>
    <t>neu: Begründungsfelder für Personalveränderung, Personalkosten und Sachkosten wie Fremdleistungen</t>
  </si>
  <si>
    <t>B3_Ergebnis</t>
  </si>
  <si>
    <t>Erfassungsfelder für IAP, Zelle N22 bedingt formatiert- erfassbar nur sofern N21 ja, begrenzt auf 3000 €/VK</t>
  </si>
  <si>
    <t>neues Tabellenblatt: analog Antrag B4 erstellt</t>
  </si>
  <si>
    <t>18./19.12.2023</t>
  </si>
  <si>
    <t>I6 + D6</t>
  </si>
  <si>
    <t>Datenübertragung Text für vst. Einrichtungen gelöscht</t>
  </si>
  <si>
    <t>Heidestraße 40</t>
  </si>
  <si>
    <t>Adressen</t>
  </si>
  <si>
    <t>angepasst</t>
  </si>
  <si>
    <t>Vereinbarungszeitraum prospektiv:</t>
  </si>
  <si>
    <t>Altes Adressblatt läßt sich nicht mehr entsperren</t>
  </si>
  <si>
    <t>F52</t>
  </si>
  <si>
    <t>F16</t>
  </si>
  <si>
    <t>Zellschutz raus</t>
  </si>
  <si>
    <t>Zeile 47,48</t>
  </si>
  <si>
    <t>Gitternetzlinien raus</t>
  </si>
  <si>
    <t>Erläuterung der Änderungen gegenüber der Vorversion (Änderungshistorie zu B1) nach dem 12.06.2023</t>
  </si>
  <si>
    <t>€/Tag</t>
  </si>
  <si>
    <t>B3_Gesamtkalkulation</t>
  </si>
  <si>
    <t>H15;J15;L15;N15;P15;R15;V15</t>
  </si>
  <si>
    <t>Text korrigiert, €/Tag anstelle Tag / €</t>
  </si>
  <si>
    <t>Beförderung intern (Preis):</t>
  </si>
  <si>
    <t>Beförderung extern (Preis):</t>
  </si>
  <si>
    <t>Bitte auswählen.</t>
  </si>
  <si>
    <t>max 2025</t>
  </si>
  <si>
    <t>max bis 2024</t>
  </si>
  <si>
    <t>Prüf-KZ</t>
  </si>
  <si>
    <t>Steig. lt. Ford.</t>
  </si>
  <si>
    <t>Begrenzung auf Max</t>
  </si>
  <si>
    <t>Ford. &lt; als Max.Wert</t>
  </si>
  <si>
    <t>Text für Plausifeld B3_Kalk in L20</t>
  </si>
  <si>
    <t>Erläuterung</t>
  </si>
  <si>
    <t>Berechnungsfeld für Fahrtkostensteigerung in B3_Kalkulation K16 + Plausifeld in L17</t>
  </si>
  <si>
    <t>Kat</t>
  </si>
  <si>
    <t>A94:B94</t>
  </si>
  <si>
    <t>Steig.rate sonstige Stellen</t>
  </si>
  <si>
    <t>A95:B97</t>
  </si>
  <si>
    <t>Auswahlmöglichkeiten und max. Steigerungswerte für Fahrtkosten lt. PSK 07.11.2024</t>
  </si>
  <si>
    <t>K16</t>
  </si>
  <si>
    <t>Beförderung extern (Preis): = 2 (Prüf-KZ)</t>
  </si>
  <si>
    <t>Beförderung intern (Preis): = 1 (Prüf-KZ)</t>
  </si>
  <si>
    <t>Formel neu: =WENN(M16&lt;&gt;0;KAT!L94;"")</t>
  </si>
  <si>
    <t>Formel neu =WENN(M16&lt;&gt;0;KAT!N94;"")</t>
  </si>
  <si>
    <t>J90:Q96</t>
  </si>
  <si>
    <t>Hilfstabelle für Berechnung max. Werte Fahrtkosten und Plausitext in L17 + L16</t>
  </si>
  <si>
    <t>B92:B96</t>
  </si>
  <si>
    <t>max. Steigerungsraten/werte - SK 3,5%, FL 5%, interne Beförderung 18,50€, externe Beförderung 21 €</t>
  </si>
  <si>
    <t>M21</t>
  </si>
  <si>
    <t>Datenübertragung;Liste;KAT!A95:KAT!B97, Schutz raus</t>
  </si>
  <si>
    <t>M21:M20</t>
  </si>
  <si>
    <t>verbunden; Text: Steigerungsrate</t>
  </si>
  <si>
    <t>N21</t>
  </si>
  <si>
    <t>N21:N22</t>
  </si>
  <si>
    <t>keine Erfassungsfelder mehr, Schutz</t>
  </si>
  <si>
    <t>Datenübertragung, Liste ja;nein gelöscht - neu jeder Wert</t>
  </si>
  <si>
    <t>M32</t>
  </si>
  <si>
    <t>M45</t>
  </si>
  <si>
    <t>Datenübertragung angepasst- Fehlermeldung .....(5,00%).</t>
  </si>
  <si>
    <t>Datenübertragung angepasst- Fehlermeldung .....(3,50%).</t>
  </si>
  <si>
    <t>B47:L48</t>
  </si>
  <si>
    <t>Textund bedingte Formatierung zur Inflationsausgleichsprämie gelöscht</t>
  </si>
  <si>
    <t>verguetung-pflege.sac@vdek.com</t>
  </si>
  <si>
    <t>BARMER</t>
  </si>
  <si>
    <t>Landesvertretung Sachsen</t>
  </si>
  <si>
    <t>Postfach 12 03 65</t>
  </si>
  <si>
    <t>01004 Dresden</t>
  </si>
  <si>
    <t>Adressverzeichnis</t>
  </si>
  <si>
    <t>M15:M16</t>
  </si>
  <si>
    <t>bedingt formatiert, sofern keine TP, dann weiße Farbe, weiße Schrift</t>
  </si>
  <si>
    <t>N15:N16</t>
  </si>
  <si>
    <t>blau für KZ- bedingte Formatierung</t>
  </si>
  <si>
    <t xml:space="preserve"> =KAT!L94</t>
  </si>
  <si>
    <t>B3_Kat</t>
  </si>
  <si>
    <t>Hinweisfelder</t>
  </si>
  <si>
    <t>Hinweis-/Fehlerfelder werden blau (="ja") bzw. weiß (="nein") angezeigt.</t>
  </si>
  <si>
    <t>L56</t>
  </si>
  <si>
    <t xml:space="preserve"> Text: Beförderung: mit Formel ersetzt; =WENN(KAT!J94=1;"Fahrtkosten - Beförderung intern";"Fahrtkosten - Beförderung extern")</t>
  </si>
  <si>
    <t>Hyperlinks Namen auf B3_xxx angepasst</t>
  </si>
  <si>
    <t>B3_Hinweise</t>
  </si>
  <si>
    <t>Punkt 5</t>
  </si>
  <si>
    <t>3,5% Sachkosten, 5,00 % Fremdleistung</t>
  </si>
  <si>
    <t>Fußzeile angepasst</t>
  </si>
  <si>
    <t>Version: 22.11.2024</t>
  </si>
  <si>
    <r>
      <t>Text gelöscht:</t>
    </r>
    <r>
      <rPr>
        <strike/>
        <sz val="10"/>
        <rFont val="Arial"/>
        <family val="2"/>
      </rPr>
      <t xml:space="preserve"> Inflationsausgleichsprämie in der Forderung enthalten?</t>
    </r>
  </si>
  <si>
    <t>pflegesatzverhandlungen_sachsen@plus.aok.de</t>
  </si>
  <si>
    <t>pflegeverhandlungen-sachsen@ikk-classic.de</t>
  </si>
  <si>
    <t>vertrag.chemnitz@kbs.de</t>
  </si>
  <si>
    <t>Pflege-SN@bkkmitte.de</t>
  </si>
  <si>
    <t>und</t>
  </si>
  <si>
    <t xml:space="preserve">pflegesatzverhandlungen_sachsen@barmer.de </t>
  </si>
  <si>
    <t>Mitglieder:</t>
  </si>
  <si>
    <t>Techniker Krankenkasse</t>
  </si>
  <si>
    <t>pflege@pkv.de</t>
  </si>
  <si>
    <t>10557 Berlin</t>
  </si>
  <si>
    <t>KAT</t>
  </si>
  <si>
    <t>Werte angepasst</t>
  </si>
  <si>
    <t>C92:C96</t>
  </si>
  <si>
    <t>Datum angepasst</t>
  </si>
  <si>
    <t>N92:N93;O4</t>
  </si>
  <si>
    <t>Text angepasst</t>
  </si>
  <si>
    <t>Auswahlmöglichkeiten und Hinweistext angepasst (nur noch TP)</t>
  </si>
  <si>
    <t>A1</t>
  </si>
  <si>
    <t>verbunden bis Spalte N (bisher nur bis M)</t>
  </si>
  <si>
    <t>D6;I6</t>
  </si>
  <si>
    <t>M32;M42</t>
  </si>
  <si>
    <t>Blatt ersetzt durch Blatt aus dem Antrag vst</t>
  </si>
  <si>
    <t>Zellbezüge angepasst</t>
  </si>
  <si>
    <t>Blatt gelöscht</t>
  </si>
  <si>
    <t>Blatt ausgeblendet</t>
  </si>
  <si>
    <t xml:space="preserve">B3_Bewohnervertretung </t>
  </si>
  <si>
    <t>Zeile 77</t>
  </si>
  <si>
    <t>ausgeblendet</t>
  </si>
  <si>
    <t>Pflege/ Betreuung</t>
  </si>
  <si>
    <t>rüE</t>
  </si>
  <si>
    <t>Tarifbindung/Tarifanlehnung</t>
  </si>
  <si>
    <t>Leitung und Verwaltung</t>
  </si>
  <si>
    <t>Vereinbarungswerte</t>
  </si>
  <si>
    <t>§ 43 b SGB XI</t>
  </si>
  <si>
    <t>Kostenträger</t>
  </si>
  <si>
    <t>KSV</t>
  </si>
  <si>
    <t>Pflegeeinrichtung</t>
  </si>
  <si>
    <t>Trägerdaten</t>
  </si>
  <si>
    <t>Vereinbarungszeitraum:</t>
  </si>
  <si>
    <t xml:space="preserve">bis: </t>
  </si>
  <si>
    <t>Personelle Ausstattung / Personalkosten der Pflegeeinrichtung:</t>
  </si>
  <si>
    <t>Vollkräfte</t>
  </si>
  <si>
    <t>Personal-relation</t>
  </si>
  <si>
    <t>Personal-kosten je VK</t>
  </si>
  <si>
    <t xml:space="preserve"> 1:</t>
  </si>
  <si>
    <t>Zusätzliche Betreuung und Aktivierung nach            § 43 b SGB XI</t>
  </si>
  <si>
    <t>Leitung / Verwaltung</t>
  </si>
  <si>
    <t>Anzahl:</t>
  </si>
  <si>
    <t>Kosten je Stelle</t>
  </si>
  <si>
    <t>Einsatzstellen Freiwillige Dienste / FSJ</t>
  </si>
  <si>
    <t>Sachaufwendungen (gesamt):</t>
  </si>
  <si>
    <t>Fremdleistungen / Leistungen des Trägers (gesamt):</t>
  </si>
  <si>
    <t>2.1. Lebensmittel</t>
  </si>
  <si>
    <t>3.1. Küche</t>
  </si>
  <si>
    <t>2.2. pflegerischer Sachbedarf</t>
  </si>
  <si>
    <t>3.2. Wäscherei</t>
  </si>
  <si>
    <t>2.3. Wasser, Energie, Brennstoffe</t>
  </si>
  <si>
    <t>2.4. Verwaltungsbedarf</t>
  </si>
  <si>
    <t>2.5. Zentrale Verwaltungsdienste</t>
  </si>
  <si>
    <t>3.5. Haustechnik</t>
  </si>
  <si>
    <t>2.6. Betreuungsaufwand</t>
  </si>
  <si>
    <t>2.7. Wirtschaftsbedarf</t>
  </si>
  <si>
    <t>2.8. Steuern/Abgaben/Versicherungen</t>
  </si>
  <si>
    <t>2.9. Wartung (keine Instandhaltung)</t>
  </si>
  <si>
    <t>2.10. sonstige Aufwendungen</t>
  </si>
  <si>
    <t xml:space="preserve">Pflegesatz und Entgelte </t>
  </si>
  <si>
    <t>Pflegesatz:</t>
  </si>
  <si>
    <t>€ / Tag</t>
  </si>
  <si>
    <t>Vergütungszuschlag § 43 b SGB XI:</t>
  </si>
  <si>
    <t>Entgelte:</t>
  </si>
  <si>
    <t>für die Unterkunft:</t>
  </si>
  <si>
    <t>für die Verpflegung:</t>
  </si>
  <si>
    <t>Verhandlungsführer</t>
  </si>
  <si>
    <t>PLZ</t>
  </si>
  <si>
    <t>Ort</t>
  </si>
  <si>
    <t>3.3. Reinigung</t>
  </si>
  <si>
    <t>3.4. Verwaltung</t>
  </si>
  <si>
    <t>für die Fahrtkosten:</t>
  </si>
  <si>
    <t>gehe weiter zu B_TP_Kalkulation</t>
  </si>
  <si>
    <t>gehe weiter zu B_TP_Ergebnis</t>
  </si>
  <si>
    <t>Beförderung</t>
  </si>
  <si>
    <t>Beförderung bis max. 21,30 € vereinbar.</t>
  </si>
  <si>
    <t>Beförderung bis max. 24,22 € vereinbar.</t>
  </si>
  <si>
    <t xml:space="preserve">Ergebnis - wenn KZ = 1, dann max. 21,30€, wenn KZ = 2, dann 24,22 € </t>
  </si>
  <si>
    <t>Unterschrift Pflegeeinrichtung</t>
  </si>
  <si>
    <t>tst</t>
  </si>
  <si>
    <t>Hinweise zum vereinfachten Verfahren der Aufforderung zum Abschluss 
einer Pflegesatzvereinbarung gemäß §§ 84, 85 SGB XI sowie 
von Vereinbarungen nach § 75 SGB XII für teilstationäre Pflegeeinrichtungen</t>
  </si>
  <si>
    <t>Aus Gründen der besseren Lesbarkeit wird auf die gleichzeitige Verwendung männlicher und 
weiblicher Sprachformen verzichtet. Sämtliche Personenbezeichnungen gelten gleichwohl für 
alle Geschlechter.</t>
  </si>
  <si>
    <t>Inhaltsverzeichnis</t>
  </si>
  <si>
    <t>1. Allgemeine Hinweise</t>
  </si>
  <si>
    <t>Die vollständig ausgefüllten Antragsunterlagen sind gemäß § 85 Abs. 2 und Abs. 3 SGB XI den 
Leistungsträgern oder deren Arbeitsgemeinschaften, auf die im Jahr vor Beginn der 
Pflegesatzverhandlungen mehr als fünf vom Hundert der Berechnungstage der Pflegeeinrichtung 
entfallen, spätestens sechs Wochen vor dem beantragten Vereinbarungszeitraum durch den 
Träger der Pflegeeinrichtung zuzusenden (siehe Adressverzeichnis). Zwischen dem 
Antragsdatum und dem Laufzeitbeginn können maximal 4 Monate liegen. Sofern der 
KSV Sachsen nicht bereits Vertragspartei ist, erhält er immer eine Kopie der Allgemeinen 
Angaben und der Kalkulation. 
Werden eingereichte Antragsunterlagen korrigiert bzw. ergänzt, müssen die aktualisierten 
Antragsunterlagen rechtzeitig, in der Regel 14 Tage vor dem Verhandlungstermin, den beteiligten 
Vertragsparteien vorliegen. 
Für jede teilstationäre Pflegeeinrichtung mit einem separaten Versorgungsvertrag nach 
§ 72 SGB XI ist eine gesonderte Aufforderung einzureichen.
Die Antragsunterlagen sind auf der Mappe Kalkulation rechtsverbindlich zu unterzeichnen. 
Die Antragsunterlagen sind im Excel-Format und die Unterschriftenseiten (Mappe Kalkulation) im 
pdf-Format per E-Mail an die zuständigen Vertragsparteien zu übermitteln.</t>
  </si>
  <si>
    <r>
      <rPr>
        <b/>
        <sz val="11"/>
        <color theme="1"/>
        <rFont val="Arial"/>
        <family val="2"/>
      </rPr>
      <t>2. Aufforderungsunterlagen</t>
    </r>
    <r>
      <rPr>
        <sz val="11"/>
        <color theme="1"/>
        <rFont val="Arial"/>
        <family val="2"/>
      </rPr>
      <t xml:space="preserve">
Die Aufforderungsunterlagen enthalten Formeln, so dass sich die beantragten Pflegesätze und 
Entgelte errechnen. Es sind ausschließlich die gelben Felder auszufüllen.</t>
    </r>
  </si>
  <si>
    <r>
      <rPr>
        <b/>
        <sz val="11"/>
        <color theme="1"/>
        <rFont val="Arial"/>
        <family val="2"/>
      </rPr>
      <t>2.1. Mappe Allgemeine Angaben</t>
    </r>
    <r>
      <rPr>
        <sz val="11"/>
        <color theme="1"/>
        <rFont val="Arial"/>
        <family val="2"/>
      </rPr>
      <t xml:space="preserve">
Für jede Pflegeeinrichtung muss zwingend ein leeres Antragsformular verwendet werden. 
Die Platzzahl bestimmt sich nach dem Versorgungsvertrag. 
Der Vereinbarungszeitraum umfasst regelmäßig mindestens 12 Monate.
Die Pflegeeinrichtung muss auswählen, ob sie unmittelbar an einen Tarif / eine AVR gebunden 
ist, sich an ein Tarifwerk anlehnt oder nach dem regional üblichen Entgelt entlohnt. 
In Abhängigkeit der getroffenen Aussage stehen differenzierte Steigerungsraten für die 
Kalkulation zur Verfügung. 
Die Parteien der Pflegesatzvereinbarung sind gemäß § 85 Abs. 2 SGB XI zu ermitteln und ihr 
Anteil an den Berechnungstagen der Pflegeeinrichtung entsprechend anzugeben. Der Anteil 
der Pflegebedürftigen, die ergänzende Leistungen der Sozialhilfe erhalten, ist zusätzlich als 
Davonposition auszuweisen. </t>
    </r>
  </si>
  <si>
    <r>
      <rPr>
        <b/>
        <sz val="11"/>
        <color theme="1"/>
        <rFont val="Arial"/>
        <family val="2"/>
      </rPr>
      <t>2.2. Mappe Kalkulation</t>
    </r>
    <r>
      <rPr>
        <sz val="11"/>
        <color theme="1"/>
        <rFont val="Arial"/>
        <family val="2"/>
      </rPr>
      <t xml:space="preserve">
</t>
    </r>
    <r>
      <rPr>
        <u/>
        <sz val="11"/>
        <color theme="1"/>
        <rFont val="Arial"/>
        <family val="2"/>
      </rPr>
      <t>Auslastungsgrad</t>
    </r>
    <r>
      <rPr>
        <sz val="11"/>
        <color theme="1"/>
        <rFont val="Arial"/>
        <family val="2"/>
      </rPr>
      <t xml:space="preserve">
Teilstationäre Pflegeeinrichtung 85 % bis 100 %
</t>
    </r>
    <r>
      <rPr>
        <u/>
        <sz val="11"/>
        <color theme="1"/>
        <rFont val="Arial"/>
        <family val="2"/>
      </rPr>
      <t>jährliche Öffnungstage</t>
    </r>
    <r>
      <rPr>
        <sz val="11"/>
        <color theme="1"/>
        <rFont val="Arial"/>
        <family val="2"/>
      </rPr>
      <t xml:space="preserve">
teilstationäre Pflegeeinrichtungen mit einer Öffnungszeit von Montag bis Freitag: 250 Tage
teilstationäre Pflegeeinrichtungen mit einer Öffnungszeit von Montag bis Samstag: 312 Tage
teilstationäre Pflegeeinrichtungen mit einer Öffnungszeit von Montag bis Sonntag: 365 Tage
Teilstationäre Pflegeeinrichtungen haben an den Öffnungstagen eine Öffnungszeit von 
mindestens 6 Stunden sicherzustellen.
Im Übrigen bildet der linke Teil der Tabelle den Sachstand der aktuell gültigen 
Pflegesatzvereinbarung ab. 
Im rechten Teil der Tabelle wird die Forderung der Pflegeeinrichtung dargestellt.
</t>
    </r>
    <r>
      <rPr>
        <u/>
        <sz val="11"/>
        <color theme="1"/>
        <rFont val="Arial"/>
        <family val="2"/>
      </rPr>
      <t>Pflegebedürftige in der Einrichtung</t>
    </r>
    <r>
      <rPr>
        <sz val="11"/>
        <color theme="1"/>
        <rFont val="Arial"/>
        <family val="2"/>
      </rPr>
      <t xml:space="preserve">
Die Pflegeeinrichtung trägt die Belegung mit Pflegebedürftigen nach den 5 Pflegegraden 
entsprechend der aktuell gültigen Pflegesatzvereinbarung ein. Eine Änderung für die 
prognostische Belegung ist nicht möglich.
Die Belegung muss der Platzzahl im Versorgungsvertrag entsprechen.
Auch wenn eine Pflegeeinrichtung in einzelnen Pflegegraden eine Nullbelegung angibt, wird für 
diesen Pflegegrad eine Personalrelation Pflege und ein Pflegesatz ermittelt.</t>
    </r>
  </si>
  <si>
    <r>
      <rPr>
        <u/>
        <sz val="11"/>
        <color theme="1"/>
        <rFont val="Arial"/>
        <family val="2"/>
      </rPr>
      <t>Beförderung in der teilstationären Pflege</t>
    </r>
    <r>
      <rPr>
        <sz val="11"/>
        <color theme="1"/>
        <rFont val="Arial"/>
        <family val="2"/>
      </rPr>
      <t xml:space="preserve">
In der Prognose muss die teilstationäre Einrichtung zwischen Beförderung durch interne 
Mitarbeiter oder durch einen externen Anbieter unterscheiden.
Als Obergrenze für die Prognose der Beförderung durch interne Mitarbeiter werden 21,30 € 
festgelegt.
Als Obergrenze für die Prognose der Beförderung durch einen externen Anbieter werden 24,22 € festgelegt. 
</t>
    </r>
    <r>
      <rPr>
        <u/>
        <sz val="11"/>
        <color theme="1"/>
        <rFont val="Arial"/>
        <family val="2"/>
      </rPr>
      <t>Personelle Ausstattung der Pflegeeinrichtung</t>
    </r>
    <r>
      <rPr>
        <sz val="11"/>
        <color theme="1"/>
        <rFont val="Arial"/>
        <family val="2"/>
      </rPr>
      <t xml:space="preserve">
Grundlage für die Ermittlung der beantragten Personalrelationen ist das prospektiv in der 
Einrichtung beschäftigte Personal. Eine Vollkraft wird mit 40 Stunden / Woche kalkuliert.
Die Personalrelationen und die Stellenanteile für die Mitarbeiter Pflege und die Mitarbeiter 
Betreuung entsprechen der aktuell gültigen Pflegesatzvereinbarung. Eine Reduzierung ist 
möglich.
Die Fachkraftquote Pflege kann bei Veränderung der Personalausstattung Pflege angepasst 
werden.
In den Bereichen Leitung / Verwaltung, Hauswirtschaft, Küche, Haustechnik und zusätzliche 
Betreuung und Aktivierung nach § 43 b SGB XI werden die Personalrelationen unverändert aus 
der aktuell gültigen Pflegesatzvereinbarung übernommen.
Die Stellen für Freiwillige Dienste / FSJ sind ebenfalls der aktuell gültigen Pflegesatzvereinbarung 
zu entnehmen. Eine prospektive Veränderung ist möglich
Entsprechende Hinweise (Fehlermeldungen) sind zu beachten.
</t>
    </r>
  </si>
  <si>
    <r>
      <rPr>
        <u/>
        <sz val="11"/>
        <color theme="1"/>
        <rFont val="Arial"/>
        <family val="2"/>
      </rPr>
      <t>Personalkosten</t>
    </r>
    <r>
      <rPr>
        <sz val="11"/>
        <color theme="1"/>
        <rFont val="Arial"/>
        <family val="2"/>
      </rPr>
      <t xml:space="preserve">
Die Personalkosten werden aus der aktuell gültigen Pflegesatzvereinbarung übernommen.
Die Angaben der Personalkosten Prognose sind abhängig von der Wahl der Entlohnung (AVR / 
Tarif, Tarifanlehner, regional übliches Entgelt) in der Mappe Allgemeine Angaben.
Die Steigerung der Personalkosten wird für alle Funktionsbereiche in der Mappe Kalkulation 
eingetragen. 
Die bisher geeinten Personalkosten können in den Funktionsbereichen:</t>
    </r>
  </si>
  <si>
    <t>Tarifgebundene Einrichtungen / Tarifanlehner</t>
  </si>
  <si>
    <t xml:space="preserve">Regional übliches Entgelt </t>
  </si>
  <si>
    <t>um maximal 5 %</t>
  </si>
  <si>
    <t>um maximal 3 %</t>
  </si>
  <si>
    <t>um maximal 3,42 %</t>
  </si>
  <si>
    <t xml:space="preserve">Freiwillige Dienste / FSJ </t>
  </si>
  <si>
    <t>um maximal 4 %</t>
  </si>
  <si>
    <t>zusätzliche Betreuung und Aktivierung nach 
§ 43 b SGB XI</t>
  </si>
  <si>
    <t>gesteigert werden.
Für Freiwillige Dienste und FSJ sind im Antrag Netto-Personalkosten darzustellen.
Das regionale Entlohnungsniveau für Pflege / Betreuung und zusätzliche Betreuung nach § 43b SGB XI im 
Rahmen der Veröffentlichung nach § 82c Abs. 5 SGB XI (Stand 30.09.2026) für das regional übliche Entgelt 
beträgt:</t>
  </si>
  <si>
    <r>
      <t xml:space="preserve">Regional übliches Entlohnungsniveau je Beschäftigtengruppe gemäß § 4 Absatz 3 der Richtlinien des GKV-SV nach § 82c Absatz 4 SGB XI in </t>
    </r>
    <r>
      <rPr>
        <b/>
        <sz val="11"/>
        <color theme="1"/>
        <rFont val="Arial"/>
        <family val="2"/>
      </rPr>
      <t>Sachsen</t>
    </r>
    <r>
      <rPr>
        <sz val="11"/>
        <color theme="1"/>
        <rFont val="Arial"/>
        <family val="2"/>
      </rPr>
      <t xml:space="preserve"> (Stand 30.9.2026)</t>
    </r>
  </si>
  <si>
    <t>Pflege- und Betreuungskräfte ohne mindestens einjährige Berufsausbildung</t>
  </si>
  <si>
    <t>20,88 € / h</t>
  </si>
  <si>
    <t xml:space="preserve">Pflege- und Betreuungskräfte mit mindestens einjähriger Berufsausbildung </t>
  </si>
  <si>
    <t>22,52 € / h</t>
  </si>
  <si>
    <t>Fachkräfte in den Bereichen Pflege und Betreuung mit mindestens dreijähriger Berufsausbildung</t>
  </si>
  <si>
    <t>27,18 € / h</t>
  </si>
  <si>
    <r>
      <t xml:space="preserve">Regionale Durchschnittswerte der tarifvertraglich oder in kirchlichen Arbeitsrechtsregelungen 
vereinbarten variablen pflegetypischen Zuschläge auf den Stundenlohn (Grundgehalt) gemäß 
§ 5 Absatz 2 der Richtlinien des GKV-SV nach § 82c Absatz 4 SGB XI in </t>
    </r>
    <r>
      <rPr>
        <b/>
        <sz val="11"/>
        <color theme="1"/>
        <rFont val="Arial"/>
        <family val="2"/>
      </rPr>
      <t>Sachsen</t>
    </r>
    <r>
      <rPr>
        <sz val="11"/>
        <color theme="1"/>
        <rFont val="Arial"/>
        <family val="2"/>
      </rPr>
      <t xml:space="preserve"> 
(Stand 30.9.2026)</t>
    </r>
  </si>
  <si>
    <t>Nachtzuschläge für eine Tätigkeit in der Nacht, mindestens im 
Zeitraum zwischen 23 und 6 Uhr</t>
  </si>
  <si>
    <t>Sonntagszuschläge für eine Tätigkeit an Sonntagen im Zeitraum 
zwischen 0 und 24 Uhr</t>
  </si>
  <si>
    <t>Feiertagszuschläge für eine Tätigkeit an gesetzlichen Feiertagen 
im Zeitraum zwischen 0 und 24 Uhr (mit Freizeitausgleich)</t>
  </si>
  <si>
    <t>Feiertagszuschläge für eine Tätigkeit an gesetzlichen Feiertagen 
im Zeitraum zwischen 0 und 24 Uhr (ohne Freizeitausgleich)</t>
  </si>
  <si>
    <r>
      <t xml:space="preserve">Die Personalkosten von PDL / stellvertretender PDL bleiben bei der Ermittlung des regional üblichen 
Entlohnungsniveaus unberücksichtigt.
</t>
    </r>
    <r>
      <rPr>
        <u/>
        <sz val="11"/>
        <color theme="1"/>
        <rFont val="Arial"/>
        <family val="2"/>
      </rPr>
      <t>Sachkosten</t>
    </r>
    <r>
      <rPr>
        <sz val="11"/>
        <color theme="1"/>
        <rFont val="Arial"/>
        <family val="2"/>
      </rPr>
      <t xml:space="preserve">
Die Sachkosten können in allen Positionen pauschal um maximal 3,0 % bezogen auf die aktuell geeinten Werte 
gesteigert werden.
</t>
    </r>
    <r>
      <rPr>
        <u/>
        <sz val="11"/>
        <color theme="1"/>
        <rFont val="Arial"/>
        <family val="2"/>
      </rPr>
      <t>Fremdleistungen</t>
    </r>
    <r>
      <rPr>
        <sz val="11"/>
        <color theme="1"/>
        <rFont val="Arial"/>
        <family val="2"/>
      </rPr>
      <t xml:space="preserve">
Die Fremdleistungen können in allen Positionen pauschal um maximal 5,0 % bezogen auf die aktuell geeinten 
Werte gesteigert werden.
Die Richtigkeit der Angaben der Pflegeeinrichtung ist mit Unterschrift zu bestätigen.</t>
    </r>
  </si>
  <si>
    <r>
      <rPr>
        <b/>
        <sz val="11"/>
        <color theme="1"/>
        <rFont val="Arial"/>
        <family val="2"/>
      </rPr>
      <t>2.3. Ergebnis</t>
    </r>
    <r>
      <rPr>
        <sz val="11"/>
        <color theme="1"/>
        <rFont val="Arial"/>
        <family val="2"/>
      </rPr>
      <t xml:space="preserve">
Bis zur Ausfertigung der Pflegesatzvereinbarung erhält die Pflegeeinrichtung nach abgeschlossener 
Pflegesatzverhandlung ein von der Kostenträgerseite unterzeichnetes Ergebnis.</t>
    </r>
  </si>
  <si>
    <t>teilstationäre Pflegeeinrichtungen</t>
  </si>
  <si>
    <t>§ 92e (3) und (4) SGB XI</t>
  </si>
  <si>
    <t>Abstand</t>
  </si>
  <si>
    <t xml:space="preserve">Beispiel: </t>
  </si>
  <si>
    <t>teilstationäre Pflegeeinrichtung</t>
  </si>
  <si>
    <t>X</t>
  </si>
  <si>
    <t>individueller Wert</t>
  </si>
  <si>
    <t>§ 92e (3a) und (4) SGB XI</t>
  </si>
  <si>
    <t>individueller Pflegesatz</t>
  </si>
  <si>
    <t>= 0,78 * Pflegesatz PG 2</t>
  </si>
  <si>
    <t>xxx €</t>
  </si>
  <si>
    <t>= Pflegesatz PG 4 * 1,0714</t>
  </si>
  <si>
    <t xml:space="preserve">Sofern die Pflegeeinrichtung eine Vereinbarung zur Ausbildungsvergütung gemäß § 82a SGB XI abgeschlossen hat, erhöht 
sich der jeweilige Pflegesatz um diesen Betrag.
</t>
  </si>
  <si>
    <r>
      <t xml:space="preserve">b) Emittlung der Pflegesätze:
Basierend auf der Kostenverteilung über die Pflegegrade mit Belegung werden die Pflegesätze ermittelt. Sofern der 
Pflegegrad 1 eine Nullbelegung ausweist, beträgt der Pflegesatz 78 % des Pflegesatzes vom Pflegegrad 2. 
</t>
    </r>
    <r>
      <rPr>
        <b/>
        <sz val="11"/>
        <color theme="1"/>
        <rFont val="Arial"/>
        <family val="2"/>
      </rPr>
      <t>Beispiel:</t>
    </r>
  </si>
  <si>
    <r>
      <rPr>
        <b/>
        <sz val="11"/>
        <color theme="1"/>
        <rFont val="Arial"/>
        <family val="2"/>
      </rPr>
      <t>2.4. Mappe Gesamtkalkulation</t>
    </r>
    <r>
      <rPr>
        <sz val="11"/>
        <color theme="1"/>
        <rFont val="Arial"/>
        <family val="2"/>
      </rPr>
      <t xml:space="preserve">
Die Gesamtkalkulation fasst die vorangegangenen Angaben zur Ermittlung der Entgeltbestandteile nach den fünf 
Pflegegraden zusammen. Hier kann die Pflegeeinrichtung keine Änderungen vornehmen. Ggf. sind Korrekturen auf 
den vorhergehenden Seiten erforderlich. 
a) Bei einer Nullbelegung werden in diesen Pflegegraden keine Kosten dargestellt. 
Die Personalschlüssel für Pflegegrade mit einer Nullbelegung verändern die Prognose der Vollkräfte Pflege nicht. 
Sie sollen der Pflegeeinrichtung eine Sicherheit im Fall einer Belegung geben. Der Personalschlüssels für 
Pflegegrade mit Nullbelegung ergibt sich aus der Abstandsberechnung (siehe Tabelle). Basis stellen die individuell 
ermittelten Personalrelationen der Pflegegrade mit Belegung dar.</t>
    </r>
  </si>
  <si>
    <t>2. Aufforderungsunterlagen</t>
  </si>
  <si>
    <t>2.2. Kalkulation</t>
  </si>
  <si>
    <t>2.1. Allgemeine Angabe</t>
  </si>
  <si>
    <t>2.3. Ergebnis</t>
  </si>
  <si>
    <t>2.4. Gesamtkalkulation</t>
  </si>
  <si>
    <t xml:space="preserve"> 4 * 1,2821 =</t>
  </si>
  <si>
    <t>1 : 4</t>
  </si>
  <si>
    <t>1 : 3</t>
  </si>
  <si>
    <t>1 : 2,4</t>
  </si>
  <si>
    <t>2,4 / 1,0714 =</t>
  </si>
  <si>
    <r>
      <rPr>
        <b/>
        <sz val="11"/>
        <color theme="1"/>
        <rFont val="Arial"/>
        <family val="2"/>
      </rPr>
      <t>Allgemeine Hinweise</t>
    </r>
    <r>
      <rPr>
        <sz val="11"/>
        <color theme="1"/>
        <rFont val="Arial"/>
        <family val="2"/>
      </rPr>
      <t xml:space="preserve">
Dieses Antragsverfahren kann nur von </t>
    </r>
    <r>
      <rPr>
        <u/>
        <sz val="11"/>
        <color theme="1"/>
        <rFont val="Arial"/>
        <family val="2"/>
      </rPr>
      <t>teilstationären Pflegeeinrichtungen</t>
    </r>
    <r>
      <rPr>
        <sz val="11"/>
        <color theme="1"/>
        <rFont val="Arial"/>
        <family val="2"/>
      </rPr>
      <t xml:space="preserve"> genutzt werden, die 
• nach der PSG II – Umstellung mindestens eine Vollverhandlung durchgeführt haben, 
• deren aktuell gültige Pflegesatzvereinbarung ausgelaufen ist und
• die seit der Vorverhandlung keine Kapazitätsänderung vorgenommen haben.
Das vereinfachte Verfahren kann grundsätzlich nur einmal angewendet werden. Ungeachtet 
dessen erklären sich die Kostenträger bereit, auch über ein weiteres vereinfachtes Verfahren zu 
verhandeln, sofern hiermit eine entsprechende Laufzeitverlängerung der Pflegesatzvereinbarung 
verbunden wird. Bis Mitte 2027 werden die Verfahrensbeteiligten einen Vorschlag für die 
Ausgestaltung und Voraussetzungen eines solchen weiteren vereinfachten Verfahrens erarbeiten.
</t>
    </r>
    <r>
      <rPr>
        <b/>
        <sz val="11"/>
        <color theme="1"/>
        <rFont val="Arial"/>
        <family val="2"/>
      </rPr>
      <t>Basis ist die Ergebniskalkulation zur aktuell gültigen Pflegesatzvereinbarung.</t>
    </r>
    <r>
      <rPr>
        <sz val="11"/>
        <color theme="1"/>
        <rFont val="Arial"/>
        <family val="2"/>
      </rPr>
      <t xml:space="preserve"> 
Es handelt sich um eine pauschale Herangehensweise, die nicht alle individuellen Veränderungen 
der Pflegeeinrichtung seit Abschluss der gültigen Pflegesatzvereinbarung berücksichtigt. </t>
    </r>
  </si>
  <si>
    <t>zurück</t>
  </si>
  <si>
    <t>Vereinfachtes Verfahren der Aufforderung zum Abschluss einer Pflegesatzvereinbarung 
gemäß § 84, 85 SGB XI - teilstationäre Pflegeeinrichtungen</t>
  </si>
  <si>
    <t>Blatt Hinweise eingefügt</t>
  </si>
  <si>
    <t>B_TP_Hinweise</t>
  </si>
  <si>
    <t>B_TP_Ergebnis</t>
  </si>
  <si>
    <t>B91 gelb eingefärbt, J-N91 entsperrt</t>
  </si>
  <si>
    <t>damit Eintragung Verhandlungsführer und Unterschrift ermöglicht wird</t>
  </si>
  <si>
    <t>Hinweistext angepasst</t>
  </si>
  <si>
    <t xml:space="preserve">Zeilen 6 bis 8 </t>
  </si>
  <si>
    <t>neue Bezeichnung AOK PLUS</t>
  </si>
  <si>
    <t>Geschäftsbereich Gesundheitspartner</t>
  </si>
  <si>
    <t>Bereich Pflege/HKP</t>
  </si>
  <si>
    <t>Fachbereich Vertrags- und Qualitätsmanagement SAC</t>
  </si>
  <si>
    <t>Pflegekassen:</t>
  </si>
  <si>
    <t>26.10.2026</t>
  </si>
  <si>
    <t>B_TP_Kalkulation</t>
  </si>
  <si>
    <t>Formel korrigiert:   =SUMME(F45:F51)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</si>
</sst>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0.00\ &quot;€&quot;_-;\-* #,##0.00\ &quot;€&quot;_-;_-* &quot;-&quot;??\ &quot;€&quot;_-;_-@_-"/>
    <numFmt numFmtId="164" formatCode="#,##0.00\ &quot;€&quot;"/>
    <numFmt numFmtId="165" formatCode="0.000"/>
    <numFmt numFmtId="166" formatCode="#,##0.00\ _€"/>
    <numFmt numFmtId="167" formatCode="0\ &quot;%&quot;"/>
    <numFmt numFmtId="168" formatCode="#,##0.000\ &quot;€&quot;"/>
    <numFmt numFmtId="169" formatCode="#,##0.0000"/>
    <numFmt numFmtId="170" formatCode="_-* #,##0\ [$€-407]_-;\-* #,##0\ [$€-407]_-;_-* &quot;-&quot;??\ [$€-407]_-;_-@_-"/>
    <numFmt numFmtId="171" formatCode="0.0\ %"/>
    <numFmt numFmtId="172" formatCode="#,##0.000"/>
    <numFmt numFmtId="173" formatCode="&quot;1 :&quot;\ 0.00"/>
    <numFmt numFmtId="174" formatCode="\ 0\ &quot;Stelle/n&quot;"/>
    <numFmt numFmtId="175" formatCode="#,##0.00\ &quot;€&quot;&quot;/VK&quot;"/>
    <numFmt numFmtId="176" formatCode="#,##0.00\ &quot;€&quot;&quot;/Stelle&quot;"/>
    <numFmt numFmtId="177" formatCode="#,##0.000\ &quot;VK&quot;"/>
    <numFmt numFmtId="178" formatCode="#,###"/>
    <numFmt numFmtId="179" formatCode="0.000\ &quot;VK&quot;"/>
    <numFmt numFmtId="180" formatCode="dd/mm/yy;@"/>
    <numFmt numFmtId="181" formatCode="0\ &quot;Kalendermonate:&quot;"/>
    <numFmt numFmtId="182" formatCode="0.00\ &quot;€/Tag&quot;"/>
    <numFmt numFmtId="183" formatCode="0\ &quot;Stelle/n&quot;"/>
    <numFmt numFmtId="184" formatCode="000\ \ 000\ \ 000"/>
    <numFmt numFmtId="185" formatCode="0.0000"/>
    <numFmt numFmtId="186" formatCode="0.0"/>
  </numFmts>
  <fonts count="100"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5" tint="-0.499984740745262"/>
      <name val="Arial"/>
      <family val="2"/>
    </font>
    <font>
      <sz val="10"/>
      <color rgb="FF0070C0"/>
      <name val="Arial"/>
      <family val="2"/>
    </font>
    <font>
      <b/>
      <sz val="10"/>
      <color rgb="FFFF0000"/>
      <name val="Arial"/>
      <family val="2"/>
    </font>
    <font>
      <sz val="11"/>
      <color rgb="FF7030A0"/>
      <name val="Arial"/>
      <family val="2"/>
    </font>
    <font>
      <sz val="11"/>
      <color theme="9" tint="-0.499984740745262"/>
      <name val="Arial"/>
      <family val="2"/>
    </font>
    <font>
      <sz val="10"/>
      <color rgb="FF7030A0"/>
      <name val="Arial"/>
      <family val="2"/>
    </font>
    <font>
      <sz val="10"/>
      <color theme="3" tint="-0.249977111117893"/>
      <name val="Arial"/>
      <family val="2"/>
    </font>
    <font>
      <sz val="11"/>
      <color rgb="FF0070C0"/>
      <name val="Arial"/>
      <family val="2"/>
    </font>
    <font>
      <sz val="8"/>
      <color theme="1"/>
      <name val="Arial"/>
      <family val="2"/>
    </font>
    <font>
      <sz val="11"/>
      <color rgb="FFC00000"/>
      <name val="Arial"/>
      <family val="2"/>
    </font>
    <font>
      <sz val="9"/>
      <name val="Arial"/>
      <family val="2"/>
    </font>
    <font>
      <b/>
      <sz val="10"/>
      <color rgb="FF0070C0"/>
      <name val="Arial"/>
      <family val="2"/>
    </font>
    <font>
      <b/>
      <sz val="10"/>
      <color theme="3" tint="-0.249977111117893"/>
      <name val="Arial"/>
      <family val="2"/>
    </font>
    <font>
      <sz val="11"/>
      <color rgb="FF92D050"/>
      <name val="Arial"/>
      <family val="2"/>
    </font>
    <font>
      <sz val="9"/>
      <color theme="1"/>
      <name val="Arial"/>
      <family val="2"/>
    </font>
    <font>
      <sz val="8"/>
      <color indexed="81"/>
      <name val="Tahoma"/>
      <family val="2"/>
    </font>
    <font>
      <b/>
      <sz val="11"/>
      <color rgb="FF7030A0"/>
      <name val="Arial"/>
      <family val="2"/>
    </font>
    <font>
      <sz val="14"/>
      <name val="Arial"/>
      <family val="2"/>
    </font>
    <font>
      <sz val="48"/>
      <name val="Arial"/>
      <family val="2"/>
    </font>
    <font>
      <b/>
      <i/>
      <sz val="9"/>
      <color rgb="FF0070C0"/>
      <name val="Arial"/>
      <family val="2"/>
    </font>
    <font>
      <b/>
      <i/>
      <sz val="9"/>
      <color theme="3" tint="-0.249977111117893"/>
      <name val="Arial"/>
      <family val="2"/>
    </font>
    <font>
      <b/>
      <i/>
      <sz val="9"/>
      <color theme="1"/>
      <name val="Arial"/>
      <family val="2"/>
    </font>
    <font>
      <sz val="10"/>
      <color rgb="FF00B0F0"/>
      <name val="Arial"/>
      <family val="2"/>
    </font>
    <font>
      <sz val="10"/>
      <color theme="3"/>
      <name val="Arial"/>
      <family val="2"/>
    </font>
    <font>
      <b/>
      <sz val="10"/>
      <color theme="3"/>
      <name val="Arial"/>
      <family val="2"/>
    </font>
    <font>
      <sz val="11"/>
      <color theme="3"/>
      <name val="Arial"/>
      <family val="2"/>
    </font>
    <font>
      <sz val="9"/>
      <color theme="3"/>
      <name val="Arial"/>
      <family val="2"/>
    </font>
    <font>
      <sz val="10"/>
      <color theme="7"/>
      <name val="Arial"/>
      <family val="2"/>
    </font>
    <font>
      <b/>
      <sz val="10"/>
      <color theme="7"/>
      <name val="Arial"/>
      <family val="2"/>
    </font>
    <font>
      <u val="double"/>
      <sz val="10"/>
      <color theme="3"/>
      <name val="Arial"/>
      <family val="2"/>
    </font>
    <font>
      <u/>
      <sz val="10"/>
      <color theme="3"/>
      <name val="Arial"/>
      <family val="2"/>
    </font>
    <font>
      <sz val="11"/>
      <color theme="6"/>
      <name val="Arial"/>
      <family val="2"/>
    </font>
    <font>
      <b/>
      <sz val="10"/>
      <color theme="6"/>
      <name val="Arial"/>
      <family val="2"/>
    </font>
    <font>
      <b/>
      <sz val="10"/>
      <color theme="0"/>
      <name val="Arial"/>
      <family val="2"/>
    </font>
    <font>
      <sz val="11"/>
      <color theme="9" tint="-0.249977111117893"/>
      <name val="Arial"/>
      <family val="2"/>
    </font>
    <font>
      <u/>
      <sz val="10"/>
      <color rgb="FFFF0000"/>
      <name val="Arial"/>
      <family val="2"/>
    </font>
    <font>
      <b/>
      <i/>
      <sz val="11"/>
      <color theme="1"/>
      <name val="Arial"/>
      <family val="2"/>
    </font>
    <font>
      <sz val="11"/>
      <color rgb="FFFF33CC"/>
      <name val="Arial"/>
      <family val="2"/>
    </font>
    <font>
      <sz val="9"/>
      <color rgb="FFFF33CC"/>
      <name val="Arial"/>
      <family val="2"/>
    </font>
    <font>
      <sz val="11"/>
      <color theme="0" tint="-0.249977111117893"/>
      <name val="Arial"/>
      <family val="2"/>
    </font>
    <font>
      <sz val="9"/>
      <color rgb="FF7030A0"/>
      <name val="Arial"/>
      <family val="2"/>
    </font>
    <font>
      <sz val="9"/>
      <color rgb="FFFF0000"/>
      <name val="Arial"/>
      <family val="2"/>
    </font>
    <font>
      <b/>
      <sz val="11"/>
      <color theme="0"/>
      <name val="Arial"/>
      <family val="2"/>
    </font>
    <font>
      <b/>
      <sz val="18"/>
      <color theme="0"/>
      <name val="Arial"/>
      <family val="2"/>
    </font>
    <font>
      <sz val="10"/>
      <color theme="0"/>
      <name val="Arial"/>
      <family val="2"/>
    </font>
    <font>
      <u/>
      <sz val="10"/>
      <name val="Arial"/>
      <family val="2"/>
    </font>
    <font>
      <b/>
      <sz val="11"/>
      <color rgb="FFFF0000"/>
      <name val="Arial"/>
      <family val="2"/>
    </font>
    <font>
      <b/>
      <u/>
      <sz val="11"/>
      <color theme="1"/>
      <name val="Arial"/>
      <family val="2"/>
    </font>
    <font>
      <b/>
      <sz val="10"/>
      <color theme="0" tint="-4.9989318521683403E-2"/>
      <name val="Arial"/>
      <family val="2"/>
    </font>
    <font>
      <sz val="9"/>
      <color theme="0" tint="-4.9989318521683403E-2"/>
      <name val="Arial"/>
      <family val="2"/>
    </font>
    <font>
      <b/>
      <sz val="9"/>
      <color rgb="FFFF0000"/>
      <name val="Arial"/>
      <family val="2"/>
    </font>
    <font>
      <strike/>
      <sz val="10"/>
      <name val="Arial"/>
      <family val="2"/>
    </font>
    <font>
      <b/>
      <u/>
      <sz val="9"/>
      <color theme="1"/>
      <name val="Arial"/>
      <family val="2"/>
    </font>
    <font>
      <b/>
      <sz val="9"/>
      <color theme="1"/>
      <name val="Arial"/>
      <family val="2"/>
    </font>
    <font>
      <sz val="7"/>
      <color rgb="FFFF0000"/>
      <name val="Arial"/>
      <family val="2"/>
    </font>
    <font>
      <b/>
      <sz val="10"/>
      <color theme="1" tint="0.499984740745262"/>
      <name val="Arial"/>
      <family val="2"/>
    </font>
    <font>
      <sz val="11"/>
      <color theme="1" tint="0.499984740745262"/>
      <name val="Arial"/>
      <family val="2"/>
    </font>
    <font>
      <sz val="10"/>
      <color theme="1" tint="0.499984740745262"/>
      <name val="Arial"/>
      <family val="2"/>
    </font>
    <font>
      <u/>
      <sz val="10"/>
      <color theme="1"/>
      <name val="Arial"/>
      <family val="2"/>
    </font>
    <font>
      <sz val="10"/>
      <color rgb="FFFF33CC"/>
      <name val="Arial"/>
      <family val="2"/>
    </font>
    <font>
      <sz val="11"/>
      <color theme="0" tint="-0.14999847407452621"/>
      <name val="Arial"/>
      <family val="2"/>
    </font>
    <font>
      <sz val="7"/>
      <name val="Arial"/>
      <family val="2"/>
    </font>
    <font>
      <u/>
      <sz val="11"/>
      <color theme="1"/>
      <name val="Arial"/>
      <family val="2"/>
    </font>
    <font>
      <sz val="11"/>
      <color rgb="FF000000"/>
      <name val="Arial"/>
      <family val="2"/>
    </font>
  </fonts>
  <fills count="31">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00B050"/>
        <bgColor indexed="64"/>
      </patternFill>
    </fill>
    <fill>
      <patternFill patternType="solid">
        <fgColor rgb="FFCCECFF"/>
        <bgColor indexed="64"/>
      </patternFill>
    </fill>
    <fill>
      <patternFill patternType="solid">
        <fgColor rgb="FF99CCFF"/>
        <bgColor indexed="64"/>
      </patternFill>
    </fill>
    <fill>
      <patternFill patternType="solid">
        <fgColor theme="4" tint="-0.249977111117893"/>
        <bgColor indexed="64"/>
      </patternFill>
    </fill>
    <fill>
      <patternFill patternType="solid">
        <fgColor theme="5" tint="0.39997558519241921"/>
        <bgColor indexed="64"/>
      </patternFill>
    </fill>
    <fill>
      <patternFill patternType="solid">
        <fgColor theme="3" tint="0.59999389629810485"/>
        <bgColor indexed="64"/>
      </patternFill>
    </fill>
    <fill>
      <patternFill patternType="solid">
        <fgColor rgb="FFFBFD95"/>
        <bgColor indexed="64"/>
      </patternFill>
    </fill>
    <fill>
      <patternFill patternType="solid">
        <fgColor rgb="FFD0CECE"/>
        <bgColor indexed="64"/>
      </patternFill>
    </fill>
    <fill>
      <patternFill patternType="solid">
        <fgColor rgb="FFBFBFBF"/>
        <bgColor indexed="64"/>
      </patternFill>
    </fill>
    <fill>
      <patternFill patternType="solid">
        <fgColor rgb="FFF4B083"/>
        <bgColor indexed="64"/>
      </patternFill>
    </fill>
  </fills>
  <borders count="9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bottom style="double">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dotted">
        <color auto="1"/>
      </left>
      <right style="dotted">
        <color auto="1"/>
      </right>
      <top/>
      <bottom style="medium">
        <color rgb="FF0070C0"/>
      </bottom>
      <diagonal/>
    </border>
    <border>
      <left style="dotted">
        <color auto="1"/>
      </left>
      <right style="dotted">
        <color auto="1"/>
      </right>
      <top/>
      <bottom/>
      <diagonal/>
    </border>
    <border>
      <left style="dotted">
        <color auto="1"/>
      </left>
      <right style="dotted">
        <color auto="1"/>
      </right>
      <top style="medium">
        <color theme="6" tint="-0.24994659260841701"/>
      </top>
      <bottom/>
      <diagonal/>
    </border>
    <border>
      <left style="dotted">
        <color auto="1"/>
      </left>
      <right style="dotted">
        <color auto="1"/>
      </right>
      <top/>
      <bottom style="medium">
        <color theme="6" tint="-0.24994659260841701"/>
      </bottom>
      <diagonal/>
    </border>
    <border>
      <left style="dotted">
        <color auto="1"/>
      </left>
      <right style="dotted">
        <color auto="1"/>
      </right>
      <top style="medium">
        <color rgb="FF0070C0"/>
      </top>
      <bottom/>
      <diagonal/>
    </border>
    <border>
      <left style="medium">
        <color auto="1"/>
      </left>
      <right style="medium">
        <color auto="1"/>
      </right>
      <top style="medium">
        <color auto="1"/>
      </top>
      <bottom/>
      <diagonal/>
    </border>
    <border>
      <left style="dotted">
        <color auto="1"/>
      </left>
      <right style="medium">
        <color theme="6" tint="-0.24994659260841701"/>
      </right>
      <top style="medium">
        <color theme="6" tint="-0.24994659260841701"/>
      </top>
      <bottom/>
      <diagonal/>
    </border>
    <border>
      <left style="dotted">
        <color auto="1"/>
      </left>
      <right style="medium">
        <color theme="6" tint="-0.24994659260841701"/>
      </right>
      <top/>
      <bottom style="medium">
        <color theme="6" tint="-0.24994659260841701"/>
      </bottom>
      <diagonal/>
    </border>
    <border>
      <left style="dotted">
        <color auto="1"/>
      </left>
      <right style="medium">
        <color rgb="FF0070C0"/>
      </right>
      <top style="medium">
        <color rgb="FF0070C0"/>
      </top>
      <bottom/>
      <diagonal/>
    </border>
    <border>
      <left style="dotted">
        <color auto="1"/>
      </left>
      <right style="medium">
        <color rgb="FF0070C0"/>
      </right>
      <top/>
      <bottom style="medium">
        <color rgb="FF0070C0"/>
      </bottom>
      <diagonal/>
    </border>
    <border>
      <left style="dotted">
        <color auto="1"/>
      </left>
      <right style="medium">
        <color rgb="FF0070C0"/>
      </right>
      <top/>
      <bottom/>
      <diagonal/>
    </border>
    <border>
      <left style="medium">
        <color rgb="FF0070C0"/>
      </left>
      <right style="dotted">
        <color auto="1"/>
      </right>
      <top style="medium">
        <color rgb="FF0070C0"/>
      </top>
      <bottom/>
      <diagonal/>
    </border>
    <border>
      <left style="medium">
        <color rgb="FF0070C0"/>
      </left>
      <right style="dotted">
        <color auto="1"/>
      </right>
      <top/>
      <bottom style="medium">
        <color rgb="FF0070C0"/>
      </bottom>
      <diagonal/>
    </border>
    <border>
      <left style="medium">
        <color rgb="FF0070C0"/>
      </left>
      <right style="dotted">
        <color auto="1"/>
      </right>
      <top/>
      <bottom/>
      <diagonal/>
    </border>
    <border>
      <left style="dotted">
        <color auto="1"/>
      </left>
      <right style="dotted">
        <color auto="1"/>
      </right>
      <top style="medium">
        <color indexed="64"/>
      </top>
      <bottom/>
      <diagonal/>
    </border>
    <border>
      <left style="dotted">
        <color auto="1"/>
      </left>
      <right style="dotted">
        <color auto="1"/>
      </right>
      <top/>
      <bottom style="medium">
        <color indexed="64"/>
      </bottom>
      <diagonal/>
    </border>
    <border>
      <left style="dotted">
        <color auto="1"/>
      </left>
      <right style="medium">
        <color auto="1"/>
      </right>
      <top style="medium">
        <color indexed="64"/>
      </top>
      <bottom/>
      <diagonal/>
    </border>
    <border>
      <left style="dotted">
        <color auto="1"/>
      </left>
      <right style="medium">
        <color auto="1"/>
      </right>
      <top/>
      <bottom style="medium">
        <color indexed="64"/>
      </bottom>
      <diagonal/>
    </border>
    <border>
      <left style="medium">
        <color indexed="64"/>
      </left>
      <right style="dotted">
        <color auto="1"/>
      </right>
      <top style="medium">
        <color indexed="64"/>
      </top>
      <bottom/>
      <diagonal/>
    </border>
    <border>
      <left style="medium">
        <color indexed="64"/>
      </left>
      <right style="dotted">
        <color auto="1"/>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bottom style="dotted">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style="medium">
        <color theme="6" tint="-0.24994659260841701"/>
      </left>
      <right style="dotted">
        <color auto="1"/>
      </right>
      <top style="medium">
        <color theme="6" tint="-0.24994659260841701"/>
      </top>
      <bottom/>
      <diagonal/>
    </border>
    <border>
      <left style="medium">
        <color theme="6" tint="-0.24994659260841701"/>
      </left>
      <right style="dotted">
        <color auto="1"/>
      </right>
      <top/>
      <bottom style="medium">
        <color theme="6" tint="-0.24994659260841701"/>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style="double">
        <color indexed="64"/>
      </top>
      <bottom style="double">
        <color indexed="64"/>
      </bottom>
      <diagonal/>
    </border>
    <border>
      <left/>
      <right style="thin">
        <color indexed="64"/>
      </right>
      <top/>
      <bottom style="double">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theme="0" tint="-0.14996795556505021"/>
      </bottom>
      <diagonal/>
    </border>
  </borders>
  <cellStyleXfs count="18">
    <xf numFmtId="0" fontId="0" fillId="0" borderId="0"/>
    <xf numFmtId="0" fontId="35" fillId="0" borderId="0" applyNumberFormat="0" applyFill="0" applyBorder="0" applyAlignment="0" applyProtection="0">
      <alignment vertical="top"/>
      <protection locked="0"/>
    </xf>
    <xf numFmtId="44" fontId="22" fillId="0" borderId="0" applyFont="0" applyFill="0" applyBorder="0" applyAlignment="0" applyProtection="0"/>
    <xf numFmtId="9" fontId="22" fillId="0" borderId="0" applyFont="0" applyFill="0" applyBorder="0" applyAlignment="0" applyProtection="0"/>
    <xf numFmtId="0" fontId="22" fillId="12" borderId="63" applyNumberFormat="0" applyAlignment="0">
      <protection locked="0"/>
    </xf>
    <xf numFmtId="171" fontId="33" fillId="0" borderId="0" applyFont="0" applyFill="0" applyBorder="0" applyAlignment="0" applyProtection="0"/>
    <xf numFmtId="0" fontId="22" fillId="13" borderId="0" applyNumberFormat="0" applyFont="0" applyBorder="0" applyAlignment="0" applyProtection="0"/>
    <xf numFmtId="0" fontId="22" fillId="14" borderId="0" applyNumberFormat="0" applyFont="0" applyBorder="0" applyAlignment="0" applyProtection="0"/>
    <xf numFmtId="14" fontId="33" fillId="12" borderId="14" applyFont="0" applyFill="0" applyBorder="0" applyAlignment="0" applyProtection="0">
      <alignment vertical="center"/>
      <protection locked="0"/>
    </xf>
    <xf numFmtId="0" fontId="22" fillId="12" borderId="63" applyNumberFormat="0" applyAlignment="0">
      <protection locked="0"/>
    </xf>
    <xf numFmtId="0" fontId="26" fillId="12" borderId="14" applyNumberFormat="0" applyFont="0" applyAlignment="0">
      <protection locked="0"/>
    </xf>
    <xf numFmtId="0" fontId="33" fillId="0" borderId="0" applyNumberFormat="0" applyFont="0" applyBorder="0" applyAlignment="0"/>
    <xf numFmtId="0" fontId="33" fillId="15" borderId="0" applyNumberFormat="0" applyFont="0" applyBorder="0" applyAlignment="0" applyProtection="0"/>
    <xf numFmtId="0" fontId="33" fillId="0" borderId="0" applyBorder="0">
      <alignment vertical="center"/>
    </xf>
    <xf numFmtId="2" fontId="33" fillId="0" borderId="0" applyFont="0" applyFill="0" applyBorder="0" applyAlignment="0" applyProtection="0"/>
    <xf numFmtId="49" fontId="33" fillId="0" borderId="0" applyFont="0" applyFill="0" applyBorder="0" applyAlignment="0" applyProtection="0">
      <alignment vertical="center"/>
    </xf>
    <xf numFmtId="172" fontId="33" fillId="0" borderId="0" applyFont="0" applyFill="0" applyBorder="0" applyAlignment="0" applyProtection="0"/>
    <xf numFmtId="0" fontId="33" fillId="0" borderId="0" applyBorder="0">
      <alignment vertical="center"/>
    </xf>
  </cellStyleXfs>
  <cellXfs count="1087">
    <xf numFmtId="0" fontId="0" fillId="0" borderId="0" xfId="0"/>
    <xf numFmtId="0" fontId="23"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27" fillId="0" borderId="0" xfId="0" applyFont="1" applyProtection="1">
      <protection hidden="1"/>
    </xf>
    <xf numFmtId="0" fontId="27" fillId="0" borderId="0" xfId="0" applyFont="1" applyAlignment="1" applyProtection="1">
      <alignment horizontal="right"/>
      <protection hidden="1"/>
    </xf>
    <xf numFmtId="0" fontId="28" fillId="0" borderId="0" xfId="0" applyFont="1" applyAlignment="1" applyProtection="1">
      <alignment horizontal="center"/>
      <protection hidden="1"/>
    </xf>
    <xf numFmtId="0" fontId="29" fillId="0" borderId="0" xfId="0" applyFont="1" applyAlignment="1" applyProtection="1">
      <alignment horizontal="right"/>
      <protection hidden="1"/>
    </xf>
    <xf numFmtId="0" fontId="21" fillId="0" borderId="0" xfId="0" applyFont="1" applyProtection="1">
      <protection hidden="1"/>
    </xf>
    <xf numFmtId="0" fontId="33" fillId="0" borderId="5" xfId="0" applyFont="1" applyBorder="1" applyProtection="1">
      <protection hidden="1"/>
    </xf>
    <xf numFmtId="0" fontId="34" fillId="0" borderId="0" xfId="0" applyFont="1" applyAlignment="1" applyProtection="1">
      <alignment vertical="top"/>
      <protection hidden="1"/>
    </xf>
    <xf numFmtId="0" fontId="34" fillId="0" borderId="5" xfId="0" applyFont="1" applyBorder="1" applyAlignment="1" applyProtection="1">
      <alignment vertical="top"/>
      <protection hidden="1"/>
    </xf>
    <xf numFmtId="0" fontId="34" fillId="0" borderId="0" xfId="0" applyFont="1" applyProtection="1">
      <protection hidden="1"/>
    </xf>
    <xf numFmtId="0" fontId="28" fillId="0" borderId="0" xfId="0" applyFont="1" applyProtection="1">
      <protection hidden="1"/>
    </xf>
    <xf numFmtId="0" fontId="21" fillId="0" borderId="0" xfId="0" applyFont="1" applyAlignment="1" applyProtection="1">
      <alignment horizontal="right"/>
      <protection hidden="1"/>
    </xf>
    <xf numFmtId="0" fontId="33" fillId="0" borderId="0" xfId="0" applyFont="1"/>
    <xf numFmtId="0" fontId="0" fillId="0" borderId="5" xfId="0" applyBorder="1"/>
    <xf numFmtId="0" fontId="0" fillId="0" borderId="4" xfId="0" applyBorder="1"/>
    <xf numFmtId="0" fontId="0" fillId="0" borderId="2" xfId="0" applyBorder="1"/>
    <xf numFmtId="0" fontId="34" fillId="0" borderId="2" xfId="0" applyFont="1" applyBorder="1" applyAlignment="1" applyProtection="1">
      <alignment horizontal="center" vertical="top"/>
      <protection hidden="1"/>
    </xf>
    <xf numFmtId="0" fontId="21" fillId="0" borderId="6" xfId="0" applyFont="1" applyBorder="1" applyProtection="1">
      <protection hidden="1"/>
    </xf>
    <xf numFmtId="0" fontId="21" fillId="0" borderId="7" xfId="0" applyFont="1" applyBorder="1" applyProtection="1">
      <protection hidden="1"/>
    </xf>
    <xf numFmtId="0" fontId="21" fillId="0" borderId="4" xfId="0" applyFont="1" applyBorder="1" applyProtection="1">
      <protection hidden="1"/>
    </xf>
    <xf numFmtId="2" fontId="33" fillId="0" borderId="7" xfId="0" applyNumberFormat="1" applyFont="1" applyBorder="1" applyProtection="1">
      <protection hidden="1"/>
    </xf>
    <xf numFmtId="0" fontId="21" fillId="0" borderId="7" xfId="0" applyFont="1" applyBorder="1" applyAlignment="1" applyProtection="1">
      <alignment horizontal="right"/>
      <protection hidden="1"/>
    </xf>
    <xf numFmtId="2" fontId="21" fillId="0" borderId="7" xfId="0" applyNumberFormat="1" applyFont="1" applyBorder="1" applyAlignment="1" applyProtection="1">
      <alignment horizontal="right"/>
      <protection hidden="1"/>
    </xf>
    <xf numFmtId="2" fontId="33" fillId="0" borderId="0" xfId="0" applyNumberFormat="1" applyFont="1" applyProtection="1">
      <protection hidden="1"/>
    </xf>
    <xf numFmtId="0" fontId="21" fillId="0" borderId="5" xfId="0" applyFont="1" applyBorder="1" applyProtection="1">
      <protection hidden="1"/>
    </xf>
    <xf numFmtId="0" fontId="0" fillId="0" borderId="4" xfId="0" applyBorder="1" applyAlignment="1" applyProtection="1">
      <alignment vertical="center"/>
      <protection hidden="1"/>
    </xf>
    <xf numFmtId="0" fontId="21" fillId="0" borderId="0" xfId="0" applyFont="1" applyAlignment="1" applyProtection="1">
      <alignment vertical="center"/>
      <protection hidden="1"/>
    </xf>
    <xf numFmtId="0" fontId="0" fillId="0" borderId="5" xfId="0" applyBorder="1" applyAlignment="1" applyProtection="1">
      <alignment vertical="center"/>
      <protection hidden="1"/>
    </xf>
    <xf numFmtId="0" fontId="0" fillId="0" borderId="0" xfId="0"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43" fillId="0" borderId="0" xfId="0" applyFont="1"/>
    <xf numFmtId="0" fontId="0" fillId="2" borderId="0" xfId="0" applyFill="1" applyProtection="1">
      <protection hidden="1"/>
    </xf>
    <xf numFmtId="0" fontId="28" fillId="2" borderId="0" xfId="0" applyFont="1" applyFill="1" applyProtection="1">
      <protection hidden="1"/>
    </xf>
    <xf numFmtId="0" fontId="21" fillId="8" borderId="0" xfId="0" applyFont="1" applyFill="1" applyProtection="1">
      <protection hidden="1"/>
    </xf>
    <xf numFmtId="0" fontId="21" fillId="8" borderId="0" xfId="0" applyFont="1" applyFill="1" applyAlignment="1" applyProtection="1">
      <alignment horizontal="right"/>
      <protection hidden="1"/>
    </xf>
    <xf numFmtId="0" fontId="39" fillId="0" borderId="0" xfId="0" applyFont="1"/>
    <xf numFmtId="0" fontId="24" fillId="0" borderId="0" xfId="0" applyFont="1"/>
    <xf numFmtId="0" fontId="52" fillId="0" borderId="0" xfId="0" applyFont="1"/>
    <xf numFmtId="0" fontId="0" fillId="7" borderId="0" xfId="0" applyFill="1"/>
    <xf numFmtId="0" fontId="0" fillId="7" borderId="0" xfId="0" applyFill="1" applyAlignment="1">
      <alignment horizontal="center"/>
    </xf>
    <xf numFmtId="9" fontId="39" fillId="7" borderId="0" xfId="0" applyNumberFormat="1" applyFont="1" applyFill="1"/>
    <xf numFmtId="0" fontId="21" fillId="0" borderId="0" xfId="0" quotePrefix="1" applyFont="1" applyAlignment="1" applyProtection="1">
      <alignment horizontal="left"/>
      <protection hidden="1"/>
    </xf>
    <xf numFmtId="0" fontId="21" fillId="0" borderId="0" xfId="0" applyFont="1" applyAlignment="1" applyProtection="1">
      <alignment horizontal="left"/>
      <protection hidden="1"/>
    </xf>
    <xf numFmtId="0" fontId="34" fillId="2" borderId="0" xfId="0" applyFont="1" applyFill="1" applyAlignment="1" applyProtection="1">
      <alignment vertical="top"/>
      <protection hidden="1"/>
    </xf>
    <xf numFmtId="0" fontId="27" fillId="2" borderId="0" xfId="0" applyFont="1" applyFill="1" applyAlignment="1" applyProtection="1">
      <alignment vertical="center"/>
      <protection hidden="1"/>
    </xf>
    <xf numFmtId="166" fontId="34" fillId="8" borderId="4" xfId="0" applyNumberFormat="1" applyFont="1" applyFill="1" applyBorder="1" applyAlignment="1">
      <alignment vertical="top" wrapText="1"/>
    </xf>
    <xf numFmtId="2" fontId="21" fillId="0" borderId="17" xfId="0" applyNumberFormat="1" applyFont="1" applyBorder="1" applyAlignment="1" applyProtection="1">
      <alignment horizontal="right"/>
      <protection hidden="1"/>
    </xf>
    <xf numFmtId="14" fontId="44" fillId="0" borderId="0" xfId="0" applyNumberFormat="1" applyFont="1" applyProtection="1">
      <protection hidden="1"/>
    </xf>
    <xf numFmtId="0" fontId="0" fillId="0" borderId="2" xfId="0" applyBorder="1" applyProtection="1">
      <protection hidden="1"/>
    </xf>
    <xf numFmtId="0" fontId="33" fillId="0" borderId="0" xfId="0" applyFont="1" applyAlignment="1">
      <alignment horizontal="left"/>
    </xf>
    <xf numFmtId="0" fontId="0" fillId="0" borderId="7" xfId="0" applyBorder="1"/>
    <xf numFmtId="0" fontId="30" fillId="0" borderId="0" xfId="0" applyFont="1" applyProtection="1">
      <protection hidden="1"/>
    </xf>
    <xf numFmtId="2" fontId="42" fillId="8" borderId="0" xfId="0" applyNumberFormat="1" applyFont="1" applyFill="1" applyAlignment="1" applyProtection="1">
      <alignment horizontal="center"/>
      <protection hidden="1"/>
    </xf>
    <xf numFmtId="10" fontId="42" fillId="8" borderId="0" xfId="0" applyNumberFormat="1" applyFont="1" applyFill="1" applyAlignment="1" applyProtection="1">
      <alignment horizontal="center"/>
      <protection hidden="1"/>
    </xf>
    <xf numFmtId="165" fontId="42" fillId="8" borderId="0" xfId="0" applyNumberFormat="1" applyFont="1" applyFill="1" applyAlignment="1" applyProtection="1">
      <alignment horizontal="center"/>
      <protection hidden="1"/>
    </xf>
    <xf numFmtId="0" fontId="27" fillId="8" borderId="38" xfId="0" applyFont="1" applyFill="1" applyBorder="1" applyAlignment="1" applyProtection="1">
      <alignment horizontal="center"/>
      <protection hidden="1"/>
    </xf>
    <xf numFmtId="0" fontId="42" fillId="8" borderId="34" xfId="0" applyFont="1" applyFill="1" applyBorder="1" applyProtection="1">
      <protection hidden="1"/>
    </xf>
    <xf numFmtId="0" fontId="48" fillId="8" borderId="36" xfId="0" applyFont="1" applyFill="1" applyBorder="1" applyAlignment="1" applyProtection="1">
      <alignment horizontal="center"/>
      <protection hidden="1"/>
    </xf>
    <xf numFmtId="0" fontId="21" fillId="8" borderId="34" xfId="0" applyFont="1" applyFill="1" applyBorder="1" applyProtection="1">
      <protection hidden="1"/>
    </xf>
    <xf numFmtId="170" fontId="47" fillId="8" borderId="37" xfId="0" applyNumberFormat="1" applyFont="1" applyFill="1" applyBorder="1" applyAlignment="1" applyProtection="1">
      <alignment horizontal="center" vertical="center"/>
      <protection hidden="1"/>
    </xf>
    <xf numFmtId="170" fontId="47" fillId="8" borderId="41" xfId="0" applyNumberFormat="1" applyFont="1" applyFill="1" applyBorder="1" applyAlignment="1" applyProtection="1">
      <alignment horizontal="center" vertical="center"/>
      <protection hidden="1"/>
    </xf>
    <xf numFmtId="2" fontId="38" fillId="8" borderId="34" xfId="0" applyNumberFormat="1" applyFont="1" applyFill="1" applyBorder="1" applyAlignment="1" applyProtection="1">
      <alignment horizontal="center" vertical="center"/>
      <protection hidden="1"/>
    </xf>
    <xf numFmtId="0" fontId="47" fillId="8" borderId="34" xfId="0" applyFont="1" applyFill="1" applyBorder="1" applyAlignment="1" applyProtection="1">
      <alignment horizontal="center" vertical="center"/>
      <protection hidden="1"/>
    </xf>
    <xf numFmtId="2" fontId="47" fillId="8" borderId="34" xfId="0" applyNumberFormat="1" applyFont="1" applyFill="1" applyBorder="1" applyAlignment="1" applyProtection="1">
      <alignment horizontal="center" vertical="center"/>
      <protection hidden="1"/>
    </xf>
    <xf numFmtId="2" fontId="47" fillId="8" borderId="43" xfId="0" applyNumberFormat="1" applyFont="1" applyFill="1" applyBorder="1" applyAlignment="1" applyProtection="1">
      <alignment horizontal="center" vertical="center"/>
      <protection hidden="1"/>
    </xf>
    <xf numFmtId="0" fontId="37" fillId="8" borderId="33" xfId="0" applyFont="1" applyFill="1" applyBorder="1" applyAlignment="1" applyProtection="1">
      <alignment horizontal="center" vertical="center"/>
      <protection hidden="1"/>
    </xf>
    <xf numFmtId="10" fontId="55" fillId="8" borderId="33" xfId="3" applyNumberFormat="1" applyFont="1" applyFill="1" applyBorder="1" applyAlignment="1" applyProtection="1">
      <alignment horizontal="center" vertical="center"/>
      <protection hidden="1"/>
    </xf>
    <xf numFmtId="0" fontId="21" fillId="8" borderId="37" xfId="0" applyFont="1" applyFill="1" applyBorder="1" applyProtection="1">
      <protection hidden="1"/>
    </xf>
    <xf numFmtId="0" fontId="27" fillId="8" borderId="47" xfId="0" applyFont="1" applyFill="1" applyBorder="1" applyAlignment="1" applyProtection="1">
      <alignment horizontal="center"/>
      <protection hidden="1"/>
    </xf>
    <xf numFmtId="0" fontId="27" fillId="8" borderId="49" xfId="0" applyFont="1" applyFill="1" applyBorder="1" applyAlignment="1" applyProtection="1">
      <alignment horizontal="center"/>
      <protection hidden="1"/>
    </xf>
    <xf numFmtId="0" fontId="21" fillId="8" borderId="48" xfId="0" applyFont="1" applyFill="1" applyBorder="1" applyProtection="1">
      <protection hidden="1"/>
    </xf>
    <xf numFmtId="10" fontId="57" fillId="7" borderId="48" xfId="3" applyNumberFormat="1" applyFont="1" applyFill="1" applyBorder="1" applyProtection="1">
      <protection hidden="1"/>
    </xf>
    <xf numFmtId="10" fontId="57" fillId="7" borderId="50" xfId="3" applyNumberFormat="1" applyFont="1" applyFill="1" applyBorder="1" applyProtection="1">
      <protection hidden="1"/>
    </xf>
    <xf numFmtId="10" fontId="55" fillId="7" borderId="33" xfId="3" applyNumberFormat="1" applyFont="1" applyFill="1" applyBorder="1" applyAlignment="1" applyProtection="1">
      <alignment horizontal="center" vertical="center"/>
      <protection hidden="1"/>
    </xf>
    <xf numFmtId="10" fontId="55" fillId="7" borderId="42" xfId="3" applyNumberFormat="1" applyFont="1" applyFill="1" applyBorder="1" applyAlignment="1" applyProtection="1">
      <alignment horizontal="center" vertical="center"/>
      <protection hidden="1"/>
    </xf>
    <xf numFmtId="10" fontId="56" fillId="7" borderId="36" xfId="3" applyNumberFormat="1" applyFont="1" applyFill="1" applyBorder="1" applyAlignment="1" applyProtection="1">
      <alignment horizontal="center"/>
      <protection hidden="1"/>
    </xf>
    <xf numFmtId="10" fontId="56" fillId="7" borderId="40" xfId="3" applyNumberFormat="1" applyFont="1" applyFill="1" applyBorder="1" applyAlignment="1" applyProtection="1">
      <alignment horizontal="center"/>
      <protection hidden="1"/>
    </xf>
    <xf numFmtId="0" fontId="0" fillId="10" borderId="0" xfId="0" applyFill="1" applyProtection="1">
      <protection hidden="1"/>
    </xf>
    <xf numFmtId="0" fontId="59" fillId="10" borderId="0" xfId="0" applyFont="1" applyFill="1" applyProtection="1">
      <protection hidden="1"/>
    </xf>
    <xf numFmtId="0" fontId="59" fillId="9" borderId="61" xfId="0" applyFont="1" applyFill="1" applyBorder="1" applyAlignment="1" applyProtection="1">
      <alignment horizontal="center"/>
      <protection hidden="1"/>
    </xf>
    <xf numFmtId="0" fontId="59" fillId="9" borderId="32" xfId="0" applyFont="1" applyFill="1" applyBorder="1" applyAlignment="1" applyProtection="1">
      <alignment horizontal="center"/>
      <protection hidden="1"/>
    </xf>
    <xf numFmtId="0" fontId="59" fillId="9" borderId="13" xfId="0" applyFont="1" applyFill="1" applyBorder="1" applyAlignment="1" applyProtection="1">
      <alignment horizontal="center"/>
      <protection hidden="1"/>
    </xf>
    <xf numFmtId="0" fontId="59" fillId="7" borderId="14" xfId="0" applyFont="1" applyFill="1" applyBorder="1" applyAlignment="1" applyProtection="1">
      <alignment horizontal="center"/>
      <protection hidden="1"/>
    </xf>
    <xf numFmtId="0" fontId="59" fillId="10" borderId="54" xfId="0" applyFont="1" applyFill="1" applyBorder="1" applyProtection="1">
      <protection hidden="1"/>
    </xf>
    <xf numFmtId="0" fontId="59" fillId="10" borderId="53" xfId="0" applyFont="1" applyFill="1" applyBorder="1" applyProtection="1">
      <protection hidden="1"/>
    </xf>
    <xf numFmtId="0" fontId="59" fillId="10" borderId="55" xfId="0" applyFont="1" applyFill="1" applyBorder="1" applyProtection="1">
      <protection hidden="1"/>
    </xf>
    <xf numFmtId="0" fontId="59" fillId="10" borderId="56" xfId="0" applyFont="1" applyFill="1" applyBorder="1" applyProtection="1">
      <protection hidden="1"/>
    </xf>
    <xf numFmtId="0" fontId="59" fillId="10" borderId="57" xfId="0" applyFont="1" applyFill="1" applyBorder="1" applyProtection="1">
      <protection hidden="1"/>
    </xf>
    <xf numFmtId="0" fontId="59" fillId="10" borderId="58" xfId="0" applyFont="1" applyFill="1" applyBorder="1" applyProtection="1">
      <protection hidden="1"/>
    </xf>
    <xf numFmtId="0" fontId="59" fillId="9" borderId="3" xfId="0" applyFont="1" applyFill="1" applyBorder="1" applyAlignment="1" applyProtection="1">
      <alignment horizontal="center"/>
      <protection hidden="1"/>
    </xf>
    <xf numFmtId="0" fontId="60" fillId="10" borderId="0" xfId="0" applyFont="1" applyFill="1" applyProtection="1">
      <protection hidden="1"/>
    </xf>
    <xf numFmtId="0" fontId="59" fillId="10" borderId="21" xfId="0" applyFont="1" applyFill="1" applyBorder="1" applyProtection="1">
      <protection hidden="1"/>
    </xf>
    <xf numFmtId="0" fontId="59" fillId="10" borderId="7" xfId="0" applyFont="1" applyFill="1" applyBorder="1" applyProtection="1">
      <protection hidden="1"/>
    </xf>
    <xf numFmtId="0" fontId="59" fillId="10" borderId="21" xfId="0" applyFont="1" applyFill="1" applyBorder="1" applyAlignment="1" applyProtection="1">
      <alignment horizontal="center"/>
      <protection hidden="1"/>
    </xf>
    <xf numFmtId="0" fontId="59" fillId="10" borderId="7" xfId="0" applyFont="1" applyFill="1" applyBorder="1" applyAlignment="1" applyProtection="1">
      <alignment horizontal="center"/>
      <protection hidden="1"/>
    </xf>
    <xf numFmtId="0" fontId="59" fillId="10" borderId="19" xfId="0" applyFont="1" applyFill="1" applyBorder="1" applyProtection="1">
      <protection hidden="1"/>
    </xf>
    <xf numFmtId="0" fontId="59" fillId="0" borderId="0" xfId="0" applyFont="1" applyProtection="1">
      <protection hidden="1"/>
    </xf>
    <xf numFmtId="0" fontId="59" fillId="0" borderId="19" xfId="0" applyFont="1" applyBorder="1" applyProtection="1">
      <protection hidden="1"/>
    </xf>
    <xf numFmtId="0" fontId="59" fillId="10" borderId="0" xfId="0" applyFont="1" applyFill="1" applyAlignment="1" applyProtection="1">
      <alignment horizontal="center"/>
      <protection hidden="1"/>
    </xf>
    <xf numFmtId="0" fontId="59" fillId="6" borderId="19" xfId="0" applyFont="1" applyFill="1" applyBorder="1" applyProtection="1">
      <protection hidden="1"/>
    </xf>
    <xf numFmtId="0" fontId="61" fillId="10" borderId="0" xfId="0" applyFont="1" applyFill="1" applyProtection="1">
      <protection hidden="1"/>
    </xf>
    <xf numFmtId="0" fontId="59" fillId="10" borderId="25" xfId="0" applyFont="1" applyFill="1" applyBorder="1" applyProtection="1">
      <protection hidden="1"/>
    </xf>
    <xf numFmtId="0" fontId="59" fillId="7" borderId="32" xfId="0" applyFont="1" applyFill="1" applyBorder="1" applyProtection="1">
      <protection hidden="1"/>
    </xf>
    <xf numFmtId="0" fontId="62" fillId="10" borderId="0" xfId="0" applyFont="1" applyFill="1" applyProtection="1">
      <protection hidden="1"/>
    </xf>
    <xf numFmtId="0" fontId="60" fillId="7" borderId="19" xfId="0" applyFont="1" applyFill="1" applyBorder="1" applyProtection="1">
      <protection hidden="1"/>
    </xf>
    <xf numFmtId="0" fontId="63" fillId="10" borderId="0" xfId="0" applyFont="1" applyFill="1" applyProtection="1">
      <protection hidden="1"/>
    </xf>
    <xf numFmtId="0" fontId="64" fillId="10" borderId="0" xfId="0" applyFont="1" applyFill="1" applyProtection="1">
      <protection hidden="1"/>
    </xf>
    <xf numFmtId="0" fontId="59" fillId="11" borderId="0" xfId="0" applyFont="1" applyFill="1" applyProtection="1">
      <protection hidden="1"/>
    </xf>
    <xf numFmtId="0" fontId="59" fillId="11" borderId="19" xfId="0" applyFont="1" applyFill="1" applyBorder="1" applyProtection="1">
      <protection hidden="1"/>
    </xf>
    <xf numFmtId="0" fontId="59" fillId="11" borderId="14" xfId="0" applyFont="1" applyFill="1" applyBorder="1" applyAlignment="1" applyProtection="1">
      <alignment horizontal="center"/>
      <protection hidden="1"/>
    </xf>
    <xf numFmtId="0" fontId="65" fillId="10" borderId="0" xfId="0" applyFont="1" applyFill="1" applyProtection="1">
      <protection hidden="1"/>
    </xf>
    <xf numFmtId="0" fontId="66" fillId="10" borderId="0" xfId="0" applyFont="1" applyFill="1" applyProtection="1">
      <protection hidden="1"/>
    </xf>
    <xf numFmtId="0" fontId="60" fillId="10" borderId="62" xfId="0" applyFont="1" applyFill="1" applyBorder="1" applyProtection="1">
      <protection hidden="1"/>
    </xf>
    <xf numFmtId="0" fontId="67" fillId="0" borderId="0" xfId="0" applyFont="1"/>
    <xf numFmtId="0" fontId="35" fillId="0" borderId="0" xfId="1" applyBorder="1" applyAlignment="1" applyProtection="1"/>
    <xf numFmtId="0" fontId="71" fillId="6" borderId="0" xfId="1" applyFont="1" applyFill="1" applyAlignment="1" applyProtection="1"/>
    <xf numFmtId="0" fontId="26" fillId="2" borderId="7" xfId="0" applyFont="1" applyFill="1" applyBorder="1" applyProtection="1">
      <protection hidden="1"/>
    </xf>
    <xf numFmtId="0" fontId="26" fillId="2" borderId="8" xfId="0" applyFont="1" applyFill="1" applyBorder="1" applyProtection="1">
      <protection hidden="1"/>
    </xf>
    <xf numFmtId="0" fontId="20" fillId="0" borderId="0" xfId="0" applyFont="1" applyAlignment="1" applyProtection="1">
      <alignment vertical="center"/>
      <protection hidden="1"/>
    </xf>
    <xf numFmtId="0" fontId="0" fillId="0" borderId="3" xfId="0" applyBorder="1"/>
    <xf numFmtId="0" fontId="0" fillId="0" borderId="18" xfId="0" applyBorder="1"/>
    <xf numFmtId="0" fontId="73" fillId="0" borderId="0" xfId="0" applyFont="1"/>
    <xf numFmtId="14" fontId="73" fillId="0" borderId="0" xfId="0" applyNumberFormat="1" applyFont="1"/>
    <xf numFmtId="0" fontId="38" fillId="8" borderId="35" xfId="0" applyFont="1" applyFill="1" applyBorder="1" applyAlignment="1" applyProtection="1">
      <alignment horizontal="center"/>
      <protection hidden="1"/>
    </xf>
    <xf numFmtId="0" fontId="38" fillId="8" borderId="39" xfId="0" applyFont="1" applyFill="1" applyBorder="1" applyAlignment="1" applyProtection="1">
      <alignment horizontal="center"/>
      <protection hidden="1"/>
    </xf>
    <xf numFmtId="0" fontId="33" fillId="2" borderId="6" xfId="0" applyFont="1" applyFill="1" applyBorder="1" applyProtection="1">
      <protection hidden="1"/>
    </xf>
    <xf numFmtId="0" fontId="0" fillId="0" borderId="14" xfId="0" applyBorder="1"/>
    <xf numFmtId="0" fontId="27" fillId="0" borderId="1" xfId="0" applyFont="1" applyBorder="1"/>
    <xf numFmtId="0" fontId="0" fillId="0" borderId="12" xfId="0" applyBorder="1"/>
    <xf numFmtId="0" fontId="0" fillId="0" borderId="13" xfId="0" applyBorder="1"/>
    <xf numFmtId="0" fontId="0" fillId="0" borderId="6" xfId="0" applyBorder="1"/>
    <xf numFmtId="0" fontId="0" fillId="0" borderId="8" xfId="0" applyBorder="1"/>
    <xf numFmtId="14" fontId="67" fillId="0" borderId="0" xfId="0" applyNumberFormat="1" applyFont="1"/>
    <xf numFmtId="0" fontId="0" fillId="15" borderId="14" xfId="0" applyFill="1" applyBorder="1"/>
    <xf numFmtId="0" fontId="0" fillId="15" borderId="14" xfId="0" applyFill="1" applyBorder="1" applyAlignment="1">
      <alignment wrapText="1"/>
    </xf>
    <xf numFmtId="0" fontId="0" fillId="7" borderId="14" xfId="0" applyFill="1" applyBorder="1"/>
    <xf numFmtId="1" fontId="0" fillId="0" borderId="14" xfId="0" applyNumberFormat="1" applyBorder="1"/>
    <xf numFmtId="2" fontId="0" fillId="0" borderId="14" xfId="0" applyNumberFormat="1" applyBorder="1"/>
    <xf numFmtId="10" fontId="0" fillId="0" borderId="14" xfId="3" applyNumberFormat="1" applyFont="1" applyBorder="1"/>
    <xf numFmtId="0" fontId="0" fillId="7" borderId="30" xfId="0" applyFill="1" applyBorder="1"/>
    <xf numFmtId="1" fontId="0" fillId="0" borderId="30" xfId="0" applyNumberFormat="1" applyBorder="1"/>
    <xf numFmtId="2" fontId="0" fillId="0" borderId="30" xfId="0" applyNumberFormat="1" applyBorder="1"/>
    <xf numFmtId="0" fontId="0" fillId="0" borderId="30" xfId="0" applyBorder="1"/>
    <xf numFmtId="10" fontId="0" fillId="0" borderId="30" xfId="3" applyNumberFormat="1" applyFont="1" applyBorder="1"/>
    <xf numFmtId="0" fontId="0" fillId="7" borderId="21" xfId="0" applyFill="1" applyBorder="1" applyAlignment="1">
      <alignment wrapText="1"/>
    </xf>
    <xf numFmtId="1" fontId="0" fillId="0" borderId="21" xfId="0" applyNumberFormat="1" applyBorder="1"/>
    <xf numFmtId="0" fontId="0" fillId="0" borderId="21" xfId="0" applyBorder="1"/>
    <xf numFmtId="9" fontId="0" fillId="0" borderId="21" xfId="0" applyNumberFormat="1" applyBorder="1"/>
    <xf numFmtId="0" fontId="75" fillId="0" borderId="21" xfId="0" applyFont="1" applyBorder="1"/>
    <xf numFmtId="0" fontId="75" fillId="0" borderId="18" xfId="0" applyFont="1" applyBorder="1"/>
    <xf numFmtId="0" fontId="75" fillId="0" borderId="13" xfId="0" applyFont="1" applyBorder="1"/>
    <xf numFmtId="0" fontId="0" fillId="0" borderId="71" xfId="0" applyBorder="1"/>
    <xf numFmtId="0" fontId="0" fillId="0" borderId="69" xfId="0" applyBorder="1"/>
    <xf numFmtId="179" fontId="0" fillId="0" borderId="14" xfId="0" applyNumberFormat="1" applyBorder="1"/>
    <xf numFmtId="0" fontId="0" fillId="7" borderId="69" xfId="0" applyFill="1" applyBorder="1" applyAlignment="1">
      <alignment wrapText="1"/>
    </xf>
    <xf numFmtId="44" fontId="0" fillId="16" borderId="18" xfId="2" applyFont="1" applyFill="1" applyBorder="1" applyProtection="1">
      <protection locked="0"/>
    </xf>
    <xf numFmtId="177" fontId="0" fillId="6" borderId="12" xfId="0" applyNumberFormat="1" applyFill="1" applyBorder="1" applyAlignment="1">
      <alignment horizontal="center"/>
    </xf>
    <xf numFmtId="177" fontId="0" fillId="15" borderId="24" xfId="0" applyNumberFormat="1" applyFill="1" applyBorder="1" applyAlignment="1">
      <alignment horizontal="center"/>
    </xf>
    <xf numFmtId="0" fontId="0" fillId="6" borderId="27" xfId="0" applyFill="1" applyBorder="1"/>
    <xf numFmtId="0" fontId="0" fillId="6" borderId="27" xfId="0" applyFill="1" applyBorder="1" applyAlignment="1">
      <alignment wrapText="1"/>
    </xf>
    <xf numFmtId="44" fontId="0" fillId="6" borderId="14" xfId="2" applyFont="1" applyFill="1" applyBorder="1" applyProtection="1"/>
    <xf numFmtId="44" fontId="0" fillId="17" borderId="14" xfId="2" applyFont="1" applyFill="1" applyBorder="1" applyProtection="1"/>
    <xf numFmtId="173" fontId="0" fillId="6" borderId="14" xfId="0" applyNumberFormat="1" applyFill="1" applyBorder="1" applyAlignment="1">
      <alignment horizontal="center"/>
    </xf>
    <xf numFmtId="177" fontId="0" fillId="7" borderId="12" xfId="0" applyNumberFormat="1" applyFill="1" applyBorder="1" applyAlignment="1">
      <alignment horizontal="center"/>
    </xf>
    <xf numFmtId="44" fontId="0" fillId="17" borderId="2" xfId="2" applyFont="1" applyFill="1" applyBorder="1" applyProtection="1"/>
    <xf numFmtId="44" fontId="0" fillId="17" borderId="12" xfId="2" applyFont="1" applyFill="1" applyBorder="1" applyProtection="1"/>
    <xf numFmtId="44" fontId="27" fillId="15" borderId="29" xfId="2" applyFont="1" applyFill="1" applyBorder="1" applyAlignment="1" applyProtection="1">
      <alignment horizontal="center"/>
    </xf>
    <xf numFmtId="44" fontId="27" fillId="15" borderId="30" xfId="2" applyFont="1" applyFill="1" applyBorder="1" applyAlignment="1" applyProtection="1">
      <alignment horizontal="center"/>
    </xf>
    <xf numFmtId="44" fontId="27" fillId="15" borderId="31" xfId="2" applyFont="1" applyFill="1" applyBorder="1" applyAlignment="1" applyProtection="1">
      <alignment horizontal="center"/>
    </xf>
    <xf numFmtId="0" fontId="27" fillId="6" borderId="0" xfId="0" applyFont="1" applyFill="1" applyAlignment="1">
      <alignment horizontal="center"/>
    </xf>
    <xf numFmtId="0" fontId="0" fillId="6" borderId="14" xfId="0" applyFill="1" applyBorder="1"/>
    <xf numFmtId="0" fontId="0" fillId="6" borderId="14" xfId="0" applyFill="1" applyBorder="1" applyAlignment="1">
      <alignment wrapText="1"/>
    </xf>
    <xf numFmtId="0" fontId="24" fillId="2" borderId="14" xfId="0" applyFont="1" applyFill="1" applyBorder="1"/>
    <xf numFmtId="0" fontId="0" fillId="2" borderId="14" xfId="0" applyFill="1" applyBorder="1" applyAlignment="1">
      <alignment horizontal="center" vertical="center"/>
    </xf>
    <xf numFmtId="0" fontId="0" fillId="2" borderId="12" xfId="0" applyFill="1" applyBorder="1" applyAlignment="1">
      <alignment horizontal="center" vertical="center"/>
    </xf>
    <xf numFmtId="0" fontId="24" fillId="18" borderId="22" xfId="0" applyFont="1" applyFill="1" applyBorder="1"/>
    <xf numFmtId="0" fontId="24" fillId="2" borderId="27" xfId="0" applyFont="1" applyFill="1" applyBorder="1"/>
    <xf numFmtId="0" fontId="0" fillId="15" borderId="27" xfId="0" applyFill="1" applyBorder="1"/>
    <xf numFmtId="0" fontId="0" fillId="15" borderId="12" xfId="0" applyFill="1" applyBorder="1"/>
    <xf numFmtId="0" fontId="0" fillId="2" borderId="20" xfId="0" applyFill="1" applyBorder="1"/>
    <xf numFmtId="0" fontId="0" fillId="15" borderId="2" xfId="0" applyFill="1" applyBorder="1"/>
    <xf numFmtId="0" fontId="0" fillId="2" borderId="14" xfId="0" applyFill="1" applyBorder="1"/>
    <xf numFmtId="0" fontId="0" fillId="2" borderId="12" xfId="0" applyFill="1" applyBorder="1"/>
    <xf numFmtId="0" fontId="27" fillId="0" borderId="0" xfId="0" applyFont="1"/>
    <xf numFmtId="0" fontId="0" fillId="0" borderId="0" xfId="0" applyAlignment="1">
      <alignment horizontal="center"/>
    </xf>
    <xf numFmtId="0" fontId="19" fillId="0" borderId="0" xfId="0" applyFont="1"/>
    <xf numFmtId="0" fontId="19" fillId="0" borderId="7" xfId="0" applyFont="1" applyBorder="1"/>
    <xf numFmtId="0" fontId="19" fillId="0" borderId="4" xfId="0" applyFont="1" applyBorder="1"/>
    <xf numFmtId="0" fontId="29" fillId="6" borderId="4" xfId="0" applyFont="1" applyFill="1" applyBorder="1"/>
    <xf numFmtId="0" fontId="0" fillId="2" borderId="18" xfId="0" applyFill="1" applyBorder="1"/>
    <xf numFmtId="0" fontId="0" fillId="2" borderId="13" xfId="0" applyFill="1" applyBorder="1"/>
    <xf numFmtId="0" fontId="0" fillId="2" borderId="0" xfId="0" applyFill="1"/>
    <xf numFmtId="0" fontId="16" fillId="2" borderId="0" xfId="0" applyFont="1" applyFill="1"/>
    <xf numFmtId="0" fontId="50" fillId="2" borderId="0" xfId="0" applyFont="1" applyFill="1"/>
    <xf numFmtId="14" fontId="0" fillId="0" borderId="0" xfId="0" applyNumberFormat="1"/>
    <xf numFmtId="0" fontId="24" fillId="0" borderId="1" xfId="0" applyFont="1" applyBorder="1"/>
    <xf numFmtId="14" fontId="0" fillId="15" borderId="14" xfId="0" applyNumberFormat="1" applyFill="1" applyBorder="1" applyAlignment="1">
      <alignment horizontal="center"/>
    </xf>
    <xf numFmtId="168" fontId="50" fillId="6" borderId="0" xfId="0" applyNumberFormat="1" applyFont="1" applyFill="1"/>
    <xf numFmtId="0" fontId="24" fillId="2" borderId="1" xfId="0" applyFont="1" applyFill="1" applyBorder="1"/>
    <xf numFmtId="0" fontId="0" fillId="2" borderId="2" xfId="0" applyFill="1" applyBorder="1"/>
    <xf numFmtId="178" fontId="0" fillId="0" borderId="18" xfId="0" applyNumberFormat="1" applyBorder="1" applyAlignment="1">
      <alignment horizontal="right"/>
    </xf>
    <xf numFmtId="0" fontId="0" fillId="0" borderId="18" xfId="0" applyBorder="1" applyAlignment="1">
      <alignment horizontal="right"/>
    </xf>
    <xf numFmtId="0" fontId="0" fillId="0" borderId="0" xfId="0" applyAlignment="1">
      <alignment horizontal="right"/>
    </xf>
    <xf numFmtId="178" fontId="0" fillId="0" borderId="12" xfId="0" applyNumberFormat="1" applyBorder="1" applyAlignment="1">
      <alignment horizontal="right"/>
    </xf>
    <xf numFmtId="0" fontId="0" fillId="0" borderId="12" xfId="0" applyBorder="1" applyAlignment="1">
      <alignment horizontal="right"/>
    </xf>
    <xf numFmtId="0" fontId="0" fillId="0" borderId="4" xfId="0" applyBorder="1" applyAlignment="1">
      <alignment horizontal="right"/>
    </xf>
    <xf numFmtId="178" fontId="19" fillId="0" borderId="5" xfId="0" applyNumberFormat="1" applyFont="1" applyBorder="1"/>
    <xf numFmtId="0" fontId="19" fillId="0" borderId="5" xfId="0" applyFont="1" applyBorder="1"/>
    <xf numFmtId="0" fontId="17" fillId="0" borderId="0" xfId="0" applyFont="1"/>
    <xf numFmtId="0" fontId="18" fillId="0" borderId="0" xfId="0" applyFont="1"/>
    <xf numFmtId="0" fontId="0" fillId="6" borderId="0" xfId="0" applyFill="1"/>
    <xf numFmtId="0" fontId="0" fillId="6" borderId="5" xfId="0" applyFill="1" applyBorder="1"/>
    <xf numFmtId="0" fontId="50" fillId="0" borderId="5" xfId="0" applyFont="1" applyBorder="1"/>
    <xf numFmtId="0" fontId="50" fillId="0" borderId="7" xfId="0" applyFont="1" applyBorder="1"/>
    <xf numFmtId="0" fontId="50" fillId="0" borderId="8" xfId="0" applyFont="1" applyBorder="1"/>
    <xf numFmtId="0" fontId="18" fillId="0" borderId="5" xfId="0" applyFont="1" applyBorder="1"/>
    <xf numFmtId="0" fontId="18" fillId="6" borderId="0" xfId="0" applyFont="1" applyFill="1"/>
    <xf numFmtId="0" fontId="27" fillId="0" borderId="27" xfId="0" applyFont="1" applyBorder="1" applyAlignment="1">
      <alignment horizontal="center"/>
    </xf>
    <xf numFmtId="0" fontId="27" fillId="0" borderId="14" xfId="0" applyFont="1" applyBorder="1" applyAlignment="1">
      <alignment horizontal="center"/>
    </xf>
    <xf numFmtId="0" fontId="27" fillId="0" borderId="28" xfId="0" applyFont="1" applyBorder="1" applyAlignment="1">
      <alignment horizontal="center"/>
    </xf>
    <xf numFmtId="0" fontId="24" fillId="2" borderId="65" xfId="0" applyFont="1" applyFill="1" applyBorder="1"/>
    <xf numFmtId="0" fontId="0" fillId="2" borderId="59" xfId="0" applyFill="1" applyBorder="1"/>
    <xf numFmtId="0" fontId="0" fillId="2" borderId="60" xfId="0" applyFill="1" applyBorder="1"/>
    <xf numFmtId="0" fontId="24" fillId="2" borderId="12" xfId="0" applyFont="1" applyFill="1" applyBorder="1"/>
    <xf numFmtId="0" fontId="0" fillId="0" borderId="19" xfId="0" applyBorder="1" applyAlignment="1">
      <alignment horizontal="right"/>
    </xf>
    <xf numFmtId="0" fontId="0" fillId="0" borderId="14" xfId="0" applyBorder="1" applyAlignment="1">
      <alignment horizontal="right"/>
    </xf>
    <xf numFmtId="0" fontId="0" fillId="0" borderId="13" xfId="0" applyBorder="1" applyAlignment="1">
      <alignment horizontal="right"/>
    </xf>
    <xf numFmtId="0" fontId="0" fillId="0" borderId="5" xfId="0" applyBorder="1" applyAlignment="1">
      <alignment horizontal="right"/>
    </xf>
    <xf numFmtId="0" fontId="0" fillId="15" borderId="13" xfId="0" applyFill="1" applyBorder="1"/>
    <xf numFmtId="0" fontId="0" fillId="7" borderId="4" xfId="0" applyFill="1" applyBorder="1"/>
    <xf numFmtId="168" fontId="0" fillId="7" borderId="4" xfId="0" applyNumberFormat="1" applyFill="1" applyBorder="1"/>
    <xf numFmtId="0" fontId="0" fillId="6" borderId="7" xfId="0" applyFill="1" applyBorder="1"/>
    <xf numFmtId="0" fontId="23" fillId="6" borderId="0" xfId="0" applyFont="1" applyFill="1"/>
    <xf numFmtId="0" fontId="50" fillId="0" borderId="0" xfId="0" applyFont="1"/>
    <xf numFmtId="0" fontId="33" fillId="6" borderId="0" xfId="0" applyFont="1" applyFill="1"/>
    <xf numFmtId="0" fontId="22" fillId="6" borderId="0" xfId="0" applyFont="1" applyFill="1"/>
    <xf numFmtId="0" fontId="36" fillId="6" borderId="0" xfId="0" applyFont="1" applyFill="1"/>
    <xf numFmtId="0" fontId="22" fillId="6" borderId="5" xfId="0" applyFont="1" applyFill="1" applyBorder="1"/>
    <xf numFmtId="0" fontId="0" fillId="6" borderId="4" xfId="0" applyFill="1" applyBorder="1"/>
    <xf numFmtId="0" fontId="22" fillId="6" borderId="0" xfId="0" applyFont="1" applyFill="1" applyAlignment="1">
      <alignment horizontal="left"/>
    </xf>
    <xf numFmtId="0" fontId="26" fillId="6" borderId="0" xfId="0" applyFont="1" applyFill="1"/>
    <xf numFmtId="0" fontId="28" fillId="6" borderId="4" xfId="0" applyFont="1" applyFill="1" applyBorder="1"/>
    <xf numFmtId="0" fontId="22" fillId="6" borderId="2" xfId="0" applyFont="1" applyFill="1" applyBorder="1"/>
    <xf numFmtId="0" fontId="22" fillId="6" borderId="3" xfId="0" applyFont="1" applyFill="1" applyBorder="1"/>
    <xf numFmtId="0" fontId="0" fillId="6" borderId="6" xfId="0" applyFill="1" applyBorder="1"/>
    <xf numFmtId="0" fontId="22" fillId="6" borderId="7" xfId="0" applyFont="1" applyFill="1" applyBorder="1"/>
    <xf numFmtId="0" fontId="22" fillId="6" borderId="8" xfId="0" applyFont="1" applyFill="1" applyBorder="1"/>
    <xf numFmtId="0" fontId="33" fillId="6" borderId="5" xfId="0" applyFont="1" applyFill="1" applyBorder="1"/>
    <xf numFmtId="0" fontId="22" fillId="6" borderId="6" xfId="0" applyFont="1" applyFill="1" applyBorder="1"/>
    <xf numFmtId="177" fontId="0" fillId="6" borderId="28" xfId="0" applyNumberFormat="1" applyFill="1" applyBorder="1" applyAlignment="1">
      <alignment horizontal="center"/>
    </xf>
    <xf numFmtId="10" fontId="0" fillId="0" borderId="0" xfId="0" applyNumberFormat="1" applyAlignment="1">
      <alignment horizontal="center"/>
    </xf>
    <xf numFmtId="14" fontId="67" fillId="8" borderId="0" xfId="0" applyNumberFormat="1" applyFont="1" applyFill="1"/>
    <xf numFmtId="14" fontId="39" fillId="8" borderId="0" xfId="0" applyNumberFormat="1" applyFont="1" applyFill="1"/>
    <xf numFmtId="0" fontId="0" fillId="8" borderId="0" xfId="0" applyFill="1"/>
    <xf numFmtId="0" fontId="73" fillId="8" borderId="0" xfId="0" applyFont="1" applyFill="1"/>
    <xf numFmtId="0" fontId="67" fillId="8" borderId="0" xfId="0" applyFont="1" applyFill="1"/>
    <xf numFmtId="0" fontId="23" fillId="8" borderId="0" xfId="0" applyFont="1" applyFill="1"/>
    <xf numFmtId="0" fontId="39" fillId="8" borderId="0" xfId="0" applyFont="1" applyFill="1"/>
    <xf numFmtId="14" fontId="0" fillId="8" borderId="0" xfId="0" applyNumberFormat="1" applyFill="1"/>
    <xf numFmtId="0" fontId="70" fillId="8" borderId="0" xfId="0" applyFont="1" applyFill="1"/>
    <xf numFmtId="14" fontId="58" fillId="8" borderId="0" xfId="0" applyNumberFormat="1" applyFont="1" applyFill="1"/>
    <xf numFmtId="0" fontId="0" fillId="3" borderId="0" xfId="0" applyFill="1"/>
    <xf numFmtId="0" fontId="33" fillId="0" borderId="4" xfId="0" applyFont="1" applyBorder="1"/>
    <xf numFmtId="0" fontId="28" fillId="0" borderId="0" xfId="0" applyFont="1"/>
    <xf numFmtId="2" fontId="33" fillId="0" borderId="0" xfId="0" applyNumberFormat="1" applyFont="1" applyAlignment="1">
      <alignment horizontal="right"/>
    </xf>
    <xf numFmtId="2" fontId="33" fillId="0" borderId="0" xfId="0" applyNumberFormat="1" applyFont="1" applyAlignment="1">
      <alignment horizontal="center"/>
    </xf>
    <xf numFmtId="0" fontId="21" fillId="0" borderId="4" xfId="0" applyFont="1" applyBorder="1"/>
    <xf numFmtId="0" fontId="21" fillId="0" borderId="0" xfId="0" applyFont="1"/>
    <xf numFmtId="14" fontId="21" fillId="0" borderId="0" xfId="0" applyNumberFormat="1" applyFont="1" applyAlignment="1">
      <alignment horizontal="right"/>
    </xf>
    <xf numFmtId="14" fontId="21" fillId="0" borderId="0" xfId="0" applyNumberFormat="1" applyFont="1" applyAlignment="1">
      <alignment horizontal="center" vertical="top"/>
    </xf>
    <xf numFmtId="14" fontId="21" fillId="0" borderId="0" xfId="0" applyNumberFormat="1" applyFont="1" applyAlignment="1">
      <alignment horizontal="right" vertical="top"/>
    </xf>
    <xf numFmtId="0" fontId="21" fillId="0" borderId="5" xfId="0" applyFont="1" applyBorder="1"/>
    <xf numFmtId="0" fontId="21" fillId="8" borderId="0" xfId="0" applyFont="1" applyFill="1"/>
    <xf numFmtId="0" fontId="28" fillId="2" borderId="0" xfId="0" applyFont="1" applyFill="1"/>
    <xf numFmtId="0" fontId="34" fillId="0" borderId="2" xfId="0" applyFont="1" applyBorder="1" applyAlignment="1">
      <alignment vertical="top"/>
    </xf>
    <xf numFmtId="0" fontId="27" fillId="0" borderId="2" xfId="0" applyFont="1" applyBorder="1"/>
    <xf numFmtId="0" fontId="34" fillId="0" borderId="2" xfId="0" applyFont="1" applyBorder="1" applyAlignment="1">
      <alignment horizontal="center" vertical="top"/>
    </xf>
    <xf numFmtId="0" fontId="32" fillId="8" borderId="0" xfId="0" applyFont="1" applyFill="1"/>
    <xf numFmtId="0" fontId="21" fillId="0" borderId="16" xfId="0" applyFont="1" applyBorder="1"/>
    <xf numFmtId="0" fontId="21" fillId="0" borderId="17" xfId="0" applyFont="1" applyBorder="1"/>
    <xf numFmtId="0" fontId="50" fillId="0" borderId="0" xfId="0" applyFont="1" applyAlignment="1">
      <alignment vertical="top" wrapText="1"/>
    </xf>
    <xf numFmtId="0" fontId="50" fillId="0" borderId="5" xfId="0" applyFont="1" applyBorder="1" applyAlignment="1">
      <alignment vertical="top" wrapText="1"/>
    </xf>
    <xf numFmtId="0" fontId="21" fillId="0" borderId="7" xfId="0" applyFont="1" applyBorder="1"/>
    <xf numFmtId="0" fontId="50" fillId="0" borderId="7" xfId="0" applyFont="1" applyBorder="1" applyAlignment="1">
      <alignment vertical="top" wrapText="1"/>
    </xf>
    <xf numFmtId="0" fontId="32" fillId="6" borderId="7" xfId="0" applyFont="1" applyFill="1" applyBorder="1"/>
    <xf numFmtId="0" fontId="21" fillId="0" borderId="8" xfId="0" applyFont="1" applyBorder="1"/>
    <xf numFmtId="0" fontId="0" fillId="7" borderId="0" xfId="0" applyFill="1" applyAlignment="1">
      <alignment wrapText="1"/>
    </xf>
    <xf numFmtId="173" fontId="0" fillId="6" borderId="0" xfId="0" applyNumberFormat="1" applyFill="1" applyAlignment="1">
      <alignment horizontal="center"/>
    </xf>
    <xf numFmtId="175" fontId="0" fillId="6" borderId="14" xfId="0" applyNumberFormat="1" applyFill="1" applyBorder="1" applyAlignment="1">
      <alignment horizontal="center"/>
    </xf>
    <xf numFmtId="176" fontId="0" fillId="6" borderId="14" xfId="0" applyNumberFormat="1" applyFill="1" applyBorder="1" applyAlignment="1">
      <alignment horizontal="center"/>
    </xf>
    <xf numFmtId="0" fontId="15" fillId="0" borderId="0" xfId="0" applyFont="1"/>
    <xf numFmtId="14" fontId="21" fillId="6" borderId="0" xfId="0" applyNumberFormat="1" applyFont="1" applyFill="1" applyAlignment="1">
      <alignment horizontal="center" vertical="top"/>
    </xf>
    <xf numFmtId="14" fontId="21" fillId="6" borderId="0" xfId="0" applyNumberFormat="1" applyFont="1" applyFill="1" applyAlignment="1">
      <alignment horizontal="right" vertical="top"/>
    </xf>
    <xf numFmtId="0" fontId="28" fillId="2" borderId="7" xfId="0" applyFont="1" applyFill="1" applyBorder="1" applyProtection="1">
      <protection hidden="1"/>
    </xf>
    <xf numFmtId="0" fontId="21" fillId="0" borderId="0" xfId="0" applyFont="1" applyAlignment="1">
      <alignment horizontal="center"/>
    </xf>
    <xf numFmtId="0" fontId="49" fillId="8" borderId="0" xfId="0" applyFont="1" applyFill="1"/>
    <xf numFmtId="0" fontId="38" fillId="0" borderId="0" xfId="0" applyFont="1" applyAlignment="1">
      <alignment horizontal="left"/>
    </xf>
    <xf numFmtId="0" fontId="28" fillId="0" borderId="0" xfId="0" applyFont="1" applyAlignment="1">
      <alignment horizontal="left"/>
    </xf>
    <xf numFmtId="0" fontId="33" fillId="8" borderId="0" xfId="0" applyFont="1" applyFill="1" applyAlignment="1">
      <alignment horizontal="left"/>
    </xf>
    <xf numFmtId="0" fontId="28" fillId="0" borderId="0" xfId="0" applyFont="1" applyAlignment="1">
      <alignment horizontal="right"/>
    </xf>
    <xf numFmtId="3" fontId="28" fillId="7" borderId="14" xfId="0" applyNumberFormat="1" applyFont="1" applyFill="1" applyBorder="1" applyAlignment="1">
      <alignment horizontal="center"/>
    </xf>
    <xf numFmtId="0" fontId="27" fillId="7" borderId="14" xfId="0" applyFont="1" applyFill="1" applyBorder="1" applyAlignment="1">
      <alignment horizontal="center"/>
    </xf>
    <xf numFmtId="167" fontId="27" fillId="7" borderId="14" xfId="0" applyNumberFormat="1" applyFont="1" applyFill="1" applyBorder="1" applyAlignment="1">
      <alignment horizontal="center"/>
    </xf>
    <xf numFmtId="0" fontId="21" fillId="8" borderId="0" xfId="0" applyFont="1" applyFill="1" applyAlignment="1">
      <alignment horizontal="right"/>
    </xf>
    <xf numFmtId="4" fontId="27" fillId="7" borderId="14" xfId="0" applyNumberFormat="1" applyFont="1" applyFill="1" applyBorder="1" applyAlignment="1">
      <alignment horizontal="center"/>
    </xf>
    <xf numFmtId="0" fontId="28" fillId="8" borderId="0" xfId="0" applyFont="1" applyFill="1" applyAlignment="1">
      <alignment horizontal="right" indent="1"/>
    </xf>
    <xf numFmtId="0" fontId="32" fillId="0" borderId="0" xfId="0" applyFont="1"/>
    <xf numFmtId="0" fontId="33" fillId="8" borderId="0" xfId="0" applyFont="1" applyFill="1" applyAlignment="1">
      <alignment horizontal="right"/>
    </xf>
    <xf numFmtId="0" fontId="28" fillId="8" borderId="0" xfId="0" applyFont="1" applyFill="1" applyAlignment="1">
      <alignment horizontal="right"/>
    </xf>
    <xf numFmtId="0" fontId="33" fillId="0" borderId="0" xfId="0" applyFont="1" applyAlignment="1">
      <alignment horizontal="right"/>
    </xf>
    <xf numFmtId="0" fontId="74" fillId="8" borderId="0" xfId="0" applyFont="1" applyFill="1"/>
    <xf numFmtId="0" fontId="21" fillId="0" borderId="0" xfId="0" applyFont="1" applyAlignment="1">
      <alignment horizontal="right"/>
    </xf>
    <xf numFmtId="1" fontId="37" fillId="8" borderId="0" xfId="0" applyNumberFormat="1" applyFont="1" applyFill="1" applyAlignment="1">
      <alignment horizontal="center"/>
    </xf>
    <xf numFmtId="1" fontId="33" fillId="7" borderId="14" xfId="0" applyNumberFormat="1" applyFont="1" applyFill="1" applyBorder="1" applyAlignment="1">
      <alignment horizontal="right" indent="1"/>
    </xf>
    <xf numFmtId="0" fontId="33" fillId="7" borderId="0" xfId="0" applyFont="1" applyFill="1"/>
    <xf numFmtId="0" fontId="26" fillId="7" borderId="0" xfId="0" applyFont="1" applyFill="1"/>
    <xf numFmtId="4" fontId="37" fillId="8" borderId="0" xfId="0" applyNumberFormat="1" applyFont="1" applyFill="1" applyAlignment="1">
      <alignment horizontal="center"/>
    </xf>
    <xf numFmtId="3" fontId="37" fillId="8" borderId="0" xfId="0" applyNumberFormat="1" applyFont="1" applyFill="1" applyAlignment="1">
      <alignment horizontal="center"/>
    </xf>
    <xf numFmtId="4" fontId="21" fillId="7" borderId="14" xfId="0" applyNumberFormat="1" applyFont="1" applyFill="1" applyBorder="1"/>
    <xf numFmtId="164" fontId="21" fillId="2" borderId="14" xfId="0" applyNumberFormat="1" applyFont="1" applyFill="1" applyBorder="1"/>
    <xf numFmtId="169" fontId="0" fillId="8" borderId="0" xfId="0" applyNumberFormat="1" applyFill="1"/>
    <xf numFmtId="0" fontId="43" fillId="8" borderId="0" xfId="0" applyFont="1" applyFill="1"/>
    <xf numFmtId="0" fontId="28" fillId="0" borderId="0" xfId="0" applyFont="1" applyAlignment="1">
      <alignment horizontal="right" indent="1"/>
    </xf>
    <xf numFmtId="3" fontId="0" fillId="8" borderId="0" xfId="0" applyNumberFormat="1" applyFill="1" applyAlignment="1">
      <alignment horizontal="center"/>
    </xf>
    <xf numFmtId="0" fontId="21" fillId="2" borderId="12" xfId="0" applyFont="1" applyFill="1" applyBorder="1" applyAlignment="1">
      <alignment horizontal="center" wrapText="1"/>
    </xf>
    <xf numFmtId="0" fontId="21" fillId="2" borderId="14" xfId="0" applyFont="1" applyFill="1" applyBorder="1" applyAlignment="1">
      <alignment horizontal="center" wrapText="1"/>
    </xf>
    <xf numFmtId="0" fontId="21" fillId="2" borderId="13" xfId="0" applyFont="1" applyFill="1" applyBorder="1" applyAlignment="1">
      <alignment horizontal="center" wrapText="1"/>
    </xf>
    <xf numFmtId="0" fontId="17" fillId="2" borderId="13" xfId="0" applyFont="1" applyFill="1" applyBorder="1" applyAlignment="1">
      <alignment horizontal="right"/>
    </xf>
    <xf numFmtId="0" fontId="37" fillId="8" borderId="18" xfId="0" applyFont="1" applyFill="1" applyBorder="1" applyAlignment="1">
      <alignment horizontal="right"/>
    </xf>
    <xf numFmtId="0" fontId="21" fillId="2" borderId="12" xfId="0" applyFont="1" applyFill="1" applyBorder="1" applyAlignment="1">
      <alignment horizontal="right"/>
    </xf>
    <xf numFmtId="0" fontId="21" fillId="2" borderId="18" xfId="0" applyFont="1" applyFill="1" applyBorder="1" applyAlignment="1">
      <alignment horizontal="right"/>
    </xf>
    <xf numFmtId="0" fontId="28" fillId="0" borderId="18" xfId="0" applyFont="1" applyBorder="1" applyAlignment="1">
      <alignment horizontal="left"/>
    </xf>
    <xf numFmtId="166" fontId="28" fillId="7" borderId="13" xfId="0" applyNumberFormat="1" applyFont="1" applyFill="1" applyBorder="1" applyAlignment="1">
      <alignment horizontal="right"/>
    </xf>
    <xf numFmtId="0" fontId="37" fillId="8" borderId="18" xfId="0" applyFont="1" applyFill="1" applyBorder="1"/>
    <xf numFmtId="166" fontId="37" fillId="8" borderId="18" xfId="0" applyNumberFormat="1" applyFont="1" applyFill="1" applyBorder="1"/>
    <xf numFmtId="166" fontId="28" fillId="8" borderId="12" xfId="0" applyNumberFormat="1" applyFont="1" applyFill="1" applyBorder="1"/>
    <xf numFmtId="166" fontId="28" fillId="7" borderId="13" xfId="0" applyNumberFormat="1" applyFont="1" applyFill="1" applyBorder="1"/>
    <xf numFmtId="166" fontId="28" fillId="8" borderId="18" xfId="0" applyNumberFormat="1" applyFont="1" applyFill="1" applyBorder="1"/>
    <xf numFmtId="166" fontId="27" fillId="8" borderId="12" xfId="0" applyNumberFormat="1" applyFont="1" applyFill="1" applyBorder="1"/>
    <xf numFmtId="166" fontId="27" fillId="7" borderId="13" xfId="0" applyNumberFormat="1" applyFont="1" applyFill="1" applyBorder="1"/>
    <xf numFmtId="166" fontId="0" fillId="8" borderId="0" xfId="0" applyNumberFormat="1" applyFill="1"/>
    <xf numFmtId="166" fontId="0" fillId="0" borderId="0" xfId="0" applyNumberFormat="1"/>
    <xf numFmtId="0" fontId="21" fillId="0" borderId="18" xfId="0" applyFont="1" applyBorder="1"/>
    <xf numFmtId="16" fontId="16" fillId="7" borderId="18" xfId="0" quotePrefix="1" applyNumberFormat="1" applyFont="1" applyFill="1" applyBorder="1" applyAlignment="1">
      <alignment horizontal="left"/>
    </xf>
    <xf numFmtId="166" fontId="33" fillId="7" borderId="13" xfId="0" applyNumberFormat="1" applyFont="1" applyFill="1" applyBorder="1" applyAlignment="1">
      <alignment horizontal="right"/>
    </xf>
    <xf numFmtId="166" fontId="21" fillId="8" borderId="12" xfId="0" applyNumberFormat="1" applyFont="1" applyFill="1" applyBorder="1"/>
    <xf numFmtId="166" fontId="21" fillId="7" borderId="13" xfId="0" applyNumberFormat="1" applyFont="1" applyFill="1" applyBorder="1"/>
    <xf numFmtId="166" fontId="21" fillId="8" borderId="1" xfId="0" quotePrefix="1" applyNumberFormat="1" applyFont="1" applyFill="1" applyBorder="1"/>
    <xf numFmtId="166" fontId="0" fillId="0" borderId="2" xfId="0" applyNumberFormat="1" applyBorder="1"/>
    <xf numFmtId="166" fontId="21" fillId="7" borderId="3" xfId="0" applyNumberFormat="1" applyFont="1" applyFill="1" applyBorder="1"/>
    <xf numFmtId="166" fontId="21" fillId="8" borderId="2" xfId="0" applyNumberFormat="1" applyFont="1" applyFill="1" applyBorder="1"/>
    <xf numFmtId="166" fontId="21" fillId="8" borderId="1" xfId="0" applyNumberFormat="1" applyFont="1" applyFill="1" applyBorder="1"/>
    <xf numFmtId="166" fontId="21" fillId="8" borderId="4" xfId="0" quotePrefix="1" applyNumberFormat="1" applyFont="1" applyFill="1" applyBorder="1"/>
    <xf numFmtId="166" fontId="21" fillId="0" borderId="18" xfId="0" applyNumberFormat="1" applyFont="1" applyBorder="1"/>
    <xf numFmtId="166" fontId="21" fillId="0" borderId="18" xfId="0" quotePrefix="1" applyNumberFormat="1" applyFont="1" applyBorder="1"/>
    <xf numFmtId="166" fontId="0" fillId="0" borderId="18" xfId="0" applyNumberFormat="1" applyBorder="1"/>
    <xf numFmtId="166" fontId="21" fillId="8" borderId="0" xfId="0" applyNumberFormat="1" applyFont="1" applyFill="1"/>
    <xf numFmtId="166" fontId="27" fillId="7" borderId="14" xfId="0" applyNumberFormat="1" applyFont="1" applyFill="1" applyBorder="1"/>
    <xf numFmtId="0" fontId="76" fillId="8" borderId="0" xfId="0" applyFont="1" applyFill="1"/>
    <xf numFmtId="166" fontId="21" fillId="7" borderId="8" xfId="0" applyNumberFormat="1" applyFont="1" applyFill="1" applyBorder="1"/>
    <xf numFmtId="166" fontId="21" fillId="8" borderId="7" xfId="0" applyNumberFormat="1" applyFont="1" applyFill="1" applyBorder="1"/>
    <xf numFmtId="166" fontId="21" fillId="8" borderId="6" xfId="0" applyNumberFormat="1" applyFont="1" applyFill="1" applyBorder="1"/>
    <xf numFmtId="16" fontId="21" fillId="0" borderId="18" xfId="0" applyNumberFormat="1" applyFont="1" applyBorder="1"/>
    <xf numFmtId="166" fontId="21" fillId="8" borderId="18" xfId="0" applyNumberFormat="1" applyFont="1" applyFill="1" applyBorder="1"/>
    <xf numFmtId="0" fontId="40" fillId="8" borderId="0" xfId="0" applyFont="1" applyFill="1"/>
    <xf numFmtId="16" fontId="21" fillId="7" borderId="18" xfId="0" quotePrefix="1" applyNumberFormat="1" applyFont="1" applyFill="1" applyBorder="1" applyAlignment="1">
      <alignment horizontal="left"/>
    </xf>
    <xf numFmtId="0" fontId="41" fillId="8" borderId="0" xfId="0" applyFont="1" applyFill="1"/>
    <xf numFmtId="0" fontId="0" fillId="0" borderId="0" xfId="0" applyAlignment="1">
      <alignment horizontal="left"/>
    </xf>
    <xf numFmtId="166" fontId="26" fillId="0" borderId="0" xfId="0" applyNumberFormat="1" applyFont="1" applyAlignment="1">
      <alignment horizontal="left"/>
    </xf>
    <xf numFmtId="166" fontId="0" fillId="8" borderId="0" xfId="0" applyNumberFormat="1" applyFill="1" applyAlignment="1">
      <alignment horizontal="left"/>
    </xf>
    <xf numFmtId="0" fontId="27" fillId="0" borderId="18" xfId="0" applyFont="1" applyBorder="1"/>
    <xf numFmtId="166" fontId="27" fillId="8" borderId="0" xfId="0" applyNumberFormat="1" applyFont="1" applyFill="1"/>
    <xf numFmtId="49" fontId="21" fillId="0" borderId="18" xfId="0" applyNumberFormat="1" applyFont="1" applyBorder="1"/>
    <xf numFmtId="0" fontId="16" fillId="7" borderId="18" xfId="0" applyFont="1" applyFill="1" applyBorder="1" applyAlignment="1">
      <alignment horizontal="left"/>
    </xf>
    <xf numFmtId="166" fontId="21" fillId="8" borderId="12" xfId="0" quotePrefix="1" applyNumberFormat="1" applyFont="1" applyFill="1" applyBorder="1"/>
    <xf numFmtId="166" fontId="21" fillId="0" borderId="13" xfId="0" applyNumberFormat="1" applyFont="1" applyBorder="1"/>
    <xf numFmtId="166" fontId="21" fillId="8" borderId="6" xfId="0" quotePrefix="1" applyNumberFormat="1" applyFont="1" applyFill="1" applyBorder="1"/>
    <xf numFmtId="166" fontId="0" fillId="8" borderId="2" xfId="0" applyNumberFormat="1" applyFill="1" applyBorder="1"/>
    <xf numFmtId="0" fontId="33" fillId="7" borderId="18" xfId="0" applyFont="1" applyFill="1" applyBorder="1" applyAlignment="1">
      <alignment horizontal="left" vertical="center"/>
    </xf>
    <xf numFmtId="166" fontId="0" fillId="8" borderId="4" xfId="0" applyNumberFormat="1" applyFill="1" applyBorder="1"/>
    <xf numFmtId="49" fontId="21" fillId="7" borderId="18" xfId="0" applyNumberFormat="1" applyFont="1" applyFill="1" applyBorder="1"/>
    <xf numFmtId="0" fontId="50" fillId="7" borderId="18" xfId="0" applyFont="1" applyFill="1" applyBorder="1" applyAlignment="1">
      <alignment horizontal="left"/>
    </xf>
    <xf numFmtId="166" fontId="21" fillId="0" borderId="0" xfId="0" applyNumberFormat="1" applyFont="1"/>
    <xf numFmtId="0" fontId="28" fillId="7" borderId="18" xfId="0" applyFont="1" applyFill="1" applyBorder="1" applyAlignment="1">
      <alignment horizontal="left"/>
    </xf>
    <xf numFmtId="0" fontId="28" fillId="0" borderId="18" xfId="0" applyFont="1" applyBorder="1"/>
    <xf numFmtId="16" fontId="21" fillId="7" borderId="18" xfId="0" applyNumberFormat="1" applyFont="1" applyFill="1" applyBorder="1"/>
    <xf numFmtId="16" fontId="16" fillId="7" borderId="18" xfId="0" quotePrefix="1" applyNumberFormat="1" applyFont="1" applyFill="1" applyBorder="1"/>
    <xf numFmtId="166" fontId="44" fillId="0" borderId="0" xfId="0" applyNumberFormat="1" applyFont="1" applyAlignment="1">
      <alignment vertical="top" wrapText="1"/>
    </xf>
    <xf numFmtId="166" fontId="44" fillId="8" borderId="0" xfId="0" applyNumberFormat="1" applyFont="1" applyFill="1" applyAlignment="1">
      <alignment vertical="top" wrapText="1"/>
    </xf>
    <xf numFmtId="16" fontId="21" fillId="7" borderId="18" xfId="0" quotePrefix="1" applyNumberFormat="1" applyFont="1" applyFill="1" applyBorder="1"/>
    <xf numFmtId="166" fontId="44" fillId="8" borderId="4" xfId="0" applyNumberFormat="1" applyFont="1" applyFill="1" applyBorder="1" applyAlignment="1">
      <alignment vertical="top" wrapText="1"/>
    </xf>
    <xf numFmtId="0" fontId="44" fillId="0" borderId="5" xfId="0" applyFont="1" applyBorder="1" applyAlignment="1">
      <alignment horizontal="right" indent="1"/>
    </xf>
    <xf numFmtId="166" fontId="44" fillId="8" borderId="4" xfId="0" applyNumberFormat="1" applyFont="1" applyFill="1" applyBorder="1"/>
    <xf numFmtId="166" fontId="44" fillId="0" borderId="0" xfId="0" applyNumberFormat="1" applyFont="1"/>
    <xf numFmtId="166" fontId="44" fillId="8" borderId="0" xfId="0" applyNumberFormat="1" applyFont="1" applyFill="1"/>
    <xf numFmtId="166" fontId="28" fillId="0" borderId="0" xfId="0" applyNumberFormat="1" applyFont="1"/>
    <xf numFmtId="166" fontId="0" fillId="8" borderId="0" xfId="0" applyNumberFormat="1" applyFill="1" applyAlignment="1">
      <alignment horizontal="right" indent="1"/>
    </xf>
    <xf numFmtId="166" fontId="28" fillId="0" borderId="0" xfId="0" applyNumberFormat="1" applyFont="1" applyAlignment="1">
      <alignment horizontal="right" indent="1"/>
    </xf>
    <xf numFmtId="166" fontId="28" fillId="8" borderId="0" xfId="0" applyNumberFormat="1" applyFont="1" applyFill="1" applyAlignment="1">
      <alignment horizontal="right" indent="1"/>
    </xf>
    <xf numFmtId="166" fontId="21" fillId="8" borderId="0" xfId="0" applyNumberFormat="1" applyFont="1" applyFill="1" applyAlignment="1">
      <alignment horizontal="right" indent="1"/>
    </xf>
    <xf numFmtId="166" fontId="0" fillId="0" borderId="0" xfId="0" applyNumberFormat="1" applyAlignment="1">
      <alignment horizontal="right" indent="1"/>
    </xf>
    <xf numFmtId="0" fontId="32" fillId="2" borderId="18" xfId="0" applyFont="1" applyFill="1" applyBorder="1" applyAlignment="1">
      <alignment horizontal="left"/>
    </xf>
    <xf numFmtId="166" fontId="33" fillId="8" borderId="12" xfId="0" applyNumberFormat="1" applyFont="1" applyFill="1" applyBorder="1" applyAlignment="1">
      <alignment horizontal="right" indent="1"/>
    </xf>
    <xf numFmtId="166" fontId="33" fillId="7" borderId="13" xfId="0" applyNumberFormat="1" applyFont="1" applyFill="1" applyBorder="1" applyAlignment="1">
      <alignment horizontal="right" indent="1"/>
    </xf>
    <xf numFmtId="166" fontId="33" fillId="8" borderId="18" xfId="0" applyNumberFormat="1" applyFont="1" applyFill="1" applyBorder="1"/>
    <xf numFmtId="166" fontId="33" fillId="7" borderId="13" xfId="0" applyNumberFormat="1" applyFont="1" applyFill="1" applyBorder="1"/>
    <xf numFmtId="166" fontId="32" fillId="8" borderId="0" xfId="0" applyNumberFormat="1" applyFont="1" applyFill="1" applyAlignment="1">
      <alignment horizontal="left"/>
    </xf>
    <xf numFmtId="166" fontId="21" fillId="8" borderId="0" xfId="0" applyNumberFormat="1" applyFont="1" applyFill="1" applyAlignment="1">
      <alignment horizontal="right"/>
    </xf>
    <xf numFmtId="166" fontId="27" fillId="0" borderId="0" xfId="0" applyNumberFormat="1" applyFont="1" applyAlignment="1">
      <alignment horizontal="right"/>
    </xf>
    <xf numFmtId="166" fontId="27" fillId="8" borderId="0" xfId="0" applyNumberFormat="1" applyFont="1" applyFill="1" applyAlignment="1">
      <alignment horizontal="right"/>
    </xf>
    <xf numFmtId="0" fontId="31" fillId="8" borderId="0" xfId="0" applyFont="1" applyFill="1"/>
    <xf numFmtId="0" fontId="34" fillId="0" borderId="0" xfId="0" applyFont="1" applyAlignment="1">
      <alignment horizontal="left"/>
    </xf>
    <xf numFmtId="0" fontId="32" fillId="0" borderId="0" xfId="0" applyFont="1" applyAlignment="1">
      <alignment horizontal="right"/>
    </xf>
    <xf numFmtId="0" fontId="32" fillId="8" borderId="0" xfId="0" applyFont="1" applyFill="1" applyAlignment="1">
      <alignment horizontal="right"/>
    </xf>
    <xf numFmtId="4" fontId="32" fillId="0" borderId="0" xfId="0" applyNumberFormat="1" applyFont="1" applyAlignment="1">
      <alignment horizontal="right"/>
    </xf>
    <xf numFmtId="0" fontId="27" fillId="0" borderId="0" xfId="0" applyFont="1" applyAlignment="1">
      <alignment horizontal="right"/>
    </xf>
    <xf numFmtId="164" fontId="28" fillId="7" borderId="15" xfId="0" applyNumberFormat="1" applyFont="1" applyFill="1" applyBorder="1" applyAlignment="1">
      <alignment horizontal="right" indent="1"/>
    </xf>
    <xf numFmtId="0" fontId="27" fillId="8" borderId="0" xfId="0" applyFont="1" applyFill="1" applyAlignment="1">
      <alignment horizontal="right"/>
    </xf>
    <xf numFmtId="164" fontId="28" fillId="8" borderId="10" xfId="0" applyNumberFormat="1" applyFont="1" applyFill="1" applyBorder="1" applyAlignment="1">
      <alignment horizontal="right"/>
    </xf>
    <xf numFmtId="0" fontId="68" fillId="8" borderId="0" xfId="0" applyFont="1" applyFill="1" applyAlignment="1">
      <alignment horizontal="left"/>
    </xf>
    <xf numFmtId="0" fontId="27" fillId="0" borderId="0" xfId="0" applyFont="1" applyAlignment="1">
      <alignment horizontal="left"/>
    </xf>
    <xf numFmtId="164" fontId="69" fillId="0" borderId="0" xfId="0" applyNumberFormat="1" applyFont="1" applyAlignment="1">
      <alignment horizontal="right" indent="1"/>
    </xf>
    <xf numFmtId="0" fontId="27" fillId="0" borderId="7" xfId="0" applyFont="1" applyBorder="1"/>
    <xf numFmtId="0" fontId="27" fillId="0" borderId="7" xfId="0" applyFont="1" applyBorder="1" applyAlignment="1">
      <alignment horizontal="right"/>
    </xf>
    <xf numFmtId="0" fontId="45" fillId="8" borderId="0" xfId="0" applyFont="1" applyFill="1"/>
    <xf numFmtId="0" fontId="72" fillId="0" borderId="0" xfId="0" applyFont="1"/>
    <xf numFmtId="0" fontId="0" fillId="6" borderId="8" xfId="0" applyFill="1" applyBorder="1"/>
    <xf numFmtId="14" fontId="21" fillId="6" borderId="0" xfId="0" applyNumberFormat="1" applyFont="1" applyFill="1" applyAlignment="1">
      <alignment horizontal="center" vertical="center"/>
    </xf>
    <xf numFmtId="14" fontId="33" fillId="6" borderId="0" xfId="0" applyNumberFormat="1" applyFont="1" applyFill="1" applyAlignment="1">
      <alignment horizontal="center" vertical="center"/>
    </xf>
    <xf numFmtId="0" fontId="21" fillId="3" borderId="7" xfId="0" applyFont="1" applyFill="1" applyBorder="1" applyAlignment="1" applyProtection="1">
      <alignment horizontal="center"/>
      <protection locked="0"/>
    </xf>
    <xf numFmtId="0" fontId="27" fillId="3" borderId="15" xfId="0" applyFont="1" applyFill="1" applyBorder="1" applyAlignment="1" applyProtection="1">
      <alignment horizontal="center"/>
      <protection locked="0"/>
    </xf>
    <xf numFmtId="14" fontId="21" fillId="3" borderId="14" xfId="0" applyNumberFormat="1" applyFont="1" applyFill="1" applyBorder="1" applyAlignment="1" applyProtection="1">
      <alignment horizontal="center"/>
      <protection locked="0"/>
    </xf>
    <xf numFmtId="14" fontId="21" fillId="3" borderId="15" xfId="0" applyNumberFormat="1" applyFont="1" applyFill="1" applyBorder="1" applyAlignment="1" applyProtection="1">
      <alignment horizontal="center" vertical="center"/>
      <protection locked="0"/>
    </xf>
    <xf numFmtId="14" fontId="33" fillId="3" borderId="15" xfId="0" applyNumberFormat="1" applyFont="1" applyFill="1" applyBorder="1" applyAlignment="1" applyProtection="1">
      <alignment horizontal="center" vertical="center"/>
      <protection locked="0"/>
    </xf>
    <xf numFmtId="0" fontId="0" fillId="3" borderId="0" xfId="0" applyFill="1" applyProtection="1">
      <protection locked="0"/>
    </xf>
    <xf numFmtId="2" fontId="21" fillId="3" borderId="8" xfId="0" applyNumberFormat="1" applyFont="1" applyFill="1" applyBorder="1" applyAlignment="1" applyProtection="1">
      <alignment horizontal="center"/>
      <protection locked="0"/>
    </xf>
    <xf numFmtId="2" fontId="21" fillId="3" borderId="13" xfId="0" applyNumberFormat="1" applyFont="1" applyFill="1" applyBorder="1" applyAlignment="1" applyProtection="1">
      <alignment horizontal="center"/>
      <protection locked="0"/>
    </xf>
    <xf numFmtId="2" fontId="21" fillId="3" borderId="7" xfId="0" applyNumberFormat="1" applyFont="1" applyFill="1" applyBorder="1" applyAlignment="1" applyProtection="1">
      <alignment horizontal="center"/>
      <protection locked="0"/>
    </xf>
    <xf numFmtId="164" fontId="21" fillId="3" borderId="14" xfId="0" applyNumberFormat="1" applyFont="1" applyFill="1" applyBorder="1" applyAlignment="1" applyProtection="1">
      <alignment horizontal="center"/>
      <protection locked="0"/>
    </xf>
    <xf numFmtId="167" fontId="0" fillId="16" borderId="14" xfId="0" applyNumberFormat="1" applyFill="1" applyBorder="1" applyProtection="1">
      <protection locked="0"/>
    </xf>
    <xf numFmtId="0" fontId="0" fillId="16" borderId="14" xfId="0" applyFill="1" applyBorder="1" applyProtection="1">
      <protection locked="0"/>
    </xf>
    <xf numFmtId="0" fontId="0" fillId="16" borderId="12" xfId="0" applyFill="1" applyBorder="1" applyProtection="1">
      <protection locked="0"/>
    </xf>
    <xf numFmtId="173" fontId="0" fillId="16" borderId="14" xfId="0" applyNumberFormat="1" applyFill="1" applyBorder="1" applyAlignment="1" applyProtection="1">
      <alignment horizontal="center"/>
      <protection locked="0"/>
    </xf>
    <xf numFmtId="10" fontId="0" fillId="16" borderId="14" xfId="0" applyNumberFormat="1" applyFill="1" applyBorder="1" applyAlignment="1" applyProtection="1">
      <alignment horizontal="center"/>
      <protection locked="0"/>
    </xf>
    <xf numFmtId="174" fontId="0" fillId="16" borderId="12" xfId="0" applyNumberFormat="1" applyFill="1" applyBorder="1" applyAlignment="1" applyProtection="1">
      <alignment horizontal="center"/>
      <protection locked="0"/>
    </xf>
    <xf numFmtId="175" fontId="0" fillId="16" borderId="12" xfId="0" applyNumberFormat="1" applyFill="1" applyBorder="1" applyProtection="1">
      <protection locked="0"/>
    </xf>
    <xf numFmtId="44" fontId="0" fillId="16" borderId="12" xfId="2" applyFont="1" applyFill="1" applyBorder="1" applyProtection="1">
      <protection locked="0"/>
    </xf>
    <xf numFmtId="44" fontId="0" fillId="16" borderId="7" xfId="2" applyFont="1" applyFill="1" applyBorder="1" applyProtection="1">
      <protection locked="0"/>
    </xf>
    <xf numFmtId="0" fontId="46" fillId="6" borderId="0" xfId="0" applyFont="1" applyFill="1" applyAlignment="1">
      <alignment vertical="top" wrapText="1"/>
    </xf>
    <xf numFmtId="0" fontId="46" fillId="6" borderId="0" xfId="0" applyFont="1" applyFill="1" applyAlignment="1">
      <alignment horizontal="left" vertical="top" wrapText="1"/>
    </xf>
    <xf numFmtId="0" fontId="78" fillId="21" borderId="0" xfId="0" applyFont="1" applyFill="1"/>
    <xf numFmtId="0" fontId="32" fillId="0" borderId="0" xfId="0" applyFont="1" applyAlignment="1">
      <alignment horizontal="right" wrapText="1"/>
    </xf>
    <xf numFmtId="0" fontId="30" fillId="22" borderId="0" xfId="0" applyFont="1" applyFill="1" applyProtection="1">
      <protection hidden="1"/>
    </xf>
    <xf numFmtId="0" fontId="32" fillId="22" borderId="0" xfId="0" applyFont="1" applyFill="1" applyProtection="1">
      <protection hidden="1"/>
    </xf>
    <xf numFmtId="14" fontId="27" fillId="3" borderId="14" xfId="0" applyNumberFormat="1" applyFont="1" applyFill="1" applyBorder="1" applyAlignment="1" applyProtection="1">
      <alignment horizontal="center"/>
      <protection locked="0"/>
    </xf>
    <xf numFmtId="0" fontId="14" fillId="0" borderId="0" xfId="0" applyFont="1" applyAlignment="1" applyProtection="1">
      <alignment vertical="center"/>
      <protection hidden="1"/>
    </xf>
    <xf numFmtId="0" fontId="32" fillId="23" borderId="0" xfId="0" applyFont="1" applyFill="1" applyProtection="1">
      <protection hidden="1"/>
    </xf>
    <xf numFmtId="0" fontId="33" fillId="21" borderId="0" xfId="17" applyFill="1" applyAlignment="1">
      <alignment vertical="center" wrapText="1"/>
    </xf>
    <xf numFmtId="0" fontId="0" fillId="21" borderId="0" xfId="0" applyFill="1"/>
    <xf numFmtId="0" fontId="79" fillId="21" borderId="0" xfId="17" applyFont="1" applyFill="1" applyAlignment="1">
      <alignment horizontal="left" vertical="center"/>
    </xf>
    <xf numFmtId="0" fontId="28" fillId="0" borderId="14" xfId="17" applyFont="1" applyBorder="1" applyAlignment="1">
      <alignment horizontal="center" vertical="center" wrapText="1"/>
    </xf>
    <xf numFmtId="2" fontId="32" fillId="23" borderId="0" xfId="0" applyNumberFormat="1" applyFont="1" applyFill="1" applyAlignment="1" applyProtection="1">
      <alignment horizontal="right"/>
      <protection hidden="1"/>
    </xf>
    <xf numFmtId="0" fontId="30" fillId="6" borderId="0" xfId="0" applyFont="1" applyFill="1" applyProtection="1">
      <protection hidden="1"/>
    </xf>
    <xf numFmtId="14" fontId="0" fillId="15" borderId="14" xfId="0" applyNumberFormat="1" applyFill="1" applyBorder="1" applyAlignment="1" applyProtection="1">
      <alignment horizontal="center"/>
      <protection hidden="1"/>
    </xf>
    <xf numFmtId="0" fontId="0" fillId="8" borderId="14" xfId="0" applyFill="1" applyBorder="1"/>
    <xf numFmtId="44" fontId="0" fillId="8" borderId="14" xfId="2" applyFont="1" applyFill="1" applyBorder="1"/>
    <xf numFmtId="0" fontId="24" fillId="8" borderId="14" xfId="0" applyFont="1" applyFill="1" applyBorder="1"/>
    <xf numFmtId="10" fontId="0" fillId="8" borderId="14" xfId="3" applyNumberFormat="1" applyFont="1" applyFill="1" applyBorder="1"/>
    <xf numFmtId="14" fontId="21" fillId="3" borderId="21" xfId="0" applyNumberFormat="1" applyFont="1" applyFill="1" applyBorder="1" applyAlignment="1" applyProtection="1">
      <alignment horizontal="center"/>
      <protection locked="0"/>
    </xf>
    <xf numFmtId="0" fontId="46" fillId="6" borderId="0" xfId="0" applyFont="1" applyFill="1" applyAlignment="1">
      <alignment vertical="top"/>
    </xf>
    <xf numFmtId="14" fontId="32" fillId="23" borderId="0" xfId="0" applyNumberFormat="1" applyFont="1" applyFill="1" applyAlignment="1" applyProtection="1">
      <alignment horizontal="left"/>
      <protection hidden="1"/>
    </xf>
    <xf numFmtId="0" fontId="11" fillId="25" borderId="14" xfId="0" applyFont="1" applyFill="1" applyBorder="1" applyAlignment="1">
      <alignment horizontal="left"/>
    </xf>
    <xf numFmtId="0" fontId="11" fillId="25" borderId="14" xfId="0" applyFont="1" applyFill="1" applyBorder="1" applyAlignment="1">
      <alignment horizontal="left" vertical="center"/>
    </xf>
    <xf numFmtId="0" fontId="11" fillId="25" borderId="14" xfId="0" applyFont="1" applyFill="1" applyBorder="1" applyAlignment="1">
      <alignment wrapText="1"/>
    </xf>
    <xf numFmtId="0" fontId="11" fillId="25" borderId="14" xfId="0" applyFont="1" applyFill="1" applyBorder="1"/>
    <xf numFmtId="0" fontId="11" fillId="26" borderId="14" xfId="0" applyFont="1" applyFill="1" applyBorder="1" applyAlignment="1">
      <alignment horizontal="left" vertical="top"/>
    </xf>
    <xf numFmtId="0" fontId="11" fillId="26" borderId="14" xfId="0" applyFont="1" applyFill="1" applyBorder="1" applyAlignment="1">
      <alignment vertical="top" wrapText="1"/>
    </xf>
    <xf numFmtId="0" fontId="11" fillId="26" borderId="14" xfId="0" applyFont="1" applyFill="1" applyBorder="1" applyAlignment="1">
      <alignment vertical="top"/>
    </xf>
    <xf numFmtId="0" fontId="11" fillId="7" borderId="14" xfId="0" applyFont="1" applyFill="1" applyBorder="1" applyAlignment="1">
      <alignment horizontal="left" vertical="top"/>
    </xf>
    <xf numFmtId="0" fontId="11" fillId="7" borderId="14" xfId="0" applyFont="1" applyFill="1" applyBorder="1" applyAlignment="1">
      <alignment horizontal="left" vertical="top" wrapText="1"/>
    </xf>
    <xf numFmtId="0" fontId="11" fillId="16" borderId="88" xfId="0" applyFont="1" applyFill="1" applyBorder="1"/>
    <xf numFmtId="0" fontId="11" fillId="24" borderId="14" xfId="0" applyFont="1" applyFill="1" applyBorder="1" applyAlignment="1">
      <alignment horizontal="left" vertical="top"/>
    </xf>
    <xf numFmtId="0" fontId="11" fillId="24" borderId="14" xfId="0" applyFont="1" applyFill="1" applyBorder="1" applyAlignment="1">
      <alignment vertical="top" wrapText="1"/>
    </xf>
    <xf numFmtId="14" fontId="11" fillId="25" borderId="14" xfId="0" applyNumberFormat="1" applyFont="1" applyFill="1" applyBorder="1" applyAlignment="1">
      <alignment horizontal="center" vertical="top"/>
    </xf>
    <xf numFmtId="14" fontId="11" fillId="26" borderId="14" xfId="0" applyNumberFormat="1" applyFont="1" applyFill="1" applyBorder="1" applyAlignment="1">
      <alignment horizontal="center" vertical="top"/>
    </xf>
    <xf numFmtId="0" fontId="33" fillId="16" borderId="86" xfId="0" applyFont="1" applyFill="1" applyBorder="1" applyAlignment="1">
      <alignment vertical="top" wrapText="1"/>
    </xf>
    <xf numFmtId="0" fontId="33" fillId="16" borderId="88" xfId="0" applyFont="1" applyFill="1" applyBorder="1" applyAlignment="1">
      <alignment vertical="top" wrapText="1"/>
    </xf>
    <xf numFmtId="0" fontId="81" fillId="16" borderId="88" xfId="0" applyFont="1" applyFill="1" applyBorder="1" applyAlignment="1">
      <alignment horizontal="left" vertical="top" wrapText="1"/>
    </xf>
    <xf numFmtId="0" fontId="32" fillId="16" borderId="88" xfId="0" applyFont="1" applyFill="1" applyBorder="1" applyAlignment="1">
      <alignment vertical="top" wrapText="1"/>
    </xf>
    <xf numFmtId="0" fontId="11" fillId="16" borderId="88" xfId="0" applyFont="1" applyFill="1" applyBorder="1" applyAlignment="1">
      <alignment horizontal="left" wrapText="1"/>
    </xf>
    <xf numFmtId="0" fontId="11" fillId="16" borderId="87" xfId="0" applyFont="1" applyFill="1" applyBorder="1" applyAlignment="1">
      <alignment horizontal="left" wrapText="1"/>
    </xf>
    <xf numFmtId="0" fontId="11" fillId="16" borderId="87" xfId="0" applyFont="1" applyFill="1" applyBorder="1"/>
    <xf numFmtId="0" fontId="11" fillId="16" borderId="19" xfId="0" applyFont="1" applyFill="1" applyBorder="1"/>
    <xf numFmtId="0" fontId="11" fillId="16" borderId="21" xfId="0" applyFont="1" applyFill="1" applyBorder="1"/>
    <xf numFmtId="0" fontId="11" fillId="7" borderId="86" xfId="0" applyFont="1" applyFill="1" applyBorder="1" applyAlignment="1">
      <alignment horizontal="left" vertical="top" wrapText="1"/>
    </xf>
    <xf numFmtId="0" fontId="11" fillId="7" borderId="87" xfId="0" applyFont="1" applyFill="1" applyBorder="1" applyAlignment="1">
      <alignment horizontal="left" vertical="top"/>
    </xf>
    <xf numFmtId="0" fontId="11" fillId="7" borderId="87" xfId="0" applyFont="1" applyFill="1" applyBorder="1" applyAlignment="1">
      <alignment horizontal="left" vertical="top" wrapText="1"/>
    </xf>
    <xf numFmtId="0" fontId="80" fillId="23" borderId="0" xfId="0" applyFont="1" applyFill="1" applyProtection="1">
      <protection hidden="1"/>
    </xf>
    <xf numFmtId="14" fontId="21" fillId="6" borderId="0" xfId="0" applyNumberFormat="1" applyFont="1" applyFill="1" applyAlignment="1">
      <alignment horizontal="center"/>
    </xf>
    <xf numFmtId="14" fontId="21" fillId="6" borderId="0" xfId="0" applyNumberFormat="1" applyFont="1" applyFill="1" applyAlignment="1" applyProtection="1">
      <alignment horizontal="center"/>
      <protection hidden="1"/>
    </xf>
    <xf numFmtId="173" fontId="82" fillId="6" borderId="0" xfId="0" applyNumberFormat="1" applyFont="1" applyFill="1" applyAlignment="1">
      <alignment horizontal="center"/>
    </xf>
    <xf numFmtId="44" fontId="0" fillId="6" borderId="21" xfId="2" applyFont="1" applyFill="1" applyBorder="1" applyProtection="1"/>
    <xf numFmtId="10" fontId="43" fillId="16" borderId="21" xfId="0" applyNumberFormat="1" applyFont="1" applyFill="1" applyBorder="1" applyAlignment="1" applyProtection="1">
      <alignment horizontal="center"/>
      <protection locked="0"/>
    </xf>
    <xf numFmtId="10" fontId="43" fillId="16" borderId="14" xfId="0" applyNumberFormat="1" applyFont="1" applyFill="1" applyBorder="1" applyAlignment="1" applyProtection="1">
      <alignment horizontal="center"/>
      <protection locked="0"/>
    </xf>
    <xf numFmtId="10" fontId="23" fillId="23" borderId="0" xfId="0" applyNumberFormat="1" applyFont="1" applyFill="1" applyAlignment="1">
      <alignment horizontal="left"/>
    </xf>
    <xf numFmtId="178" fontId="0" fillId="0" borderId="6" xfId="0" applyNumberFormat="1" applyBorder="1" applyAlignment="1">
      <alignment horizontal="right"/>
    </xf>
    <xf numFmtId="182" fontId="0" fillId="6" borderId="14" xfId="0" applyNumberFormat="1" applyFill="1" applyBorder="1" applyAlignment="1">
      <alignment vertical="top" wrapText="1"/>
    </xf>
    <xf numFmtId="182" fontId="0" fillId="17" borderId="14" xfId="0" applyNumberFormat="1" applyFill="1" applyBorder="1" applyAlignment="1">
      <alignment vertical="top" wrapText="1"/>
    </xf>
    <xf numFmtId="0" fontId="10" fillId="0" borderId="0" xfId="0" applyFont="1"/>
    <xf numFmtId="0" fontId="10" fillId="0" borderId="14" xfId="0" applyFont="1" applyBorder="1"/>
    <xf numFmtId="0" fontId="10" fillId="6" borderId="0" xfId="0" applyFont="1" applyFill="1"/>
    <xf numFmtId="0" fontId="10" fillId="0" borderId="13" xfId="0" applyFont="1" applyBorder="1"/>
    <xf numFmtId="0" fontId="44" fillId="0" borderId="0" xfId="0" applyFont="1"/>
    <xf numFmtId="0" fontId="0" fillId="6" borderId="3" xfId="0" applyFill="1" applyBorder="1"/>
    <xf numFmtId="0" fontId="0" fillId="2" borderId="4" xfId="0" applyFill="1" applyBorder="1"/>
    <xf numFmtId="0" fontId="10" fillId="6" borderId="4" xfId="0" applyFont="1" applyFill="1" applyBorder="1"/>
    <xf numFmtId="0" fontId="10" fillId="6" borderId="5" xfId="0" applyFont="1" applyFill="1" applyBorder="1"/>
    <xf numFmtId="0" fontId="10" fillId="15" borderId="0" xfId="0" applyFont="1" applyFill="1" applyAlignment="1">
      <alignment horizontal="left"/>
    </xf>
    <xf numFmtId="0" fontId="10" fillId="15" borderId="0" xfId="0" applyFont="1" applyFill="1"/>
    <xf numFmtId="0" fontId="10" fillId="2" borderId="18" xfId="0" applyFont="1" applyFill="1" applyBorder="1"/>
    <xf numFmtId="0" fontId="10" fillId="0" borderId="18" xfId="0" applyFont="1" applyBorder="1" applyAlignment="1">
      <alignment horizontal="center"/>
    </xf>
    <xf numFmtId="14" fontId="27" fillId="15" borderId="18" xfId="0" applyNumberFormat="1" applyFont="1" applyFill="1" applyBorder="1" applyAlignment="1">
      <alignment horizontal="center"/>
    </xf>
    <xf numFmtId="0" fontId="27" fillId="18" borderId="12" xfId="0" applyFont="1" applyFill="1" applyBorder="1" applyAlignment="1">
      <alignment horizontal="center"/>
    </xf>
    <xf numFmtId="0" fontId="10" fillId="18" borderId="18" xfId="0" applyFont="1" applyFill="1" applyBorder="1" applyAlignment="1">
      <alignment horizontal="center"/>
    </xf>
    <xf numFmtId="0" fontId="10" fillId="18" borderId="13" xfId="0" applyFont="1" applyFill="1" applyBorder="1" applyAlignment="1">
      <alignment horizontal="center"/>
    </xf>
    <xf numFmtId="0" fontId="10" fillId="6" borderId="0" xfId="0" applyFont="1" applyFill="1" applyAlignment="1">
      <alignment horizontal="center"/>
    </xf>
    <xf numFmtId="0" fontId="10" fillId="6" borderId="14" xfId="0" applyFont="1" applyFill="1" applyBorder="1" applyAlignment="1">
      <alignment horizontal="center"/>
    </xf>
    <xf numFmtId="0" fontId="27" fillId="15" borderId="12" xfId="0" applyFont="1" applyFill="1" applyBorder="1"/>
    <xf numFmtId="0" fontId="10" fillId="15" borderId="18" xfId="0" applyFont="1" applyFill="1" applyBorder="1"/>
    <xf numFmtId="0" fontId="10" fillId="15" borderId="13" xfId="0" applyFont="1" applyFill="1" applyBorder="1"/>
    <xf numFmtId="0" fontId="27" fillId="18" borderId="14" xfId="0" applyFont="1" applyFill="1" applyBorder="1" applyAlignment="1">
      <alignment horizontal="center"/>
    </xf>
    <xf numFmtId="173" fontId="10" fillId="6" borderId="14" xfId="0" applyNumberFormat="1" applyFont="1" applyFill="1" applyBorder="1" applyAlignment="1">
      <alignment horizontal="center"/>
    </xf>
    <xf numFmtId="10" fontId="10" fillId="6" borderId="14" xfId="0" applyNumberFormat="1" applyFont="1" applyFill="1" applyBorder="1" applyAlignment="1">
      <alignment horizontal="center"/>
    </xf>
    <xf numFmtId="0" fontId="27" fillId="15" borderId="14" xfId="0" applyFont="1" applyFill="1" applyBorder="1" applyAlignment="1">
      <alignment wrapText="1"/>
    </xf>
    <xf numFmtId="0" fontId="27" fillId="18" borderId="14" xfId="0" applyFont="1" applyFill="1" applyBorder="1"/>
    <xf numFmtId="0" fontId="27" fillId="18" borderId="14" xfId="0" applyFont="1" applyFill="1" applyBorder="1" applyAlignment="1">
      <alignment wrapText="1"/>
    </xf>
    <xf numFmtId="183" fontId="10" fillId="6" borderId="14" xfId="0" applyNumberFormat="1" applyFont="1" applyFill="1" applyBorder="1"/>
    <xf numFmtId="10" fontId="0" fillId="6" borderId="0" xfId="0" applyNumberFormat="1" applyFill="1"/>
    <xf numFmtId="175" fontId="10" fillId="0" borderId="14" xfId="0" applyNumberFormat="1" applyFont="1" applyBorder="1"/>
    <xf numFmtId="0" fontId="27" fillId="15" borderId="18" xfId="0" applyFont="1" applyFill="1" applyBorder="1"/>
    <xf numFmtId="0" fontId="27" fillId="15" borderId="13" xfId="0" applyFont="1" applyFill="1" applyBorder="1"/>
    <xf numFmtId="0" fontId="27" fillId="6" borderId="5" xfId="0" applyFont="1" applyFill="1" applyBorder="1"/>
    <xf numFmtId="0" fontId="50" fillId="6" borderId="4" xfId="0" applyFont="1" applyFill="1" applyBorder="1"/>
    <xf numFmtId="44" fontId="50" fillId="0" borderId="14" xfId="0" applyNumberFormat="1" applyFont="1" applyBorder="1"/>
    <xf numFmtId="0" fontId="50" fillId="6" borderId="5" xfId="0" applyFont="1" applyFill="1" applyBorder="1"/>
    <xf numFmtId="0" fontId="27" fillId="17" borderId="6" xfId="0" applyFont="1" applyFill="1" applyBorder="1"/>
    <xf numFmtId="0" fontId="10" fillId="17" borderId="7" xfId="0" applyFont="1" applyFill="1" applyBorder="1"/>
    <xf numFmtId="0" fontId="10" fillId="17" borderId="8" xfId="0" applyFont="1" applyFill="1" applyBorder="1"/>
    <xf numFmtId="0" fontId="84" fillId="15" borderId="14" xfId="0" applyFont="1" applyFill="1" applyBorder="1" applyAlignment="1">
      <alignment wrapText="1"/>
    </xf>
    <xf numFmtId="44" fontId="85" fillId="15" borderId="14" xfId="0" applyNumberFormat="1" applyFont="1" applyFill="1" applyBorder="1"/>
    <xf numFmtId="0" fontId="50" fillId="6" borderId="0" xfId="0" applyFont="1" applyFill="1"/>
    <xf numFmtId="44" fontId="27" fillId="0" borderId="14" xfId="2" applyFont="1" applyBorder="1" applyProtection="1"/>
    <xf numFmtId="44" fontId="10" fillId="6" borderId="0" xfId="2" applyFont="1" applyFill="1" applyBorder="1" applyProtection="1"/>
    <xf numFmtId="44" fontId="27" fillId="0" borderId="14" xfId="0" applyNumberFormat="1" applyFont="1" applyBorder="1"/>
    <xf numFmtId="0" fontId="44" fillId="6" borderId="4" xfId="0" applyFont="1" applyFill="1" applyBorder="1"/>
    <xf numFmtId="0" fontId="44" fillId="6" borderId="0" xfId="0" applyFont="1" applyFill="1"/>
    <xf numFmtId="0" fontId="44" fillId="6" borderId="5" xfId="0" applyFont="1" applyFill="1" applyBorder="1"/>
    <xf numFmtId="0" fontId="27" fillId="2" borderId="12" xfId="0" applyFont="1" applyFill="1" applyBorder="1"/>
    <xf numFmtId="0" fontId="10" fillId="16" borderId="2" xfId="0" applyFont="1" applyFill="1" applyBorder="1"/>
    <xf numFmtId="0" fontId="10" fillId="16" borderId="3" xfId="0" applyFont="1" applyFill="1" applyBorder="1"/>
    <xf numFmtId="10" fontId="0" fillId="6" borderId="0" xfId="0" applyNumberFormat="1" applyFill="1" applyAlignment="1">
      <alignment horizontal="center"/>
    </xf>
    <xf numFmtId="0" fontId="0" fillId="6" borderId="0" xfId="0" applyFill="1" applyAlignment="1">
      <alignment vertical="top" wrapText="1"/>
    </xf>
    <xf numFmtId="168" fontId="0" fillId="6" borderId="0" xfId="0" applyNumberFormat="1" applyFill="1"/>
    <xf numFmtId="0" fontId="35" fillId="6" borderId="0" xfId="1" applyFill="1" applyBorder="1" applyAlignment="1" applyProtection="1"/>
    <xf numFmtId="44" fontId="0" fillId="16" borderId="23" xfId="2" applyFont="1" applyFill="1" applyBorder="1" applyProtection="1">
      <protection locked="0" hidden="1"/>
    </xf>
    <xf numFmtId="0" fontId="10" fillId="16" borderId="2" xfId="0" applyFont="1" applyFill="1" applyBorder="1" applyAlignment="1">
      <alignment vertical="top"/>
    </xf>
    <xf numFmtId="0" fontId="10" fillId="0" borderId="21" xfId="0" applyFont="1" applyBorder="1" applyAlignment="1">
      <alignment vertical="top" wrapText="1"/>
    </xf>
    <xf numFmtId="0" fontId="11" fillId="16" borderId="90" xfId="0" applyFont="1" applyFill="1" applyBorder="1" applyAlignment="1">
      <alignment horizontal="left"/>
    </xf>
    <xf numFmtId="0" fontId="11" fillId="16" borderId="90" xfId="0" applyFont="1" applyFill="1" applyBorder="1"/>
    <xf numFmtId="0" fontId="11" fillId="16" borderId="91" xfId="0" applyFont="1" applyFill="1" applyBorder="1" applyAlignment="1">
      <alignment horizontal="left"/>
    </xf>
    <xf numFmtId="0" fontId="11" fillId="16" borderId="91" xfId="0" applyFont="1" applyFill="1" applyBorder="1"/>
    <xf numFmtId="0" fontId="11" fillId="16" borderId="91" xfId="0" applyFont="1" applyFill="1" applyBorder="1" applyAlignment="1">
      <alignment wrapText="1"/>
    </xf>
    <xf numFmtId="0" fontId="11" fillId="16" borderId="92" xfId="0" applyFont="1" applyFill="1" applyBorder="1" applyAlignment="1">
      <alignment horizontal="left"/>
    </xf>
    <xf numFmtId="0" fontId="11" fillId="16" borderId="92" xfId="0" applyFont="1" applyFill="1" applyBorder="1" applyAlignment="1">
      <alignment wrapText="1"/>
    </xf>
    <xf numFmtId="0" fontId="10" fillId="0" borderId="86" xfId="0" applyFont="1" applyBorder="1" applyAlignment="1">
      <alignment horizontal="left" vertical="top" wrapText="1"/>
    </xf>
    <xf numFmtId="0" fontId="10" fillId="0" borderId="88" xfId="0" applyFont="1" applyBorder="1" applyAlignment="1">
      <alignment horizontal="left" vertical="top" wrapText="1"/>
    </xf>
    <xf numFmtId="0" fontId="10" fillId="0" borderId="87" xfId="0" applyFont="1" applyBorder="1" applyAlignment="1">
      <alignment horizontal="left" vertical="top" wrapText="1"/>
    </xf>
    <xf numFmtId="0" fontId="10" fillId="0" borderId="86" xfId="0" applyFont="1" applyBorder="1"/>
    <xf numFmtId="0" fontId="9" fillId="0" borderId="87" xfId="0" applyFont="1" applyBorder="1"/>
    <xf numFmtId="0" fontId="9" fillId="0" borderId="87" xfId="0" applyFont="1" applyBorder="1" applyAlignment="1">
      <alignment wrapText="1"/>
    </xf>
    <xf numFmtId="0" fontId="0" fillId="0" borderId="87" xfId="0" applyBorder="1"/>
    <xf numFmtId="0" fontId="10" fillId="0" borderId="20" xfId="0" applyFont="1" applyBorder="1"/>
    <xf numFmtId="0" fontId="9" fillId="0" borderId="86" xfId="0" applyFont="1" applyBorder="1"/>
    <xf numFmtId="0" fontId="0" fillId="0" borderId="86" xfId="0" applyBorder="1"/>
    <xf numFmtId="0" fontId="9" fillId="0" borderId="88" xfId="0" applyFont="1" applyBorder="1"/>
    <xf numFmtId="0" fontId="9" fillId="0" borderId="88" xfId="0" applyFont="1" applyBorder="1" applyAlignment="1">
      <alignment wrapText="1"/>
    </xf>
    <xf numFmtId="0" fontId="0" fillId="0" borderId="88" xfId="0" applyBorder="1"/>
    <xf numFmtId="0" fontId="33" fillId="0" borderId="86" xfId="0" applyFont="1" applyBorder="1"/>
    <xf numFmtId="14" fontId="10" fillId="16" borderId="14" xfId="0" applyNumberFormat="1" applyFont="1" applyFill="1" applyBorder="1" applyAlignment="1">
      <alignment horizontal="center" vertical="top"/>
    </xf>
    <xf numFmtId="0" fontId="8" fillId="2" borderId="13" xfId="0" applyFont="1" applyFill="1" applyBorder="1" applyAlignment="1">
      <alignment horizontal="center"/>
    </xf>
    <xf numFmtId="0" fontId="0" fillId="8" borderId="19" xfId="0" applyFill="1" applyBorder="1"/>
    <xf numFmtId="0" fontId="24" fillId="8" borderId="0" xfId="0" applyFont="1" applyFill="1"/>
    <xf numFmtId="0" fontId="86" fillId="0" borderId="0" xfId="0" applyFont="1"/>
    <xf numFmtId="14" fontId="86" fillId="0" borderId="0" xfId="0" applyNumberFormat="1" applyFont="1"/>
    <xf numFmtId="0" fontId="0" fillId="0" borderId="25" xfId="0" applyBorder="1"/>
    <xf numFmtId="0" fontId="0" fillId="15" borderId="0" xfId="0" applyFill="1"/>
    <xf numFmtId="0" fontId="23" fillId="15" borderId="71" xfId="0" applyFont="1" applyFill="1" applyBorder="1"/>
    <xf numFmtId="0" fontId="0" fillId="0" borderId="14" xfId="0" applyBorder="1" applyAlignment="1">
      <alignment wrapText="1"/>
    </xf>
    <xf numFmtId="0" fontId="0" fillId="0" borderId="12" xfId="0" applyBorder="1" applyAlignment="1">
      <alignment wrapText="1"/>
    </xf>
    <xf numFmtId="0" fontId="0" fillId="0" borderId="18" xfId="0" applyBorder="1" applyAlignment="1">
      <alignment wrapText="1"/>
    </xf>
    <xf numFmtId="0" fontId="0" fillId="0" borderId="13" xfId="0" applyBorder="1" applyAlignment="1">
      <alignment wrapText="1"/>
    </xf>
    <xf numFmtId="44" fontId="0" fillId="15" borderId="19" xfId="0" applyNumberFormat="1" applyFill="1" applyBorder="1"/>
    <xf numFmtId="0" fontId="0" fillId="6" borderId="69" xfId="0" applyFill="1" applyBorder="1"/>
    <xf numFmtId="0" fontId="0" fillId="15" borderId="19" xfId="0" applyFill="1" applyBorder="1"/>
    <xf numFmtId="0" fontId="0" fillId="0" borderId="93" xfId="0" applyBorder="1"/>
    <xf numFmtId="0" fontId="0" fillId="0" borderId="94" xfId="0" applyBorder="1"/>
    <xf numFmtId="0" fontId="0" fillId="15" borderId="18" xfId="0" applyFill="1" applyBorder="1"/>
    <xf numFmtId="0" fontId="82" fillId="15" borderId="69" xfId="0" applyFont="1" applyFill="1" applyBorder="1"/>
    <xf numFmtId="0" fontId="82" fillId="15" borderId="71" xfId="0" applyFont="1" applyFill="1" applyBorder="1"/>
    <xf numFmtId="0" fontId="24" fillId="18" borderId="22" xfId="0" applyFont="1" applyFill="1" applyBorder="1" applyAlignment="1" applyProtection="1">
      <alignment wrapText="1"/>
      <protection locked="0"/>
    </xf>
    <xf numFmtId="0" fontId="26" fillId="6" borderId="27" xfId="0" applyFont="1" applyFill="1" applyBorder="1" applyAlignment="1">
      <alignment horizontal="center" vertical="center" wrapText="1"/>
    </xf>
    <xf numFmtId="175" fontId="33" fillId="6" borderId="0" xfId="0" applyNumberFormat="1" applyFont="1" applyFill="1" applyAlignment="1">
      <alignment horizontal="center" vertical="center"/>
    </xf>
    <xf numFmtId="0" fontId="27" fillId="18" borderId="28" xfId="0" applyFont="1" applyFill="1" applyBorder="1" applyAlignment="1">
      <alignment horizontal="center" wrapText="1"/>
    </xf>
    <xf numFmtId="0" fontId="22" fillId="6" borderId="4" xfId="0" applyFont="1" applyFill="1" applyBorder="1"/>
    <xf numFmtId="0" fontId="10" fillId="0" borderId="86" xfId="0" applyFont="1" applyBorder="1" applyAlignment="1">
      <alignment vertical="top" wrapText="1"/>
    </xf>
    <xf numFmtId="0" fontId="10" fillId="0" borderId="88" xfId="0" applyFont="1" applyBorder="1" applyAlignment="1">
      <alignment vertical="top" wrapText="1"/>
    </xf>
    <xf numFmtId="0" fontId="10" fillId="0" borderId="87" xfId="0" applyFont="1" applyBorder="1" applyAlignment="1">
      <alignment vertical="top" wrapText="1"/>
    </xf>
    <xf numFmtId="0" fontId="10" fillId="0" borderId="86" xfId="0" applyFont="1" applyBorder="1" applyAlignment="1">
      <alignment wrapText="1"/>
    </xf>
    <xf numFmtId="0" fontId="10" fillId="0" borderId="20" xfId="0" applyFont="1" applyBorder="1" applyAlignment="1">
      <alignment wrapText="1"/>
    </xf>
    <xf numFmtId="0" fontId="10" fillId="0" borderId="88" xfId="0" applyFont="1" applyBorder="1" applyAlignment="1">
      <alignment wrapText="1"/>
    </xf>
    <xf numFmtId="0" fontId="10" fillId="0" borderId="19" xfId="0" applyFont="1" applyBorder="1" applyAlignment="1">
      <alignment wrapText="1"/>
    </xf>
    <xf numFmtId="0" fontId="10" fillId="0" borderId="87" xfId="0" applyFont="1" applyBorder="1" applyAlignment="1">
      <alignment wrapText="1"/>
    </xf>
    <xf numFmtId="0" fontId="10" fillId="0" borderId="21" xfId="0" applyFont="1" applyBorder="1" applyAlignment="1">
      <alignment wrapText="1"/>
    </xf>
    <xf numFmtId="0" fontId="0" fillId="0" borderId="19" xfId="0" applyBorder="1"/>
    <xf numFmtId="14" fontId="7" fillId="0" borderId="19" xfId="0" applyNumberFormat="1" applyFont="1" applyBorder="1"/>
    <xf numFmtId="0" fontId="7" fillId="0" borderId="19" xfId="0" applyFont="1" applyBorder="1"/>
    <xf numFmtId="0" fontId="7" fillId="0" borderId="19" xfId="0" applyFont="1" applyBorder="1" applyAlignment="1">
      <alignment wrapText="1"/>
    </xf>
    <xf numFmtId="173" fontId="33" fillId="6" borderId="19" xfId="0" applyNumberFormat="1" applyFont="1" applyFill="1" applyBorder="1" applyAlignment="1">
      <alignment horizontal="left" vertical="center" wrapText="1"/>
    </xf>
    <xf numFmtId="14" fontId="7" fillId="0" borderId="20" xfId="0" applyNumberFormat="1" applyFont="1" applyBorder="1"/>
    <xf numFmtId="0" fontId="7" fillId="0" borderId="20" xfId="0" applyFont="1" applyBorder="1"/>
    <xf numFmtId="0" fontId="7" fillId="0" borderId="20" xfId="0" applyFont="1" applyBorder="1" applyAlignment="1">
      <alignment wrapText="1"/>
    </xf>
    <xf numFmtId="0" fontId="7" fillId="0" borderId="21" xfId="0" applyFont="1" applyBorder="1"/>
    <xf numFmtId="0" fontId="7" fillId="0" borderId="21" xfId="0" applyFont="1" applyBorder="1" applyAlignment="1">
      <alignment wrapText="1"/>
    </xf>
    <xf numFmtId="0" fontId="22" fillId="6" borderId="1" xfId="0" applyFont="1" applyFill="1" applyBorder="1"/>
    <xf numFmtId="0" fontId="35" fillId="0" borderId="0" xfId="1" applyBorder="1" applyAlignment="1" applyProtection="1">
      <alignment horizontal="left"/>
    </xf>
    <xf numFmtId="0" fontId="53" fillId="6" borderId="0" xfId="0" applyFont="1" applyFill="1"/>
    <xf numFmtId="0" fontId="28" fillId="6" borderId="0" xfId="0" applyFont="1" applyFill="1"/>
    <xf numFmtId="0" fontId="88" fillId="6" borderId="0" xfId="0" applyFont="1" applyFill="1"/>
    <xf numFmtId="0" fontId="71" fillId="6" borderId="0" xfId="1" applyFont="1" applyFill="1" applyBorder="1" applyAlignment="1" applyProtection="1"/>
    <xf numFmtId="0" fontId="89" fillId="6" borderId="1" xfId="0" applyFont="1" applyFill="1" applyBorder="1"/>
    <xf numFmtId="0" fontId="50" fillId="6" borderId="2" xfId="0" applyFont="1" applyFill="1" applyBorder="1"/>
    <xf numFmtId="0" fontId="50" fillId="6" borderId="3" xfId="0" applyFont="1" applyFill="1" applyBorder="1"/>
    <xf numFmtId="0" fontId="50" fillId="6" borderId="6" xfId="0" applyFont="1" applyFill="1" applyBorder="1"/>
    <xf numFmtId="0" fontId="50" fillId="6" borderId="7" xfId="0" applyFont="1" applyFill="1" applyBorder="1"/>
    <xf numFmtId="0" fontId="50" fillId="6" borderId="8" xfId="0" applyFont="1" applyFill="1" applyBorder="1"/>
    <xf numFmtId="0" fontId="22" fillId="6" borderId="7" xfId="0" applyFont="1" applyFill="1" applyBorder="1" applyProtection="1">
      <protection hidden="1"/>
    </xf>
    <xf numFmtId="0" fontId="25" fillId="6" borderId="0" xfId="0" applyFont="1" applyFill="1"/>
    <xf numFmtId="0" fontId="22" fillId="6" borderId="0" xfId="0" applyFont="1" applyFill="1" applyProtection="1">
      <protection hidden="1"/>
    </xf>
    <xf numFmtId="0" fontId="54" fillId="6" borderId="0" xfId="0" applyFont="1" applyFill="1"/>
    <xf numFmtId="0" fontId="33" fillId="6" borderId="0" xfId="0" applyFont="1" applyFill="1" applyProtection="1">
      <protection hidden="1"/>
    </xf>
    <xf numFmtId="0" fontId="28" fillId="6" borderId="0" xfId="0" applyFont="1" applyFill="1" applyAlignment="1" applyProtection="1">
      <alignment horizontal="center"/>
      <protection hidden="1"/>
    </xf>
    <xf numFmtId="0" fontId="22" fillId="0" borderId="0" xfId="0" applyFont="1" applyProtection="1">
      <protection hidden="1"/>
    </xf>
    <xf numFmtId="0" fontId="7" fillId="0" borderId="5" xfId="0" applyFont="1" applyBorder="1"/>
    <xf numFmtId="0" fontId="28" fillId="7" borderId="14" xfId="0" applyFont="1" applyFill="1" applyBorder="1" applyAlignment="1">
      <alignment horizontal="center" vertical="center"/>
    </xf>
    <xf numFmtId="0" fontId="22" fillId="7" borderId="14" xfId="0" applyFont="1" applyFill="1" applyBorder="1" applyAlignment="1">
      <alignment horizontal="center" vertical="center"/>
    </xf>
    <xf numFmtId="0" fontId="6" fillId="0" borderId="2" xfId="0" applyFont="1" applyBorder="1"/>
    <xf numFmtId="0" fontId="6" fillId="0" borderId="3" xfId="0" applyFont="1" applyBorder="1"/>
    <xf numFmtId="0" fontId="6" fillId="16" borderId="4" xfId="0" applyFont="1" applyFill="1" applyBorder="1" applyAlignment="1">
      <alignment horizontal="center"/>
    </xf>
    <xf numFmtId="0" fontId="6" fillId="0" borderId="0" xfId="0" applyFont="1"/>
    <xf numFmtId="0" fontId="6" fillId="0" borderId="5" xfId="0" applyFont="1" applyBorder="1"/>
    <xf numFmtId="0" fontId="6" fillId="0" borderId="6" xfId="0" applyFont="1" applyBorder="1"/>
    <xf numFmtId="0" fontId="6" fillId="0" borderId="7" xfId="0" applyFont="1" applyBorder="1"/>
    <xf numFmtId="0" fontId="6" fillId="0" borderId="8" xfId="0" applyFont="1" applyBorder="1"/>
    <xf numFmtId="164" fontId="6" fillId="3" borderId="14" xfId="0" applyNumberFormat="1" applyFont="1" applyFill="1" applyBorder="1" applyAlignment="1" applyProtection="1">
      <alignment horizontal="center"/>
      <protection locked="0"/>
    </xf>
    <xf numFmtId="2" fontId="32" fillId="22" borderId="0" xfId="0" applyNumberFormat="1" applyFont="1" applyFill="1" applyAlignment="1" applyProtection="1">
      <alignment horizontal="right"/>
      <protection hidden="1"/>
    </xf>
    <xf numFmtId="0" fontId="77" fillId="0" borderId="0" xfId="0" applyFont="1" applyProtection="1">
      <protection hidden="1"/>
    </xf>
    <xf numFmtId="0" fontId="90" fillId="0" borderId="2" xfId="0" applyFont="1" applyBorder="1"/>
    <xf numFmtId="0" fontId="6" fillId="6" borderId="14" xfId="0" applyFont="1" applyFill="1" applyBorder="1" applyAlignment="1">
      <alignment vertical="top"/>
    </xf>
    <xf numFmtId="0" fontId="6" fillId="0" borderId="14" xfId="0" applyFont="1" applyBorder="1" applyAlignment="1">
      <alignment horizontal="center" vertical="center"/>
    </xf>
    <xf numFmtId="0" fontId="6" fillId="0" borderId="14" xfId="0" applyFont="1" applyBorder="1" applyAlignment="1">
      <alignment horizontal="center" vertical="center" wrapText="1"/>
    </xf>
    <xf numFmtId="10" fontId="6" fillId="16" borderId="14" xfId="3" applyNumberFormat="1" applyFont="1" applyFill="1" applyBorder="1"/>
    <xf numFmtId="10" fontId="6" fillId="16" borderId="14" xfId="3" applyNumberFormat="1" applyFont="1" applyFill="1" applyBorder="1" applyAlignment="1" applyProtection="1"/>
    <xf numFmtId="10" fontId="6" fillId="16" borderId="14" xfId="3" applyNumberFormat="1" applyFont="1" applyFill="1" applyBorder="1" applyAlignment="1" applyProtection="1">
      <alignment wrapText="1"/>
    </xf>
    <xf numFmtId="10" fontId="6" fillId="6" borderId="14" xfId="3" applyNumberFormat="1" applyFont="1" applyFill="1" applyBorder="1" applyAlignment="1">
      <alignment horizontal="center" vertical="center" wrapText="1"/>
    </xf>
    <xf numFmtId="10" fontId="6" fillId="0" borderId="14" xfId="3" applyNumberFormat="1" applyFont="1" applyFill="1" applyBorder="1"/>
    <xf numFmtId="44" fontId="27" fillId="0" borderId="0" xfId="2" applyFont="1" applyFill="1" applyBorder="1" applyAlignment="1" applyProtection="1">
      <alignment horizontal="center"/>
    </xf>
    <xf numFmtId="0" fontId="24" fillId="2" borderId="3" xfId="0" applyFont="1" applyFill="1" applyBorder="1"/>
    <xf numFmtId="10" fontId="23" fillId="6" borderId="95" xfId="0" applyNumberFormat="1" applyFont="1" applyFill="1" applyBorder="1" applyAlignment="1">
      <alignment horizontal="center"/>
    </xf>
    <xf numFmtId="181" fontId="24" fillId="0" borderId="0" xfId="0" applyNumberFormat="1" applyFont="1"/>
    <xf numFmtId="9" fontId="0" fillId="0" borderId="0" xfId="3" applyFont="1" applyFill="1" applyBorder="1" applyProtection="1">
      <protection hidden="1"/>
    </xf>
    <xf numFmtId="0" fontId="0" fillId="2" borderId="73" xfId="0" applyFill="1" applyBorder="1"/>
    <xf numFmtId="0" fontId="12" fillId="0" borderId="0" xfId="0" applyFont="1" applyAlignment="1">
      <alignment horizontal="center" vertical="center" wrapText="1"/>
    </xf>
    <xf numFmtId="173" fontId="0" fillId="0" borderId="0" xfId="0" applyNumberFormat="1" applyAlignment="1">
      <alignment horizontal="center"/>
    </xf>
    <xf numFmtId="0" fontId="24" fillId="2" borderId="54" xfId="0" applyFont="1" applyFill="1" applyBorder="1" applyAlignment="1">
      <alignment horizontal="center"/>
    </xf>
    <xf numFmtId="0" fontId="6" fillId="2" borderId="53" xfId="0" applyFont="1" applyFill="1" applyBorder="1"/>
    <xf numFmtId="0" fontId="6" fillId="2" borderId="55" xfId="0" applyFont="1" applyFill="1" applyBorder="1"/>
    <xf numFmtId="44" fontId="27" fillId="16" borderId="29" xfId="2" applyFont="1" applyFill="1" applyBorder="1" applyAlignment="1" applyProtection="1">
      <alignment horizontal="center"/>
      <protection locked="0"/>
    </xf>
    <xf numFmtId="44" fontId="27" fillId="16" borderId="30" xfId="2" applyFont="1" applyFill="1" applyBorder="1" applyAlignment="1" applyProtection="1">
      <alignment horizontal="center"/>
      <protection locked="0"/>
    </xf>
    <xf numFmtId="44" fontId="27" fillId="16" borderId="31" xfId="2" applyFont="1" applyFill="1" applyBorder="1" applyAlignment="1" applyProtection="1">
      <alignment horizontal="center"/>
      <protection locked="0"/>
    </xf>
    <xf numFmtId="44" fontId="27" fillId="16" borderId="96" xfId="2" applyFont="1" applyFill="1" applyBorder="1" applyAlignment="1" applyProtection="1">
      <alignment horizontal="center"/>
      <protection locked="0"/>
    </xf>
    <xf numFmtId="0" fontId="27" fillId="0" borderId="14" xfId="0" applyFont="1" applyBorder="1" applyAlignment="1">
      <alignment horizontal="center" vertical="center"/>
    </xf>
    <xf numFmtId="0" fontId="27" fillId="0" borderId="12" xfId="0" applyFont="1" applyBorder="1" applyAlignment="1">
      <alignment horizontal="center" vertical="center"/>
    </xf>
    <xf numFmtId="0" fontId="27" fillId="0" borderId="27" xfId="0" applyFont="1" applyBorder="1" applyAlignment="1">
      <alignment horizontal="center" vertical="center"/>
    </xf>
    <xf numFmtId="0" fontId="27" fillId="0" borderId="0" xfId="0" applyFont="1" applyAlignment="1">
      <alignment horizontal="center"/>
    </xf>
    <xf numFmtId="0" fontId="24" fillId="0" borderId="97" xfId="0" applyFont="1" applyBorder="1"/>
    <xf numFmtId="0" fontId="0" fillId="0" borderId="89" xfId="0" applyBorder="1"/>
    <xf numFmtId="0" fontId="27" fillId="0" borderId="66" xfId="0" applyFont="1" applyBorder="1" applyAlignment="1">
      <alignment horizontal="center"/>
    </xf>
    <xf numFmtId="0" fontId="25" fillId="0" borderId="4" xfId="0" applyFont="1" applyBorder="1"/>
    <xf numFmtId="0" fontId="26" fillId="2" borderId="1" xfId="0" applyFont="1" applyFill="1" applyBorder="1"/>
    <xf numFmtId="0" fontId="0" fillId="2" borderId="3" xfId="0" applyFill="1" applyBorder="1"/>
    <xf numFmtId="182" fontId="0" fillId="0" borderId="5" xfId="0" applyNumberFormat="1" applyBorder="1" applyAlignment="1">
      <alignment horizontal="right"/>
    </xf>
    <xf numFmtId="166" fontId="6" fillId="7" borderId="13" xfId="0" applyNumberFormat="1" applyFont="1" applyFill="1" applyBorder="1" applyAlignment="1">
      <alignment horizontal="right"/>
    </xf>
    <xf numFmtId="0" fontId="91" fillId="0" borderId="1" xfId="0" applyFont="1" applyBorder="1"/>
    <xf numFmtId="0" fontId="92" fillId="0" borderId="2" xfId="0" applyFont="1" applyBorder="1"/>
    <xf numFmtId="0" fontId="92" fillId="0" borderId="3" xfId="0" applyFont="1" applyBorder="1"/>
    <xf numFmtId="0" fontId="92" fillId="0" borderId="4" xfId="0" applyFont="1" applyBorder="1"/>
    <xf numFmtId="0" fontId="92" fillId="0" borderId="0" xfId="0" applyFont="1"/>
    <xf numFmtId="0" fontId="92" fillId="0" borderId="5" xfId="0" applyFont="1" applyBorder="1"/>
    <xf numFmtId="0" fontId="92" fillId="0" borderId="12" xfId="0" applyFont="1" applyBorder="1"/>
    <xf numFmtId="0" fontId="92" fillId="0" borderId="18" xfId="0" applyFont="1" applyBorder="1"/>
    <xf numFmtId="0" fontId="92" fillId="0" borderId="20" xfId="0" applyFont="1" applyBorder="1"/>
    <xf numFmtId="0" fontId="92" fillId="0" borderId="13" xfId="0" applyFont="1" applyBorder="1"/>
    <xf numFmtId="0" fontId="92" fillId="0" borderId="14" xfId="0" applyFont="1" applyBorder="1"/>
    <xf numFmtId="179" fontId="92" fillId="15" borderId="12" xfId="0" applyNumberFormat="1" applyFont="1" applyFill="1" applyBorder="1"/>
    <xf numFmtId="179" fontId="92" fillId="15" borderId="15" xfId="0" applyNumberFormat="1" applyFont="1" applyFill="1" applyBorder="1"/>
    <xf numFmtId="179" fontId="92" fillId="15" borderId="8" xfId="0" applyNumberFormat="1" applyFont="1" applyFill="1" applyBorder="1"/>
    <xf numFmtId="179" fontId="92" fillId="15" borderId="14" xfId="0" applyNumberFormat="1" applyFont="1" applyFill="1" applyBorder="1"/>
    <xf numFmtId="0" fontId="92" fillId="0" borderId="6" xfId="0" applyFont="1" applyBorder="1"/>
    <xf numFmtId="0" fontId="92" fillId="0" borderId="7" xfId="0" applyFont="1" applyBorder="1"/>
    <xf numFmtId="0" fontId="92" fillId="0" borderId="8" xfId="0" applyFont="1" applyBorder="1"/>
    <xf numFmtId="0" fontId="92" fillId="6" borderId="38" xfId="0" applyFont="1" applyFill="1" applyBorder="1"/>
    <xf numFmtId="0" fontId="92" fillId="6" borderId="74" xfId="0" applyFont="1" applyFill="1" applyBorder="1" applyAlignment="1">
      <alignment horizontal="center"/>
    </xf>
    <xf numFmtId="0" fontId="92" fillId="0" borderId="27" xfId="0" applyFont="1" applyBorder="1" applyAlignment="1">
      <alignment horizontal="center"/>
    </xf>
    <xf numFmtId="0" fontId="92" fillId="0" borderId="14" xfId="0" applyFont="1" applyBorder="1" applyAlignment="1">
      <alignment horizontal="center" wrapText="1"/>
    </xf>
    <xf numFmtId="0" fontId="92" fillId="0" borderId="14" xfId="0" applyFont="1" applyBorder="1" applyAlignment="1">
      <alignment horizontal="center"/>
    </xf>
    <xf numFmtId="0" fontId="92" fillId="0" borderId="28" xfId="0" applyFont="1" applyBorder="1" applyAlignment="1">
      <alignment horizontal="center" wrapText="1"/>
    </xf>
    <xf numFmtId="0" fontId="92" fillId="0" borderId="12" xfId="0" applyFont="1" applyBorder="1" applyAlignment="1">
      <alignment horizontal="center" wrapText="1"/>
    </xf>
    <xf numFmtId="0" fontId="92" fillId="0" borderId="75" xfId="0" applyFont="1" applyBorder="1" applyAlignment="1">
      <alignment horizontal="center" vertical="center"/>
    </xf>
    <xf numFmtId="1" fontId="92" fillId="19" borderId="27" xfId="0" applyNumberFormat="1" applyFont="1" applyFill="1" applyBorder="1" applyAlignment="1">
      <alignment horizontal="center"/>
    </xf>
    <xf numFmtId="173" fontId="92" fillId="19" borderId="14" xfId="0" applyNumberFormat="1" applyFont="1" applyFill="1" applyBorder="1" applyAlignment="1">
      <alignment horizontal="center"/>
    </xf>
    <xf numFmtId="179" fontId="92" fillId="7" borderId="14" xfId="0" applyNumberFormat="1" applyFont="1" applyFill="1" applyBorder="1" applyAlignment="1">
      <alignment horizontal="center"/>
    </xf>
    <xf numFmtId="10" fontId="92" fillId="7" borderId="28" xfId="3" applyNumberFormat="1" applyFont="1" applyFill="1" applyBorder="1" applyAlignment="1">
      <alignment horizontal="center"/>
    </xf>
    <xf numFmtId="179" fontId="92" fillId="7" borderId="27" xfId="0" applyNumberFormat="1" applyFont="1" applyFill="1" applyBorder="1" applyAlignment="1">
      <alignment horizontal="center"/>
    </xf>
    <xf numFmtId="173" fontId="92" fillId="19" borderId="12" xfId="0" applyNumberFormat="1" applyFont="1" applyFill="1" applyBorder="1" applyAlignment="1">
      <alignment horizontal="center"/>
    </xf>
    <xf numFmtId="179" fontId="93" fillId="7" borderId="75" xfId="0" applyNumberFormat="1" applyFont="1" applyFill="1" applyBorder="1" applyAlignment="1">
      <alignment horizontal="center"/>
    </xf>
    <xf numFmtId="1" fontId="92" fillId="19" borderId="76" xfId="0" applyNumberFormat="1" applyFont="1" applyFill="1" applyBorder="1" applyAlignment="1">
      <alignment horizontal="center"/>
    </xf>
    <xf numFmtId="179" fontId="92" fillId="7" borderId="20" xfId="0" applyNumberFormat="1" applyFont="1" applyFill="1" applyBorder="1" applyAlignment="1">
      <alignment horizontal="center"/>
    </xf>
    <xf numFmtId="0" fontId="92" fillId="0" borderId="77" xfId="0" applyFont="1" applyBorder="1" applyAlignment="1">
      <alignment horizontal="center" vertical="center"/>
    </xf>
    <xf numFmtId="1" fontId="92" fillId="6" borderId="78" xfId="0" applyNumberFormat="1" applyFont="1" applyFill="1" applyBorder="1"/>
    <xf numFmtId="173" fontId="92" fillId="6" borderId="71" xfId="0" applyNumberFormat="1" applyFont="1" applyFill="1" applyBorder="1" applyAlignment="1">
      <alignment horizontal="center"/>
    </xf>
    <xf numFmtId="179" fontId="92" fillId="17" borderId="69" xfId="0" applyNumberFormat="1" applyFont="1" applyFill="1" applyBorder="1" applyAlignment="1">
      <alignment horizontal="center"/>
    </xf>
    <xf numFmtId="10" fontId="92" fillId="17" borderId="79" xfId="3" applyNumberFormat="1" applyFont="1" applyFill="1" applyBorder="1" applyAlignment="1">
      <alignment horizontal="center"/>
    </xf>
    <xf numFmtId="179" fontId="92" fillId="6" borderId="26" xfId="0" applyNumberFormat="1" applyFont="1" applyFill="1" applyBorder="1" applyAlignment="1">
      <alignment horizontal="center"/>
    </xf>
    <xf numFmtId="0" fontId="92" fillId="6" borderId="0" xfId="0" applyFont="1" applyFill="1"/>
    <xf numFmtId="0" fontId="93" fillId="6" borderId="80" xfId="0" applyFont="1" applyFill="1" applyBorder="1"/>
    <xf numFmtId="0" fontId="92" fillId="0" borderId="7" xfId="0" applyFont="1" applyBorder="1" applyAlignment="1">
      <alignment vertical="center" wrapText="1"/>
    </xf>
    <xf numFmtId="179" fontId="92" fillId="19" borderId="21" xfId="0" applyNumberFormat="1" applyFont="1" applyFill="1" applyBorder="1" applyAlignment="1">
      <alignment horizontal="center"/>
    </xf>
    <xf numFmtId="0" fontId="92" fillId="6" borderId="26" xfId="0" applyFont="1" applyFill="1" applyBorder="1"/>
    <xf numFmtId="0" fontId="92" fillId="15" borderId="24" xfId="0" applyFont="1" applyFill="1" applyBorder="1" applyAlignment="1">
      <alignment horizontal="center" vertical="center"/>
    </xf>
    <xf numFmtId="1" fontId="92" fillId="15" borderId="83" xfId="0" applyNumberFormat="1" applyFont="1" applyFill="1" applyBorder="1" applyAlignment="1">
      <alignment horizontal="center"/>
    </xf>
    <xf numFmtId="0" fontId="92" fillId="6" borderId="84" xfId="0" applyFont="1" applyFill="1" applyBorder="1"/>
    <xf numFmtId="179" fontId="92" fillId="15" borderId="69" xfId="0" applyNumberFormat="1" applyFont="1" applyFill="1" applyBorder="1" applyAlignment="1">
      <alignment horizontal="center"/>
    </xf>
    <xf numFmtId="10" fontId="92" fillId="6" borderId="24" xfId="3" applyNumberFormat="1" applyFont="1" applyFill="1" applyBorder="1" applyAlignment="1">
      <alignment horizontal="center"/>
    </xf>
    <xf numFmtId="179" fontId="92" fillId="15" borderId="83" xfId="0" applyNumberFormat="1" applyFont="1" applyFill="1" applyBorder="1" applyAlignment="1">
      <alignment horizontal="center"/>
    </xf>
    <xf numFmtId="179" fontId="93" fillId="15" borderId="85" xfId="0" applyNumberFormat="1" applyFont="1" applyFill="1" applyBorder="1" applyAlignment="1">
      <alignment horizontal="center"/>
    </xf>
    <xf numFmtId="0" fontId="6" fillId="7" borderId="0" xfId="0" applyFont="1" applyFill="1"/>
    <xf numFmtId="0" fontId="23" fillId="2" borderId="5" xfId="0" applyFont="1" applyFill="1" applyBorder="1" applyAlignment="1" applyProtection="1">
      <alignment wrapText="1"/>
      <protection hidden="1"/>
    </xf>
    <xf numFmtId="0" fontId="82" fillId="2" borderId="4" xfId="0" applyFont="1" applyFill="1" applyBorder="1" applyAlignment="1" applyProtection="1">
      <alignment vertical="center" wrapText="1"/>
      <protection hidden="1"/>
    </xf>
    <xf numFmtId="0" fontId="0" fillId="6" borderId="4" xfId="0" applyFill="1" applyBorder="1" applyProtection="1">
      <protection hidden="1"/>
    </xf>
    <xf numFmtId="0" fontId="0" fillId="6" borderId="0" xfId="0" applyFill="1" applyProtection="1">
      <protection hidden="1"/>
    </xf>
    <xf numFmtId="0" fontId="0" fillId="6" borderId="5" xfId="0" applyFill="1" applyBorder="1" applyProtection="1">
      <protection hidden="1"/>
    </xf>
    <xf numFmtId="14" fontId="27" fillId="7" borderId="14" xfId="0" applyNumberFormat="1" applyFont="1" applyFill="1" applyBorder="1" applyAlignment="1" applyProtection="1">
      <alignment horizontal="center" vertical="center"/>
      <protection hidden="1"/>
    </xf>
    <xf numFmtId="0" fontId="6" fillId="0" borderId="12" xfId="0" applyFont="1" applyBorder="1" applyProtection="1">
      <protection hidden="1"/>
    </xf>
    <xf numFmtId="0" fontId="0" fillId="0" borderId="13" xfId="0" applyBorder="1" applyProtection="1">
      <protection hidden="1"/>
    </xf>
    <xf numFmtId="1" fontId="6" fillId="6" borderId="14" xfId="0" applyNumberFormat="1" applyFont="1" applyFill="1"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6" fillId="0" borderId="14" xfId="0" applyFont="1" applyBorder="1" applyAlignment="1" applyProtection="1">
      <alignment horizontal="center" vertical="center" wrapText="1"/>
      <protection hidden="1"/>
    </xf>
    <xf numFmtId="0" fontId="0" fillId="0" borderId="14" xfId="0" applyBorder="1" applyAlignment="1" applyProtection="1">
      <alignment horizontal="center" vertical="center" wrapText="1"/>
      <protection hidden="1"/>
    </xf>
    <xf numFmtId="185" fontId="33" fillId="6" borderId="14" xfId="0" applyNumberFormat="1" applyFont="1" applyFill="1" applyBorder="1" applyAlignment="1" applyProtection="1">
      <alignment horizontal="center" vertical="center"/>
      <protection hidden="1"/>
    </xf>
    <xf numFmtId="2" fontId="6" fillId="0" borderId="14" xfId="0" applyNumberFormat="1" applyFont="1" applyBorder="1" applyAlignment="1" applyProtection="1">
      <alignment horizontal="center" vertical="center"/>
      <protection hidden="1"/>
    </xf>
    <xf numFmtId="44" fontId="6" fillId="0" borderId="14" xfId="2" applyFont="1" applyFill="1" applyBorder="1" applyAlignment="1" applyProtection="1">
      <alignment horizontal="center" vertical="center"/>
      <protection hidden="1"/>
    </xf>
    <xf numFmtId="185" fontId="6" fillId="6" borderId="14" xfId="0" applyNumberFormat="1" applyFont="1" applyFill="1" applyBorder="1" applyAlignment="1" applyProtection="1">
      <alignment horizontal="center" vertical="center"/>
      <protection hidden="1"/>
    </xf>
    <xf numFmtId="0" fontId="0" fillId="6" borderId="4" xfId="0" applyFill="1" applyBorder="1" applyAlignment="1" applyProtection="1">
      <alignment horizontal="left" vertical="top"/>
      <protection hidden="1"/>
    </xf>
    <xf numFmtId="0" fontId="0" fillId="0" borderId="0" xfId="0" applyAlignment="1" applyProtection="1">
      <alignment horizontal="left" vertical="top"/>
      <protection hidden="1"/>
    </xf>
    <xf numFmtId="0" fontId="0" fillId="0" borderId="5" xfId="0" applyBorder="1" applyAlignment="1" applyProtection="1">
      <alignment horizontal="left" vertical="top"/>
      <protection hidden="1"/>
    </xf>
    <xf numFmtId="0" fontId="33" fillId="6" borderId="14" xfId="0" applyFont="1" applyFill="1" applyBorder="1" applyAlignment="1" applyProtection="1">
      <alignment horizontal="center" vertical="center"/>
      <protection hidden="1"/>
    </xf>
    <xf numFmtId="44" fontId="33" fillId="6" borderId="14" xfId="0" applyNumberFormat="1" applyFont="1" applyFill="1" applyBorder="1" applyAlignment="1" applyProtection="1">
      <alignment horizontal="right"/>
      <protection hidden="1"/>
    </xf>
    <xf numFmtId="44" fontId="6" fillId="6" borderId="14" xfId="0" applyNumberFormat="1" applyFont="1" applyFill="1" applyBorder="1" applyProtection="1">
      <protection hidden="1"/>
    </xf>
    <xf numFmtId="2" fontId="33" fillId="7" borderId="7" xfId="0" applyNumberFormat="1" applyFont="1" applyFill="1" applyBorder="1" applyAlignment="1" applyProtection="1">
      <alignment horizontal="right"/>
      <protection hidden="1"/>
    </xf>
    <xf numFmtId="0" fontId="6" fillId="6" borderId="4" xfId="0" applyFont="1" applyFill="1" applyBorder="1" applyProtection="1">
      <protection hidden="1"/>
    </xf>
    <xf numFmtId="0" fontId="6" fillId="6" borderId="2" xfId="0" applyFont="1" applyFill="1" applyBorder="1" applyProtection="1">
      <protection hidden="1"/>
    </xf>
    <xf numFmtId="0" fontId="0" fillId="6" borderId="2" xfId="0" applyFill="1" applyBorder="1" applyProtection="1">
      <protection hidden="1"/>
    </xf>
    <xf numFmtId="0" fontId="24" fillId="6" borderId="7" xfId="0" applyFont="1" applyFill="1" applyBorder="1" applyProtection="1">
      <protection hidden="1"/>
    </xf>
    <xf numFmtId="0" fontId="0" fillId="6" borderId="7" xfId="0" applyFill="1" applyBorder="1" applyProtection="1">
      <protection hidden="1"/>
    </xf>
    <xf numFmtId="0" fontId="96" fillId="0" borderId="8" xfId="0" applyFont="1" applyBorder="1" applyAlignment="1" applyProtection="1">
      <alignment horizontal="right"/>
      <protection hidden="1"/>
    </xf>
    <xf numFmtId="0" fontId="44" fillId="0" borderId="0" xfId="0" applyFont="1" applyAlignment="1" applyProtection="1">
      <alignment vertical="top"/>
      <protection hidden="1"/>
    </xf>
    <xf numFmtId="185" fontId="33" fillId="6" borderId="0" xfId="0" applyNumberFormat="1" applyFont="1" applyFill="1" applyAlignment="1" applyProtection="1">
      <alignment horizontal="center" vertical="center"/>
      <protection hidden="1"/>
    </xf>
    <xf numFmtId="2" fontId="6" fillId="0" borderId="0" xfId="0" applyNumberFormat="1" applyFont="1" applyAlignment="1" applyProtection="1">
      <alignment horizontal="center" vertical="center"/>
      <protection hidden="1"/>
    </xf>
    <xf numFmtId="44" fontId="6" fillId="0" borderId="0" xfId="2" applyFont="1" applyFill="1" applyBorder="1" applyAlignment="1" applyProtection="1">
      <alignment horizontal="center" vertical="center"/>
      <protection hidden="1"/>
    </xf>
    <xf numFmtId="0" fontId="0" fillId="6" borderId="0" xfId="0" applyFill="1" applyAlignment="1" applyProtection="1">
      <alignment horizontal="center" vertical="center"/>
      <protection hidden="1"/>
    </xf>
    <xf numFmtId="0" fontId="24" fillId="2" borderId="0" xfId="0" applyFont="1" applyFill="1" applyAlignment="1" applyProtection="1">
      <alignment horizontal="center" vertical="center" wrapText="1"/>
      <protection hidden="1"/>
    </xf>
    <xf numFmtId="0" fontId="82" fillId="2" borderId="0" xfId="0" applyFont="1" applyFill="1" applyAlignment="1" applyProtection="1">
      <alignment vertical="center" wrapText="1"/>
      <protection hidden="1"/>
    </xf>
    <xf numFmtId="0" fontId="26" fillId="2" borderId="0" xfId="0" applyFont="1" applyFill="1" applyAlignment="1" applyProtection="1">
      <alignment horizontal="left"/>
      <protection hidden="1"/>
    </xf>
    <xf numFmtId="14" fontId="26" fillId="2" borderId="0" xfId="0" applyNumberFormat="1" applyFont="1" applyFill="1" applyAlignment="1" applyProtection="1">
      <alignment vertical="center" wrapText="1"/>
      <protection hidden="1"/>
    </xf>
    <xf numFmtId="0" fontId="6" fillId="6" borderId="0" xfId="0" applyFont="1" applyFill="1" applyProtection="1">
      <protection hidden="1"/>
    </xf>
    <xf numFmtId="0" fontId="27" fillId="2" borderId="0" xfId="0" applyFont="1" applyFill="1" applyProtection="1">
      <protection hidden="1"/>
    </xf>
    <xf numFmtId="0" fontId="6" fillId="7" borderId="0" xfId="0" applyFont="1" applyFill="1" applyProtection="1">
      <protection hidden="1"/>
    </xf>
    <xf numFmtId="0" fontId="28" fillId="0" borderId="0" xfId="0" applyFont="1" applyAlignment="1" applyProtection="1">
      <alignment horizontal="center" vertical="center"/>
      <protection hidden="1"/>
    </xf>
    <xf numFmtId="0" fontId="27" fillId="0" borderId="0" xfId="0" applyFont="1" applyAlignment="1" applyProtection="1">
      <alignment horizontal="center" vertical="center"/>
      <protection hidden="1"/>
    </xf>
    <xf numFmtId="0" fontId="0" fillId="0" borderId="0" xfId="0" applyAlignment="1" applyProtection="1">
      <alignment horizontal="center" vertical="center" wrapText="1"/>
      <protection hidden="1"/>
    </xf>
    <xf numFmtId="0" fontId="27" fillId="0" borderId="0" xfId="0" applyFont="1" applyAlignment="1" applyProtection="1">
      <alignment horizontal="left" vertical="top"/>
      <protection hidden="1"/>
    </xf>
    <xf numFmtId="0" fontId="0" fillId="6" borderId="0" xfId="0" applyFill="1" applyAlignment="1" applyProtection="1">
      <alignment vertical="center"/>
      <protection hidden="1"/>
    </xf>
    <xf numFmtId="14" fontId="27" fillId="6" borderId="0" xfId="0" applyNumberFormat="1" applyFont="1" applyFill="1" applyAlignment="1" applyProtection="1">
      <alignment vertical="center"/>
      <protection hidden="1"/>
    </xf>
    <xf numFmtId="0" fontId="6" fillId="0" borderId="0" xfId="0" applyFont="1" applyProtection="1">
      <protection hidden="1"/>
    </xf>
    <xf numFmtId="1" fontId="6" fillId="6" borderId="0" xfId="0" applyNumberFormat="1" applyFont="1" applyFill="1" applyAlignment="1" applyProtection="1">
      <alignment horizontal="center" vertical="center"/>
      <protection hidden="1"/>
    </xf>
    <xf numFmtId="0" fontId="23" fillId="0" borderId="0" xfId="0" applyFont="1" applyProtection="1">
      <protection hidden="1"/>
    </xf>
    <xf numFmtId="0" fontId="94" fillId="0" borderId="0" xfId="0" applyFont="1" applyProtection="1">
      <protection hidden="1"/>
    </xf>
    <xf numFmtId="0" fontId="33" fillId="6" borderId="0" xfId="0" applyFont="1" applyFill="1" applyAlignment="1" applyProtection="1">
      <alignment horizontal="right"/>
      <protection hidden="1"/>
    </xf>
    <xf numFmtId="0" fontId="6" fillId="6" borderId="0" xfId="0" applyFont="1" applyFill="1" applyAlignment="1" applyProtection="1">
      <alignment horizontal="left"/>
      <protection hidden="1"/>
    </xf>
    <xf numFmtId="0" fontId="6" fillId="6" borderId="0" xfId="0" applyFont="1" applyFill="1" applyAlignment="1" applyProtection="1">
      <alignment horizontal="center" vertical="center"/>
      <protection hidden="1"/>
    </xf>
    <xf numFmtId="0" fontId="5" fillId="0" borderId="0" xfId="0" applyFont="1" applyProtection="1">
      <protection hidden="1"/>
    </xf>
    <xf numFmtId="2" fontId="6" fillId="0" borderId="0" xfId="0" applyNumberFormat="1" applyFont="1" applyProtection="1">
      <protection hidden="1"/>
    </xf>
    <xf numFmtId="0" fontId="6" fillId="6" borderId="0" xfId="0" applyFont="1" applyFill="1" applyAlignment="1" applyProtection="1">
      <alignment horizontal="left" vertical="top"/>
      <protection hidden="1"/>
    </xf>
    <xf numFmtId="0" fontId="32" fillId="23" borderId="0" xfId="0" applyFont="1" applyFill="1" applyAlignment="1" applyProtection="1">
      <alignment horizontal="left" vertical="top"/>
      <protection hidden="1"/>
    </xf>
    <xf numFmtId="0" fontId="0" fillId="6" borderId="0" xfId="0" applyFill="1" applyAlignment="1" applyProtection="1">
      <alignment horizontal="left" vertical="top"/>
      <protection hidden="1"/>
    </xf>
    <xf numFmtId="0" fontId="33" fillId="6" borderId="0" xfId="0" applyFont="1" applyFill="1" applyAlignment="1" applyProtection="1">
      <alignment horizontal="center" vertical="center"/>
      <protection hidden="1"/>
    </xf>
    <xf numFmtId="0" fontId="33" fillId="0" borderId="0" xfId="0" applyFont="1" applyProtection="1">
      <protection hidden="1"/>
    </xf>
    <xf numFmtId="0" fontId="27" fillId="6" borderId="0" xfId="0" applyFont="1" applyFill="1" applyProtection="1">
      <protection hidden="1"/>
    </xf>
    <xf numFmtId="44" fontId="0" fillId="6" borderId="0" xfId="0" applyNumberFormat="1" applyFill="1" applyProtection="1">
      <protection hidden="1"/>
    </xf>
    <xf numFmtId="44" fontId="6" fillId="6" borderId="0" xfId="0" applyNumberFormat="1" applyFont="1" applyFill="1" applyProtection="1">
      <protection hidden="1"/>
    </xf>
    <xf numFmtId="0" fontId="33" fillId="6" borderId="0" xfId="0" applyFont="1" applyFill="1" applyAlignment="1" applyProtection="1">
      <alignment horizontal="left"/>
      <protection hidden="1"/>
    </xf>
    <xf numFmtId="2" fontId="33" fillId="0" borderId="0" xfId="0" applyNumberFormat="1" applyFont="1" applyAlignment="1" applyProtection="1">
      <alignment horizontal="right"/>
      <protection hidden="1"/>
    </xf>
    <xf numFmtId="0" fontId="6" fillId="6" borderId="5" xfId="0" applyFont="1" applyFill="1" applyBorder="1" applyProtection="1">
      <protection hidden="1"/>
    </xf>
    <xf numFmtId="0" fontId="95" fillId="0" borderId="0" xfId="0" applyFont="1" applyProtection="1">
      <protection hidden="1"/>
    </xf>
    <xf numFmtId="0" fontId="6" fillId="0" borderId="0" xfId="0" applyFont="1" applyAlignment="1" applyProtection="1">
      <alignment horizontal="center"/>
      <protection hidden="1"/>
    </xf>
    <xf numFmtId="0" fontId="25" fillId="6" borderId="0" xfId="0" applyFont="1" applyFill="1" applyAlignment="1" applyProtection="1">
      <alignment vertical="top"/>
      <protection hidden="1"/>
    </xf>
    <xf numFmtId="0" fontId="32" fillId="6" borderId="0" xfId="0" applyFont="1" applyFill="1" applyAlignment="1" applyProtection="1">
      <alignment horizontal="left" vertical="top"/>
      <protection hidden="1"/>
    </xf>
    <xf numFmtId="0" fontId="33" fillId="0" borderId="0" xfId="0" applyFont="1" applyAlignment="1" applyProtection="1">
      <alignment horizontal="left" vertical="top"/>
      <protection hidden="1"/>
    </xf>
    <xf numFmtId="0" fontId="32" fillId="0" borderId="0" xfId="0" applyFont="1" applyAlignment="1" applyProtection="1">
      <alignment horizontal="left" vertical="top"/>
      <protection hidden="1"/>
    </xf>
    <xf numFmtId="0" fontId="6" fillId="0" borderId="0" xfId="0" applyFont="1" applyAlignment="1" applyProtection="1">
      <alignment horizontal="left" vertical="top"/>
      <protection hidden="1"/>
    </xf>
    <xf numFmtId="0" fontId="32" fillId="0" borderId="0" xfId="0" applyFont="1" applyProtection="1">
      <protection hidden="1"/>
    </xf>
    <xf numFmtId="10" fontId="6" fillId="0" borderId="14" xfId="3" applyNumberFormat="1" applyFont="1" applyBorder="1" applyAlignment="1" applyProtection="1">
      <alignment horizontal="center"/>
      <protection hidden="1"/>
    </xf>
    <xf numFmtId="4" fontId="21" fillId="2" borderId="0" xfId="0" applyNumberFormat="1" applyFont="1" applyFill="1"/>
    <xf numFmtId="14" fontId="7" fillId="0" borderId="14" xfId="0" applyNumberFormat="1" applyFont="1" applyBorder="1"/>
    <xf numFmtId="0" fontId="7" fillId="0" borderId="14" xfId="0" applyFont="1" applyBorder="1"/>
    <xf numFmtId="14" fontId="5" fillId="0" borderId="19" xfId="0" applyNumberFormat="1" applyFont="1" applyBorder="1"/>
    <xf numFmtId="0" fontId="32" fillId="23" borderId="0" xfId="0" applyFont="1" applyFill="1" applyAlignment="1" applyProtection="1">
      <alignment horizontal="left" vertical="center"/>
      <protection hidden="1"/>
    </xf>
    <xf numFmtId="0" fontId="27" fillId="18" borderId="28" xfId="0" applyFont="1" applyFill="1" applyBorder="1" applyAlignment="1">
      <alignment horizontal="center" vertical="center" wrapText="1"/>
    </xf>
    <xf numFmtId="1" fontId="0" fillId="0" borderId="0" xfId="0" applyNumberFormat="1" applyAlignment="1">
      <alignment horizontal="center"/>
    </xf>
    <xf numFmtId="10" fontId="43" fillId="16" borderId="13" xfId="0" applyNumberFormat="1" applyFont="1" applyFill="1" applyBorder="1" applyAlignment="1" applyProtection="1">
      <alignment horizontal="center"/>
      <protection locked="0"/>
    </xf>
    <xf numFmtId="44" fontId="0" fillId="15" borderId="23" xfId="2" applyFont="1" applyFill="1" applyBorder="1" applyProtection="1"/>
    <xf numFmtId="0" fontId="6" fillId="0" borderId="14" xfId="0" applyFont="1" applyBorder="1"/>
    <xf numFmtId="0" fontId="6" fillId="6" borderId="14" xfId="0" applyFont="1" applyFill="1" applyBorder="1" applyAlignment="1">
      <alignment horizontal="left" vertical="top"/>
    </xf>
    <xf numFmtId="0" fontId="6" fillId="6" borderId="14" xfId="0" applyFont="1" applyFill="1" applyBorder="1" applyAlignment="1">
      <alignment horizontal="left" vertical="top" wrapText="1"/>
    </xf>
    <xf numFmtId="0" fontId="13" fillId="0" borderId="0" xfId="0" applyFont="1" applyProtection="1">
      <protection hidden="1"/>
    </xf>
    <xf numFmtId="0" fontId="32" fillId="23" borderId="4" xfId="0" applyFont="1" applyFill="1" applyBorder="1" applyAlignment="1">
      <alignment horizontal="left" vertical="center" wrapText="1"/>
    </xf>
    <xf numFmtId="0" fontId="32" fillId="23" borderId="0" xfId="0" applyFont="1" applyFill="1" applyAlignment="1">
      <alignment horizontal="left" vertical="center"/>
    </xf>
    <xf numFmtId="44" fontId="27" fillId="0" borderId="31" xfId="2" applyFont="1" applyFill="1" applyBorder="1" applyAlignment="1" applyProtection="1">
      <alignment horizontal="center"/>
    </xf>
    <xf numFmtId="0" fontId="26" fillId="6" borderId="4" xfId="0" applyFont="1" applyFill="1" applyBorder="1"/>
    <xf numFmtId="14" fontId="97" fillId="0" borderId="1" xfId="0" quotePrefix="1" applyNumberFormat="1" applyFont="1" applyBorder="1" applyProtection="1">
      <protection hidden="1"/>
    </xf>
    <xf numFmtId="0" fontId="22" fillId="0" borderId="14" xfId="0" applyFont="1" applyBorder="1" applyAlignment="1">
      <alignment vertical="center" wrapText="1"/>
    </xf>
    <xf numFmtId="0" fontId="22" fillId="0" borderId="14" xfId="0" applyFont="1" applyBorder="1" applyAlignment="1">
      <alignment horizontal="center" vertical="center" wrapText="1"/>
    </xf>
    <xf numFmtId="9" fontId="22" fillId="0" borderId="14" xfId="0" applyNumberFormat="1" applyFont="1" applyBorder="1" applyAlignment="1">
      <alignment horizontal="center" vertical="center" wrapText="1"/>
    </xf>
    <xf numFmtId="10" fontId="22" fillId="0" borderId="14" xfId="0" applyNumberFormat="1" applyFont="1" applyBorder="1" applyAlignment="1">
      <alignment horizontal="center" vertical="center" wrapText="1"/>
    </xf>
    <xf numFmtId="186" fontId="22" fillId="0" borderId="14" xfId="0" applyNumberFormat="1" applyFont="1" applyBorder="1" applyAlignment="1">
      <alignment horizontal="center" vertical="center" wrapText="1"/>
    </xf>
    <xf numFmtId="0" fontId="99" fillId="30" borderId="14" xfId="0" applyFont="1" applyFill="1" applyBorder="1" applyAlignment="1">
      <alignment horizontal="center" vertical="center" wrapText="1"/>
    </xf>
    <xf numFmtId="0" fontId="99" fillId="8" borderId="14" xfId="0" applyFont="1" applyFill="1" applyBorder="1" applyAlignment="1">
      <alignment horizontal="center" vertical="center" wrapText="1"/>
    </xf>
    <xf numFmtId="0" fontId="99" fillId="30" borderId="14" xfId="0" applyFont="1" applyFill="1" applyBorder="1" applyAlignment="1">
      <alignment vertical="center" wrapText="1"/>
    </xf>
    <xf numFmtId="0" fontId="22" fillId="0" borderId="21" xfId="0" applyFont="1" applyBorder="1" applyAlignment="1">
      <alignment horizontal="center" vertical="center" wrapText="1"/>
    </xf>
    <xf numFmtId="49" fontId="99" fillId="30" borderId="20" xfId="0" applyNumberFormat="1" applyFont="1" applyFill="1" applyBorder="1" applyAlignment="1">
      <alignment horizontal="left" vertical="center" wrapText="1"/>
    </xf>
    <xf numFmtId="0" fontId="99" fillId="30" borderId="21" xfId="0" applyFont="1" applyFill="1" applyBorder="1" applyAlignment="1">
      <alignment horizontal="left" vertical="center" wrapText="1"/>
    </xf>
    <xf numFmtId="0" fontId="24" fillId="0" borderId="5" xfId="0" applyFont="1" applyBorder="1" applyAlignment="1">
      <alignment vertical="top"/>
    </xf>
    <xf numFmtId="0" fontId="22" fillId="0" borderId="0" xfId="0" applyFont="1"/>
    <xf numFmtId="0" fontId="3" fillId="0" borderId="98" xfId="0" applyFont="1" applyBorder="1" applyAlignment="1">
      <alignment vertical="top" wrapText="1"/>
    </xf>
    <xf numFmtId="10" fontId="3" fillId="0" borderId="98" xfId="3" applyNumberFormat="1" applyFont="1" applyBorder="1" applyAlignment="1">
      <alignment horizontal="left" vertical="top" wrapText="1"/>
    </xf>
    <xf numFmtId="0" fontId="0" fillId="0" borderId="0" xfId="0" applyAlignment="1">
      <alignment vertical="top" wrapText="1"/>
    </xf>
    <xf numFmtId="0" fontId="0" fillId="6" borderId="2" xfId="0" applyFill="1" applyBorder="1"/>
    <xf numFmtId="0" fontId="0" fillId="0" borderId="0" xfId="0" applyAlignment="1">
      <alignment wrapText="1"/>
    </xf>
    <xf numFmtId="0" fontId="24" fillId="0" borderId="0" xfId="0" applyFont="1" applyAlignment="1">
      <alignment vertical="top" wrapText="1"/>
    </xf>
    <xf numFmtId="0" fontId="98" fillId="8" borderId="13" xfId="1" applyFont="1" applyFill="1" applyBorder="1" applyAlignment="1" applyProtection="1">
      <alignment textRotation="255" wrapText="1"/>
    </xf>
    <xf numFmtId="0" fontId="98" fillId="8" borderId="13" xfId="1" applyFont="1" applyFill="1" applyBorder="1" applyAlignment="1" applyProtection="1">
      <alignment vertical="center" textRotation="255"/>
    </xf>
    <xf numFmtId="0" fontId="0" fillId="0" borderId="0" xfId="0" applyAlignment="1">
      <alignment vertical="top"/>
    </xf>
    <xf numFmtId="0" fontId="22" fillId="0" borderId="0" xfId="0" applyFont="1" applyAlignment="1">
      <alignment vertical="center" wrapText="1"/>
    </xf>
    <xf numFmtId="0" fontId="24" fillId="0" borderId="0" xfId="0" applyFont="1" applyAlignment="1">
      <alignment vertical="top"/>
    </xf>
    <xf numFmtId="9" fontId="22" fillId="0" borderId="0" xfId="0" applyNumberFormat="1" applyFont="1" applyAlignment="1">
      <alignment horizontal="center" vertical="center" wrapText="1"/>
    </xf>
    <xf numFmtId="0" fontId="0" fillId="0" borderId="0" xfId="0" applyProtection="1">
      <protection locked="0"/>
    </xf>
    <xf numFmtId="0" fontId="0" fillId="6" borderId="4" xfId="0" applyFill="1" applyBorder="1" applyProtection="1">
      <protection locked="0"/>
    </xf>
    <xf numFmtId="0" fontId="33" fillId="16" borderId="7" xfId="0" applyFont="1" applyFill="1" applyBorder="1" applyProtection="1">
      <protection locked="0"/>
    </xf>
    <xf numFmtId="0" fontId="0" fillId="16" borderId="7" xfId="0" applyFill="1" applyBorder="1" applyProtection="1">
      <protection locked="0"/>
    </xf>
    <xf numFmtId="0" fontId="0" fillId="16" borderId="0" xfId="0" applyFill="1" applyProtection="1">
      <protection locked="0"/>
    </xf>
    <xf numFmtId="0" fontId="3" fillId="0" borderId="19" xfId="0" applyFont="1" applyBorder="1"/>
    <xf numFmtId="0" fontId="0" fillId="0" borderId="4" xfId="0" applyBorder="1" applyProtection="1">
      <protection locked="0"/>
    </xf>
    <xf numFmtId="0" fontId="9" fillId="0" borderId="88" xfId="0" applyFont="1" applyBorder="1" applyAlignment="1">
      <alignment vertical="top"/>
    </xf>
    <xf numFmtId="0" fontId="3" fillId="0" borderId="21" xfId="0" applyFont="1" applyBorder="1"/>
    <xf numFmtId="14" fontId="0" fillId="0" borderId="7" xfId="0" applyNumberFormat="1" applyBorder="1"/>
    <xf numFmtId="0" fontId="2" fillId="0" borderId="21" xfId="0" applyFont="1" applyBorder="1"/>
    <xf numFmtId="0" fontId="2" fillId="0" borderId="87" xfId="0" applyFont="1" applyBorder="1" applyAlignment="1">
      <alignment wrapText="1"/>
    </xf>
    <xf numFmtId="0" fontId="2" fillId="0" borderId="87" xfId="0" applyFont="1" applyBorder="1" applyAlignment="1">
      <alignment horizontal="left" vertical="top" wrapText="1"/>
    </xf>
    <xf numFmtId="0" fontId="22" fillId="0" borderId="14" xfId="0" applyFont="1" applyBorder="1" applyAlignment="1">
      <alignment vertical="center" wrapText="1"/>
    </xf>
    <xf numFmtId="0" fontId="0" fillId="0" borderId="14" xfId="0" applyBorder="1"/>
    <xf numFmtId="0" fontId="98" fillId="8" borderId="3" xfId="1" applyFont="1" applyFill="1" applyBorder="1" applyAlignment="1" applyProtection="1">
      <alignment vertical="center" textRotation="255"/>
    </xf>
    <xf numFmtId="0" fontId="98" fillId="8" borderId="5" xfId="1" applyFont="1" applyFill="1" applyBorder="1" applyAlignment="1" applyProtection="1">
      <alignment vertical="center" textRotation="255"/>
    </xf>
    <xf numFmtId="0" fontId="98" fillId="8" borderId="19" xfId="1" applyFont="1" applyFill="1" applyBorder="1" applyAlignment="1" applyProtection="1">
      <alignment vertical="center" textRotation="255"/>
    </xf>
    <xf numFmtId="0" fontId="98" fillId="8" borderId="8" xfId="1" applyFont="1" applyFill="1" applyBorder="1" applyAlignment="1" applyProtection="1">
      <alignment vertical="center" textRotation="255"/>
    </xf>
    <xf numFmtId="0" fontId="98" fillId="8" borderId="0" xfId="1" applyFont="1" applyFill="1" applyBorder="1" applyAlignment="1" applyProtection="1">
      <alignment vertical="center" textRotation="255"/>
    </xf>
    <xf numFmtId="0" fontId="22" fillId="0" borderId="1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3" xfId="0" applyFont="1" applyBorder="1" applyAlignment="1">
      <alignment horizontal="center" vertical="center" wrapText="1"/>
    </xf>
    <xf numFmtId="0" fontId="0" fillId="0" borderId="0" xfId="0" applyAlignment="1">
      <alignment vertical="top" wrapText="1"/>
    </xf>
    <xf numFmtId="0" fontId="0" fillId="0" borderId="0" xfId="0" applyAlignment="1">
      <alignment vertical="top"/>
    </xf>
    <xf numFmtId="0" fontId="22" fillId="0" borderId="0" xfId="0" applyFont="1" applyAlignment="1">
      <alignment vertical="center" wrapText="1"/>
    </xf>
    <xf numFmtId="0" fontId="0" fillId="0" borderId="0" xfId="0"/>
    <xf numFmtId="0" fontId="22" fillId="28" borderId="14" xfId="0" applyFont="1" applyFill="1" applyBorder="1" applyAlignment="1">
      <alignment vertical="center" wrapText="1"/>
    </xf>
    <xf numFmtId="0" fontId="0" fillId="0" borderId="14" xfId="0" applyBorder="1" applyAlignment="1">
      <alignment vertical="center" wrapText="1"/>
    </xf>
    <xf numFmtId="49" fontId="99" fillId="8" borderId="14" xfId="0" applyNumberFormat="1" applyFont="1" applyFill="1" applyBorder="1" applyAlignment="1">
      <alignment horizontal="center" vertical="center" wrapText="1"/>
    </xf>
    <xf numFmtId="0" fontId="99" fillId="29" borderId="14" xfId="0" applyFont="1" applyFill="1" applyBorder="1" applyAlignment="1">
      <alignment horizontal="center" vertical="center" wrapText="1"/>
    </xf>
    <xf numFmtId="0" fontId="24" fillId="0" borderId="0" xfId="0" applyFont="1" applyAlignment="1">
      <alignment vertical="top" wrapText="1"/>
    </xf>
    <xf numFmtId="0" fontId="24" fillId="0" borderId="0" xfId="0" applyFont="1" applyAlignment="1">
      <alignment vertical="top"/>
    </xf>
    <xf numFmtId="0" fontId="24" fillId="0" borderId="5" xfId="0" applyFont="1" applyBorder="1" applyAlignment="1">
      <alignment vertical="top"/>
    </xf>
    <xf numFmtId="0" fontId="24" fillId="20" borderId="1" xfId="0" applyFont="1" applyFill="1" applyBorder="1" applyAlignment="1">
      <alignment horizontal="center" vertical="center" wrapText="1"/>
    </xf>
    <xf numFmtId="0" fontId="24" fillId="20" borderId="2" xfId="0" applyFont="1" applyFill="1" applyBorder="1" applyAlignment="1">
      <alignment horizontal="center" vertical="center"/>
    </xf>
    <xf numFmtId="0" fontId="24" fillId="20" borderId="3" xfId="0" applyFont="1" applyFill="1" applyBorder="1" applyAlignment="1">
      <alignment horizontal="center" vertical="center"/>
    </xf>
    <xf numFmtId="0" fontId="24" fillId="20" borderId="6" xfId="0" applyFont="1" applyFill="1" applyBorder="1" applyAlignment="1">
      <alignment horizontal="center" vertical="center"/>
    </xf>
    <xf numFmtId="0" fontId="24" fillId="20" borderId="7" xfId="0" applyFont="1" applyFill="1" applyBorder="1" applyAlignment="1">
      <alignment horizontal="center" vertical="center"/>
    </xf>
    <xf numFmtId="0" fontId="24" fillId="20" borderId="8" xfId="0" applyFont="1" applyFill="1" applyBorder="1" applyAlignment="1">
      <alignment horizontal="center" vertical="center"/>
    </xf>
    <xf numFmtId="0" fontId="0" fillId="0" borderId="0" xfId="0" applyAlignment="1">
      <alignment wrapText="1"/>
    </xf>
    <xf numFmtId="0" fontId="22" fillId="0" borderId="0" xfId="1" applyFont="1" applyFill="1" applyBorder="1" applyAlignment="1" applyProtection="1">
      <alignment vertical="top" wrapText="1"/>
    </xf>
    <xf numFmtId="0" fontId="22" fillId="0" borderId="0" xfId="1" applyFont="1" applyBorder="1" applyAlignment="1" applyProtection="1">
      <alignment vertical="top" wrapText="1"/>
    </xf>
    <xf numFmtId="0" fontId="22" fillId="0" borderId="0" xfId="1" applyFont="1" applyFill="1" applyBorder="1" applyAlignment="1" applyProtection="1"/>
    <xf numFmtId="14" fontId="9" fillId="0" borderId="20" xfId="0" applyNumberFormat="1" applyFont="1" applyBorder="1" applyAlignment="1">
      <alignment horizontal="left" vertical="top"/>
    </xf>
    <xf numFmtId="14" fontId="9" fillId="0" borderId="19" xfId="0" applyNumberFormat="1" applyFont="1" applyBorder="1" applyAlignment="1">
      <alignment horizontal="left" vertical="top"/>
    </xf>
    <xf numFmtId="14" fontId="9" fillId="0" borderId="21" xfId="0" applyNumberFormat="1" applyFont="1" applyBorder="1" applyAlignment="1">
      <alignment horizontal="left" vertical="top"/>
    </xf>
    <xf numFmtId="0" fontId="10" fillId="0" borderId="20" xfId="0" applyFont="1" applyBorder="1" applyAlignment="1">
      <alignment horizontal="left" vertical="top" wrapText="1"/>
    </xf>
    <xf numFmtId="0" fontId="10" fillId="0" borderId="19" xfId="0" applyFont="1" applyBorder="1" applyAlignment="1">
      <alignment horizontal="left" vertical="top" wrapText="1"/>
    </xf>
    <xf numFmtId="0" fontId="10" fillId="0" borderId="21" xfId="0" applyFont="1" applyBorder="1" applyAlignment="1">
      <alignment horizontal="left" vertical="top" wrapText="1"/>
    </xf>
    <xf numFmtId="0" fontId="11" fillId="24" borderId="14" xfId="0" applyFont="1" applyFill="1" applyBorder="1" applyAlignment="1">
      <alignment horizontal="left" vertical="top" wrapText="1"/>
    </xf>
    <xf numFmtId="14" fontId="11" fillId="24" borderId="14" xfId="0" applyNumberFormat="1" applyFont="1" applyFill="1" applyBorder="1" applyAlignment="1">
      <alignment horizontal="center" vertical="top"/>
    </xf>
    <xf numFmtId="0" fontId="10" fillId="0" borderId="20" xfId="0" applyFont="1" applyBorder="1" applyAlignment="1">
      <alignment horizontal="center" vertical="top" wrapText="1"/>
    </xf>
    <xf numFmtId="0" fontId="10" fillId="0" borderId="19" xfId="0" applyFont="1" applyBorder="1" applyAlignment="1">
      <alignment horizontal="center" vertical="top" wrapText="1"/>
    </xf>
    <xf numFmtId="0" fontId="10" fillId="0" borderId="21" xfId="0" applyFont="1" applyBorder="1" applyAlignment="1">
      <alignment horizontal="center" vertical="top" wrapText="1"/>
    </xf>
    <xf numFmtId="0" fontId="11" fillId="16" borderId="90" xfId="0" applyFont="1" applyFill="1" applyBorder="1" applyAlignment="1">
      <alignment horizontal="center" vertical="top" wrapText="1"/>
    </xf>
    <xf numFmtId="0" fontId="11" fillId="16" borderId="91" xfId="0" applyFont="1" applyFill="1" applyBorder="1" applyAlignment="1">
      <alignment horizontal="center" vertical="top" wrapText="1"/>
    </xf>
    <xf numFmtId="14" fontId="11" fillId="16" borderId="14" xfId="0" applyNumberFormat="1" applyFont="1" applyFill="1" applyBorder="1" applyAlignment="1">
      <alignment horizontal="center"/>
    </xf>
    <xf numFmtId="0" fontId="11" fillId="16" borderId="14" xfId="0" applyFont="1" applyFill="1" applyBorder="1" applyAlignment="1">
      <alignment horizontal="left" vertical="top"/>
    </xf>
    <xf numFmtId="0" fontId="11" fillId="7" borderId="20" xfId="0" applyFont="1" applyFill="1" applyBorder="1" applyAlignment="1">
      <alignment horizontal="left" vertical="top"/>
    </xf>
    <xf numFmtId="0" fontId="11" fillId="7" borderId="21" xfId="0" applyFont="1" applyFill="1" applyBorder="1" applyAlignment="1">
      <alignment horizontal="left" vertical="top"/>
    </xf>
    <xf numFmtId="14" fontId="11" fillId="7" borderId="20" xfId="0" applyNumberFormat="1" applyFont="1" applyFill="1" applyBorder="1" applyAlignment="1">
      <alignment horizontal="center" vertical="top"/>
    </xf>
    <xf numFmtId="14" fontId="11" fillId="7" borderId="19" xfId="0" applyNumberFormat="1" applyFont="1" applyFill="1" applyBorder="1" applyAlignment="1">
      <alignment horizontal="center" vertical="top"/>
    </xf>
    <xf numFmtId="14" fontId="11" fillId="7" borderId="21" xfId="0" applyNumberFormat="1" applyFont="1" applyFill="1" applyBorder="1" applyAlignment="1">
      <alignment horizontal="center" vertical="top"/>
    </xf>
    <xf numFmtId="0" fontId="11" fillId="7" borderId="20" xfId="0" applyFont="1" applyFill="1" applyBorder="1" applyAlignment="1">
      <alignment horizontal="left" vertical="top" wrapText="1"/>
    </xf>
    <xf numFmtId="0" fontId="11" fillId="7" borderId="19" xfId="0" applyFont="1" applyFill="1" applyBorder="1" applyAlignment="1">
      <alignment horizontal="left" vertical="top" wrapText="1"/>
    </xf>
    <xf numFmtId="0" fontId="11" fillId="7" borderId="21" xfId="0" applyFont="1" applyFill="1" applyBorder="1" applyAlignment="1">
      <alignment horizontal="left" vertical="top" wrapText="1"/>
    </xf>
    <xf numFmtId="0" fontId="33" fillId="16" borderId="20" xfId="0" applyFont="1" applyFill="1" applyBorder="1" applyAlignment="1">
      <alignment horizontal="center" vertical="top"/>
    </xf>
    <xf numFmtId="0" fontId="33" fillId="16" borderId="19" xfId="0" applyFont="1" applyFill="1" applyBorder="1" applyAlignment="1">
      <alignment horizontal="center" vertical="top"/>
    </xf>
    <xf numFmtId="0" fontId="11" fillId="16" borderId="86" xfId="0" applyFont="1" applyFill="1" applyBorder="1" applyAlignment="1">
      <alignment horizontal="left" vertical="top"/>
    </xf>
    <xf numFmtId="0" fontId="11" fillId="16" borderId="88" xfId="0" applyFont="1" applyFill="1" applyBorder="1" applyAlignment="1">
      <alignment horizontal="left" vertical="top"/>
    </xf>
    <xf numFmtId="14" fontId="11" fillId="16" borderId="14" xfId="0" applyNumberFormat="1" applyFont="1" applyFill="1" applyBorder="1" applyAlignment="1">
      <alignment horizontal="center" vertical="top"/>
    </xf>
    <xf numFmtId="0" fontId="93" fillId="6" borderId="38" xfId="0" applyFont="1" applyFill="1" applyBorder="1" applyAlignment="1">
      <alignment horizontal="center"/>
    </xf>
    <xf numFmtId="0" fontId="93" fillId="6" borderId="74" xfId="0" applyFont="1" applyFill="1" applyBorder="1" applyAlignment="1">
      <alignment horizontal="center"/>
    </xf>
    <xf numFmtId="0" fontId="92" fillId="0" borderId="81" xfId="0" applyFont="1" applyBorder="1" applyAlignment="1">
      <alignment horizontal="center" vertical="center" wrapText="1"/>
    </xf>
    <xf numFmtId="0" fontId="92" fillId="0" borderId="82" xfId="0" applyFont="1" applyBorder="1" applyAlignment="1">
      <alignment horizontal="center" vertical="center" wrapText="1"/>
    </xf>
    <xf numFmtId="0" fontId="92" fillId="7" borderId="57" xfId="0" applyFont="1" applyFill="1" applyBorder="1" applyAlignment="1">
      <alignment horizontal="left" vertical="top" wrapText="1"/>
    </xf>
    <xf numFmtId="10" fontId="28" fillId="8" borderId="0" xfId="0" applyNumberFormat="1" applyFont="1" applyFill="1" applyAlignment="1" applyProtection="1">
      <alignment horizontal="center"/>
      <protection hidden="1"/>
    </xf>
    <xf numFmtId="2" fontId="38" fillId="8" borderId="67" xfId="0" applyNumberFormat="1" applyFont="1" applyFill="1" applyBorder="1" applyAlignment="1" applyProtection="1">
      <alignment horizontal="center" vertical="center"/>
      <protection hidden="1"/>
    </xf>
    <xf numFmtId="2" fontId="38" fillId="8" borderId="68" xfId="0" applyNumberFormat="1" applyFont="1" applyFill="1" applyBorder="1" applyAlignment="1" applyProtection="1">
      <alignment horizontal="center" vertical="center"/>
      <protection hidden="1"/>
    </xf>
    <xf numFmtId="2" fontId="47" fillId="8" borderId="44" xfId="0" applyNumberFormat="1" applyFont="1" applyFill="1" applyBorder="1" applyAlignment="1" applyProtection="1">
      <alignment horizontal="center" vertical="center"/>
      <protection hidden="1"/>
    </xf>
    <xf numFmtId="2" fontId="47" fillId="8" borderId="46" xfId="0" applyNumberFormat="1" applyFont="1" applyFill="1" applyBorder="1" applyAlignment="1" applyProtection="1">
      <alignment horizontal="center" vertical="center"/>
      <protection hidden="1"/>
    </xf>
    <xf numFmtId="2" fontId="47" fillId="8" borderId="45" xfId="0" applyNumberFormat="1" applyFont="1" applyFill="1" applyBorder="1" applyAlignment="1" applyProtection="1">
      <alignment horizontal="center" vertical="center"/>
      <protection hidden="1"/>
    </xf>
    <xf numFmtId="0" fontId="27" fillId="8" borderId="51" xfId="0" applyFont="1" applyFill="1" applyBorder="1" applyAlignment="1" applyProtection="1">
      <alignment horizontal="center" vertical="center"/>
      <protection hidden="1"/>
    </xf>
    <xf numFmtId="0" fontId="27" fillId="8" borderId="52" xfId="0" applyFont="1" applyFill="1" applyBorder="1" applyAlignment="1" applyProtection="1">
      <alignment horizontal="center" vertical="center"/>
      <protection hidden="1"/>
    </xf>
    <xf numFmtId="0" fontId="92" fillId="0" borderId="72" xfId="0" applyFont="1" applyBorder="1" applyAlignment="1">
      <alignment horizontal="center"/>
    </xf>
    <xf numFmtId="0" fontId="92" fillId="0" borderId="32" xfId="0" applyFont="1" applyBorder="1" applyAlignment="1">
      <alignment horizontal="center"/>
    </xf>
    <xf numFmtId="0" fontId="92" fillId="0" borderId="73" xfId="0" applyFont="1" applyBorder="1" applyAlignment="1">
      <alignment horizontal="center"/>
    </xf>
    <xf numFmtId="0" fontId="92" fillId="0" borderId="64" xfId="0" applyFont="1" applyBorder="1" applyAlignment="1">
      <alignment horizontal="center"/>
    </xf>
    <xf numFmtId="0" fontId="25" fillId="2" borderId="1" xfId="0" applyFont="1" applyFill="1" applyBorder="1" applyAlignment="1" applyProtection="1">
      <alignment horizontal="center" wrapText="1"/>
      <protection hidden="1"/>
    </xf>
    <xf numFmtId="0" fontId="25" fillId="2" borderId="2" xfId="0" applyFont="1" applyFill="1" applyBorder="1" applyAlignment="1" applyProtection="1">
      <alignment horizontal="center" wrapText="1"/>
      <protection hidden="1"/>
    </xf>
    <xf numFmtId="0" fontId="25" fillId="2" borderId="3" xfId="0" applyFont="1" applyFill="1" applyBorder="1" applyAlignment="1" applyProtection="1">
      <alignment horizontal="center" wrapText="1"/>
      <protection hidden="1"/>
    </xf>
    <xf numFmtId="0" fontId="21" fillId="0" borderId="0" xfId="0" applyFont="1" applyAlignment="1" applyProtection="1">
      <alignment horizontal="center"/>
      <protection hidden="1"/>
    </xf>
    <xf numFmtId="0" fontId="25" fillId="2" borderId="4" xfId="0" applyFont="1" applyFill="1" applyBorder="1" applyAlignment="1" applyProtection="1">
      <alignment horizontal="center"/>
      <protection hidden="1"/>
    </xf>
    <xf numFmtId="0" fontId="25" fillId="2" borderId="0" xfId="0" applyFont="1" applyFill="1" applyAlignment="1" applyProtection="1">
      <alignment horizontal="center"/>
      <protection hidden="1"/>
    </xf>
    <xf numFmtId="0" fontId="25" fillId="2" borderId="5" xfId="0" applyFont="1" applyFill="1" applyBorder="1" applyAlignment="1" applyProtection="1">
      <alignment horizontal="center"/>
      <protection hidden="1"/>
    </xf>
    <xf numFmtId="0" fontId="17" fillId="0" borderId="9" xfId="0" applyFont="1" applyBorder="1" applyAlignment="1">
      <alignment horizontal="center"/>
    </xf>
    <xf numFmtId="0" fontId="21" fillId="0" borderId="10" xfId="0" applyFont="1" applyBorder="1" applyAlignment="1">
      <alignment horizontal="center"/>
    </xf>
    <xf numFmtId="0" fontId="21" fillId="0" borderId="11" xfId="0" applyFont="1" applyBorder="1" applyAlignment="1">
      <alignment horizontal="center"/>
    </xf>
    <xf numFmtId="0" fontId="21" fillId="3" borderId="12" xfId="0" applyFont="1" applyFill="1" applyBorder="1" applyAlignment="1" applyProtection="1">
      <alignment horizontal="center"/>
      <protection locked="0"/>
    </xf>
    <xf numFmtId="0" fontId="21" fillId="3" borderId="13" xfId="0" applyFont="1" applyFill="1" applyBorder="1" applyAlignment="1" applyProtection="1">
      <alignment horizontal="center"/>
      <protection locked="0"/>
    </xf>
    <xf numFmtId="180" fontId="21" fillId="3" borderId="12" xfId="0" applyNumberFormat="1" applyFont="1" applyFill="1" applyBorder="1" applyAlignment="1" applyProtection="1">
      <alignment horizontal="center"/>
      <protection locked="0"/>
    </xf>
    <xf numFmtId="180" fontId="21" fillId="3" borderId="13" xfId="0" applyNumberFormat="1" applyFont="1" applyFill="1" applyBorder="1" applyAlignment="1" applyProtection="1">
      <alignment horizontal="center"/>
      <protection locked="0"/>
    </xf>
    <xf numFmtId="0" fontId="33" fillId="4" borderId="7" xfId="0" applyFont="1" applyFill="1" applyBorder="1" applyProtection="1">
      <protection locked="0"/>
    </xf>
    <xf numFmtId="0" fontId="0" fillId="0" borderId="7" xfId="0" applyBorder="1" applyProtection="1">
      <protection locked="0"/>
    </xf>
    <xf numFmtId="0" fontId="33" fillId="4" borderId="7" xfId="0" applyFont="1" applyFill="1" applyBorder="1" applyAlignment="1" applyProtection="1">
      <alignment vertical="top"/>
      <protection locked="0"/>
    </xf>
    <xf numFmtId="0" fontId="21" fillId="0" borderId="0" xfId="0" applyFont="1" applyAlignment="1">
      <alignment horizontal="center"/>
    </xf>
    <xf numFmtId="0" fontId="35" fillId="5" borderId="9" xfId="1" applyFill="1" applyBorder="1" applyAlignment="1" applyProtection="1">
      <alignment horizontal="center" wrapText="1"/>
      <protection locked="0" hidden="1"/>
    </xf>
    <xf numFmtId="0" fontId="35" fillId="0" borderId="10" xfId="1" applyBorder="1" applyAlignment="1" applyProtection="1">
      <protection locked="0" hidden="1"/>
    </xf>
    <xf numFmtId="0" fontId="35" fillId="0" borderId="11" xfId="1" applyBorder="1" applyAlignment="1" applyProtection="1">
      <protection locked="0" hidden="1"/>
    </xf>
    <xf numFmtId="49" fontId="35" fillId="4" borderId="7" xfId="1" applyNumberFormat="1" applyFill="1" applyBorder="1" applyAlignment="1" applyProtection="1">
      <alignment horizontal="left"/>
      <protection locked="0"/>
    </xf>
    <xf numFmtId="49" fontId="0" fillId="0" borderId="7" xfId="0" applyNumberFormat="1" applyBorder="1" applyAlignment="1" applyProtection="1">
      <alignment horizontal="left"/>
      <protection locked="0"/>
    </xf>
    <xf numFmtId="49" fontId="35" fillId="4" borderId="7" xfId="1" applyNumberFormat="1" applyFill="1" applyBorder="1" applyAlignment="1" applyProtection="1">
      <protection locked="0"/>
    </xf>
    <xf numFmtId="49" fontId="0" fillId="0" borderId="7" xfId="0" applyNumberFormat="1" applyBorder="1" applyProtection="1">
      <protection locked="0"/>
    </xf>
    <xf numFmtId="0" fontId="9" fillId="27" borderId="12" xfId="0" applyFont="1" applyFill="1" applyBorder="1" applyAlignment="1" applyProtection="1">
      <alignment horizontal="left"/>
      <protection locked="0"/>
    </xf>
    <xf numFmtId="0" fontId="21" fillId="27" borderId="18" xfId="0" applyFont="1" applyFill="1" applyBorder="1" applyAlignment="1" applyProtection="1">
      <alignment horizontal="left"/>
      <protection locked="0"/>
    </xf>
    <xf numFmtId="0" fontId="21" fillId="27" borderId="13" xfId="0" applyFont="1" applyFill="1" applyBorder="1" applyAlignment="1" applyProtection="1">
      <alignment horizontal="left"/>
      <protection locked="0"/>
    </xf>
    <xf numFmtId="49" fontId="6" fillId="3" borderId="12" xfId="0" applyNumberFormat="1" applyFont="1" applyFill="1" applyBorder="1" applyAlignment="1" applyProtection="1">
      <alignment horizontal="center" vertical="center"/>
      <protection locked="0"/>
    </xf>
    <xf numFmtId="49" fontId="6" fillId="3" borderId="18" xfId="0" applyNumberFormat="1" applyFont="1" applyFill="1" applyBorder="1" applyAlignment="1" applyProtection="1">
      <alignment horizontal="center" vertical="center"/>
      <protection locked="0"/>
    </xf>
    <xf numFmtId="49" fontId="6" fillId="3" borderId="13" xfId="0" applyNumberFormat="1" applyFont="1" applyFill="1" applyBorder="1" applyAlignment="1" applyProtection="1">
      <alignment horizontal="center" vertical="center"/>
      <protection locked="0"/>
    </xf>
    <xf numFmtId="49" fontId="33" fillId="4" borderId="7" xfId="0" applyNumberFormat="1" applyFont="1" applyFill="1" applyBorder="1" applyAlignment="1" applyProtection="1">
      <alignment horizontal="left"/>
      <protection locked="0"/>
    </xf>
    <xf numFmtId="49" fontId="33" fillId="4" borderId="7" xfId="0" applyNumberFormat="1" applyFont="1" applyFill="1" applyBorder="1" applyProtection="1">
      <protection locked="0"/>
    </xf>
    <xf numFmtId="0" fontId="4" fillId="27" borderId="7" xfId="0" applyFont="1" applyFill="1" applyBorder="1" applyProtection="1">
      <protection locked="0"/>
    </xf>
    <xf numFmtId="0" fontId="6" fillId="27" borderId="7" xfId="0" applyFont="1" applyFill="1" applyBorder="1" applyProtection="1">
      <protection locked="0"/>
    </xf>
    <xf numFmtId="0" fontId="5" fillId="27" borderId="7" xfId="0" applyFont="1" applyFill="1" applyBorder="1" applyProtection="1">
      <protection locked="0"/>
    </xf>
    <xf numFmtId="0" fontId="24" fillId="2" borderId="0" xfId="0" applyFont="1" applyFill="1" applyAlignment="1">
      <alignment horizontal="center"/>
    </xf>
    <xf numFmtId="0" fontId="24" fillId="2" borderId="72" xfId="0" applyFont="1" applyFill="1" applyBorder="1" applyAlignment="1">
      <alignment horizontal="center"/>
    </xf>
    <xf numFmtId="0" fontId="24" fillId="2" borderId="32" xfId="0" applyFont="1" applyFill="1" applyBorder="1" applyAlignment="1">
      <alignment horizontal="center"/>
    </xf>
    <xf numFmtId="0" fontId="0" fillId="6" borderId="12" xfId="0" applyFill="1" applyBorder="1" applyAlignment="1">
      <alignment horizontal="left" wrapText="1"/>
    </xf>
    <xf numFmtId="0" fontId="0" fillId="6" borderId="13" xfId="0" applyFill="1" applyBorder="1" applyAlignment="1">
      <alignment horizontal="left" wrapText="1"/>
    </xf>
    <xf numFmtId="0" fontId="0" fillId="16" borderId="14" xfId="0" applyFill="1" applyBorder="1" applyAlignment="1" applyProtection="1">
      <alignment horizontal="left" vertical="top" wrapText="1"/>
      <protection locked="0"/>
    </xf>
    <xf numFmtId="0" fontId="0" fillId="2" borderId="12" xfId="0" applyFill="1" applyBorder="1" applyAlignment="1">
      <alignment horizontal="center" vertical="center"/>
    </xf>
    <xf numFmtId="0" fontId="0" fillId="2" borderId="18" xfId="0" applyFill="1" applyBorder="1" applyAlignment="1">
      <alignment horizontal="center" vertical="center"/>
    </xf>
    <xf numFmtId="0" fontId="0" fillId="2" borderId="13" xfId="0" applyFill="1" applyBorder="1" applyAlignment="1">
      <alignment horizontal="center" vertical="center"/>
    </xf>
    <xf numFmtId="0" fontId="0" fillId="16" borderId="1" xfId="0" applyFill="1" applyBorder="1" applyAlignment="1" applyProtection="1">
      <alignment horizontal="left" vertical="top" wrapText="1"/>
      <protection locked="0"/>
    </xf>
    <xf numFmtId="0" fontId="0" fillId="16" borderId="2" xfId="0" applyFill="1" applyBorder="1" applyAlignment="1" applyProtection="1">
      <alignment horizontal="left" vertical="top" wrapText="1"/>
      <protection locked="0"/>
    </xf>
    <xf numFmtId="0" fontId="0" fillId="16" borderId="3" xfId="0" applyFill="1" applyBorder="1" applyAlignment="1" applyProtection="1">
      <alignment horizontal="left" vertical="top" wrapText="1"/>
      <protection locked="0"/>
    </xf>
    <xf numFmtId="0" fontId="0" fillId="16" borderId="4" xfId="0" applyFill="1" applyBorder="1" applyAlignment="1" applyProtection="1">
      <alignment horizontal="left" vertical="top" wrapText="1"/>
      <protection locked="0"/>
    </xf>
    <xf numFmtId="0" fontId="0" fillId="16" borderId="0" xfId="0" applyFill="1" applyAlignment="1" applyProtection="1">
      <alignment horizontal="left" vertical="top" wrapText="1"/>
      <protection locked="0"/>
    </xf>
    <xf numFmtId="0" fontId="0" fillId="16" borderId="5" xfId="0" applyFill="1" applyBorder="1" applyAlignment="1" applyProtection="1">
      <alignment horizontal="left" vertical="top" wrapText="1"/>
      <protection locked="0"/>
    </xf>
    <xf numFmtId="0" fontId="0" fillId="16" borderId="6" xfId="0" applyFill="1" applyBorder="1" applyAlignment="1" applyProtection="1">
      <alignment horizontal="left" vertical="top" wrapText="1"/>
      <protection locked="0"/>
    </xf>
    <xf numFmtId="0" fontId="0" fillId="16" borderId="7" xfId="0" applyFill="1" applyBorder="1" applyAlignment="1" applyProtection="1">
      <alignment horizontal="left" vertical="top" wrapText="1"/>
      <protection locked="0"/>
    </xf>
    <xf numFmtId="0" fontId="0" fillId="16" borderId="8" xfId="0" applyFill="1" applyBorder="1" applyAlignment="1" applyProtection="1">
      <alignment horizontal="left" vertical="top" wrapText="1"/>
      <protection locked="0"/>
    </xf>
    <xf numFmtId="0" fontId="24" fillId="2" borderId="65" xfId="0" applyFont="1" applyFill="1" applyBorder="1" applyAlignment="1">
      <alignment horizontal="center"/>
    </xf>
    <xf numFmtId="0" fontId="24" fillId="2" borderId="59" xfId="0" applyFont="1" applyFill="1" applyBorder="1" applyAlignment="1">
      <alignment horizontal="center"/>
    </xf>
    <xf numFmtId="0" fontId="0" fillId="16" borderId="12" xfId="0" applyFill="1" applyBorder="1" applyAlignment="1" applyProtection="1">
      <alignment horizontal="left"/>
      <protection locked="0"/>
    </xf>
    <xf numFmtId="0" fontId="0" fillId="16" borderId="18" xfId="0" applyFill="1" applyBorder="1" applyAlignment="1" applyProtection="1">
      <alignment horizontal="left"/>
      <protection locked="0"/>
    </xf>
    <xf numFmtId="0" fontId="0" fillId="16" borderId="13" xfId="0" applyFill="1" applyBorder="1" applyAlignment="1" applyProtection="1">
      <alignment horizontal="left"/>
      <protection locked="0"/>
    </xf>
    <xf numFmtId="0" fontId="0" fillId="16" borderId="6" xfId="0" applyFill="1" applyBorder="1" applyAlignment="1" applyProtection="1">
      <alignment horizontal="left"/>
      <protection locked="0"/>
    </xf>
    <xf numFmtId="0" fontId="0" fillId="16" borderId="7" xfId="0" applyFill="1" applyBorder="1" applyAlignment="1" applyProtection="1">
      <alignment horizontal="left"/>
      <protection locked="0"/>
    </xf>
    <xf numFmtId="0" fontId="0" fillId="16" borderId="8" xfId="0" applyFill="1" applyBorder="1" applyAlignment="1" applyProtection="1">
      <alignment horizontal="left"/>
      <protection locked="0"/>
    </xf>
    <xf numFmtId="0" fontId="83" fillId="2" borderId="12" xfId="0" applyFont="1" applyFill="1" applyBorder="1" applyAlignment="1">
      <alignment horizontal="center" vertical="center"/>
    </xf>
    <xf numFmtId="0" fontId="83" fillId="2" borderId="18" xfId="0" applyFont="1" applyFill="1" applyBorder="1" applyAlignment="1">
      <alignment horizontal="center" vertical="center"/>
    </xf>
    <xf numFmtId="0" fontId="83" fillId="2" borderId="13" xfId="0" applyFont="1" applyFill="1" applyBorder="1" applyAlignment="1">
      <alignment horizontal="center" vertical="center"/>
    </xf>
    <xf numFmtId="0" fontId="0" fillId="2" borderId="12" xfId="0" applyFill="1" applyBorder="1" applyAlignment="1">
      <alignment horizontal="center"/>
    </xf>
    <xf numFmtId="0" fontId="0" fillId="2" borderId="18" xfId="0" applyFill="1" applyBorder="1" applyAlignment="1">
      <alignment horizontal="center"/>
    </xf>
    <xf numFmtId="0" fontId="0" fillId="2" borderId="13" xfId="0" applyFill="1" applyBorder="1" applyAlignment="1">
      <alignment horizontal="center"/>
    </xf>
    <xf numFmtId="0" fontId="24" fillId="2" borderId="76" xfId="0" applyFont="1" applyFill="1" applyBorder="1" applyAlignment="1">
      <alignment horizontal="left" vertical="center"/>
    </xf>
    <xf numFmtId="0" fontId="24" fillId="2" borderId="70" xfId="0" applyFont="1" applyFill="1" applyBorder="1" applyAlignment="1">
      <alignment horizontal="left" vertical="center"/>
    </xf>
    <xf numFmtId="0" fontId="35" fillId="5" borderId="9" xfId="1" applyFill="1" applyBorder="1" applyAlignment="1" applyProtection="1">
      <alignment horizontal="center" wrapText="1"/>
      <protection locked="0"/>
    </xf>
    <xf numFmtId="0" fontId="35" fillId="0" borderId="10" xfId="1" applyBorder="1" applyAlignment="1" applyProtection="1">
      <protection locked="0"/>
    </xf>
    <xf numFmtId="0" fontId="35" fillId="0" borderId="11" xfId="1" applyBorder="1" applyAlignment="1" applyProtection="1">
      <protection locked="0"/>
    </xf>
    <xf numFmtId="184" fontId="6" fillId="7" borderId="0" xfId="0" applyNumberFormat="1" applyFont="1" applyFill="1" applyAlignment="1" applyProtection="1">
      <alignment horizontal="left"/>
      <protection hidden="1"/>
    </xf>
    <xf numFmtId="0" fontId="6" fillId="0" borderId="0" xfId="0" applyFont="1" applyAlignment="1" applyProtection="1">
      <alignment horizontal="left" vertical="center" wrapText="1"/>
      <protection hidden="1"/>
    </xf>
    <xf numFmtId="0" fontId="6" fillId="6" borderId="12" xfId="0" applyFont="1" applyFill="1" applyBorder="1" applyAlignment="1" applyProtection="1">
      <alignment horizontal="left"/>
      <protection hidden="1"/>
    </xf>
    <xf numFmtId="0" fontId="6" fillId="6" borderId="13" xfId="0" applyFont="1" applyFill="1" applyBorder="1" applyAlignment="1" applyProtection="1">
      <alignment horizontal="left"/>
      <protection hidden="1"/>
    </xf>
    <xf numFmtId="0" fontId="6" fillId="6" borderId="0" xfId="0" applyFont="1" applyFill="1" applyAlignment="1" applyProtection="1">
      <alignment horizontal="center"/>
      <protection hidden="1"/>
    </xf>
    <xf numFmtId="0" fontId="6" fillId="7" borderId="0" xfId="0" applyFont="1" applyFill="1" applyAlignment="1" applyProtection="1">
      <alignment horizontal="left"/>
      <protection hidden="1"/>
    </xf>
    <xf numFmtId="0" fontId="24" fillId="2" borderId="1" xfId="0" applyFont="1" applyFill="1" applyBorder="1" applyAlignment="1" applyProtection="1">
      <alignment horizontal="center" vertical="center" wrapText="1"/>
      <protection hidden="1"/>
    </xf>
    <xf numFmtId="0" fontId="24" fillId="2" borderId="2" xfId="0" applyFont="1" applyFill="1" applyBorder="1" applyAlignment="1" applyProtection="1">
      <alignment horizontal="center" vertical="center" wrapText="1"/>
      <protection hidden="1"/>
    </xf>
    <xf numFmtId="0" fontId="24" fillId="2" borderId="3" xfId="0" applyFont="1" applyFill="1" applyBorder="1" applyAlignment="1" applyProtection="1">
      <alignment horizontal="center" vertical="center" wrapText="1"/>
      <protection hidden="1"/>
    </xf>
    <xf numFmtId="0" fontId="24" fillId="2" borderId="4" xfId="0" applyFont="1" applyFill="1" applyBorder="1" applyAlignment="1" applyProtection="1">
      <alignment horizontal="center" vertical="center" wrapText="1"/>
      <protection hidden="1"/>
    </xf>
    <xf numFmtId="0" fontId="24" fillId="2" borderId="0" xfId="0" applyFont="1" applyFill="1" applyAlignment="1" applyProtection="1">
      <alignment horizontal="center" vertical="center" wrapText="1"/>
      <protection hidden="1"/>
    </xf>
    <xf numFmtId="0" fontId="27" fillId="2" borderId="0" xfId="0" applyFont="1" applyFill="1" applyAlignment="1" applyProtection="1">
      <alignment horizontal="left"/>
      <protection hidden="1"/>
    </xf>
    <xf numFmtId="0" fontId="25" fillId="2" borderId="1" xfId="0" applyFont="1" applyFill="1" applyBorder="1" applyAlignment="1">
      <alignment horizontal="center"/>
    </xf>
    <xf numFmtId="0" fontId="25" fillId="2" borderId="2" xfId="0" applyFont="1" applyFill="1" applyBorder="1" applyAlignment="1">
      <alignment horizontal="center"/>
    </xf>
    <xf numFmtId="0" fontId="0" fillId="0" borderId="2" xfId="0" applyBorder="1"/>
    <xf numFmtId="0" fontId="0" fillId="0" borderId="3" xfId="0" applyBorder="1"/>
    <xf numFmtId="0" fontId="25" fillId="2" borderId="4" xfId="0" applyFont="1" applyFill="1" applyBorder="1" applyAlignment="1">
      <alignment horizontal="center"/>
    </xf>
    <xf numFmtId="0" fontId="25" fillId="2" borderId="0" xfId="0" applyFont="1" applyFill="1" applyAlignment="1">
      <alignment horizontal="center"/>
    </xf>
    <xf numFmtId="0" fontId="0" fillId="0" borderId="5" xfId="0" applyBorder="1"/>
    <xf numFmtId="0" fontId="26" fillId="2" borderId="4" xfId="0" applyFont="1" applyFill="1" applyBorder="1" applyAlignment="1">
      <alignment horizontal="center"/>
    </xf>
    <xf numFmtId="0" fontId="26" fillId="2" borderId="0" xfId="0" applyFont="1" applyFill="1" applyAlignment="1">
      <alignment horizontal="center"/>
    </xf>
    <xf numFmtId="0" fontId="33" fillId="2" borderId="4" xfId="0" applyFont="1" applyFill="1" applyBorder="1" applyAlignment="1">
      <alignment horizontal="center"/>
    </xf>
    <xf numFmtId="0" fontId="33" fillId="2" borderId="0" xfId="0" applyFont="1" applyFill="1" applyAlignment="1">
      <alignment horizontal="center"/>
    </xf>
    <xf numFmtId="0" fontId="16" fillId="0" borderId="0" xfId="0" applyFont="1"/>
    <xf numFmtId="0" fontId="16" fillId="0" borderId="5" xfId="0" applyFont="1" applyBorder="1"/>
    <xf numFmtId="0" fontId="10" fillId="15" borderId="0" xfId="0" applyFont="1" applyFill="1" applyAlignment="1">
      <alignment horizontal="left"/>
    </xf>
    <xf numFmtId="0" fontId="24" fillId="2" borderId="1" xfId="0" applyFont="1" applyFill="1" applyBorder="1" applyAlignment="1">
      <alignment horizontal="center"/>
    </xf>
    <xf numFmtId="0" fontId="24" fillId="2" borderId="2" xfId="0" applyFont="1" applyFill="1" applyBorder="1" applyAlignment="1">
      <alignment horizontal="center"/>
    </xf>
    <xf numFmtId="0" fontId="24" fillId="2" borderId="4" xfId="0" applyFont="1" applyFill="1" applyBorder="1" applyAlignment="1">
      <alignment horizontal="center"/>
    </xf>
    <xf numFmtId="0" fontId="10" fillId="2" borderId="0" xfId="0" applyFont="1" applyFill="1" applyAlignment="1">
      <alignment horizontal="left"/>
    </xf>
    <xf numFmtId="0" fontId="27" fillId="15" borderId="0" xfId="0" applyFont="1" applyFill="1" applyAlignment="1">
      <alignment horizontal="left"/>
    </xf>
    <xf numFmtId="0" fontId="27" fillId="15" borderId="12" xfId="0" applyFont="1" applyFill="1" applyBorder="1" applyAlignment="1">
      <alignment horizontal="left"/>
    </xf>
    <xf numFmtId="0" fontId="27" fillId="15" borderId="18" xfId="0" applyFont="1" applyFill="1" applyBorder="1" applyAlignment="1">
      <alignment horizontal="left"/>
    </xf>
    <xf numFmtId="0" fontId="27" fillId="15" borderId="13" xfId="0" applyFont="1" applyFill="1" applyBorder="1" applyAlignment="1">
      <alignment horizontal="left"/>
    </xf>
    <xf numFmtId="0" fontId="24" fillId="0" borderId="0" xfId="0" applyFont="1" applyAlignment="1">
      <alignment horizontal="left" vertical="top"/>
    </xf>
    <xf numFmtId="0" fontId="25" fillId="2" borderId="1" xfId="0" applyFont="1" applyFill="1" applyBorder="1" applyAlignment="1">
      <alignment wrapText="1"/>
    </xf>
    <xf numFmtId="0" fontId="25" fillId="2" borderId="2" xfId="0" applyFont="1" applyFill="1" applyBorder="1"/>
    <xf numFmtId="0" fontId="25" fillId="2" borderId="3" xfId="0" applyFont="1" applyFill="1" applyBorder="1"/>
    <xf numFmtId="0" fontId="25" fillId="2" borderId="4" xfId="0" applyFont="1" applyFill="1" applyBorder="1"/>
    <xf numFmtId="0" fontId="25" fillId="2" borderId="0" xfId="0" applyFont="1" applyFill="1"/>
    <xf numFmtId="0" fontId="25" fillId="2" borderId="5" xfId="0" applyFont="1" applyFill="1" applyBorder="1"/>
    <xf numFmtId="0" fontId="22" fillId="6" borderId="4" xfId="0" applyFont="1" applyFill="1" applyBorder="1"/>
    <xf numFmtId="44" fontId="0" fillId="8" borderId="1" xfId="2" applyFont="1" applyFill="1" applyBorder="1" applyAlignment="1">
      <alignment horizontal="center"/>
    </xf>
    <xf numFmtId="44" fontId="0" fillId="8" borderId="4" xfId="2" applyFont="1" applyFill="1" applyBorder="1" applyAlignment="1">
      <alignment horizontal="center"/>
    </xf>
  </cellXfs>
  <cellStyles count="18">
    <cellStyle name="40% - Akzent1 2" xfId="6" xr:uid="{00000000-0005-0000-0000-000000000000}"/>
    <cellStyle name="40% - Akzent3 2" xfId="7" xr:uid="{00000000-0005-0000-0000-000001000000}"/>
    <cellStyle name="Datum" xfId="8" xr:uid="{00000000-0005-0000-0000-000002000000}"/>
    <cellStyle name="Eingabe 2" xfId="4" xr:uid="{00000000-0005-0000-0000-000003000000}"/>
    <cellStyle name="Eingabe 2 2" xfId="9" xr:uid="{00000000-0005-0000-0000-000004000000}"/>
    <cellStyle name="Eingabe 3" xfId="10" xr:uid="{00000000-0005-0000-0000-000005000000}"/>
    <cellStyle name="Formelfeld" xfId="11" xr:uid="{00000000-0005-0000-0000-000006000000}"/>
    <cellStyle name="Formular" xfId="12" xr:uid="{00000000-0005-0000-0000-000007000000}"/>
    <cellStyle name="Link" xfId="1" builtinId="8"/>
    <cellStyle name="Prozent" xfId="3" builtinId="5"/>
    <cellStyle name="Prozent 2" xfId="5" xr:uid="{00000000-0005-0000-0000-00000A000000}"/>
    <cellStyle name="Standard" xfId="0" builtinId="0"/>
    <cellStyle name="Standard 2" xfId="13" xr:uid="{00000000-0005-0000-0000-00000C000000}"/>
    <cellStyle name="Standard 4" xfId="17" xr:uid="{00000000-0005-0000-0000-00000D000000}"/>
    <cellStyle name="Stunden" xfId="14" xr:uid="{00000000-0005-0000-0000-00000E000000}"/>
    <cellStyle name="Text" xfId="15" xr:uid="{00000000-0005-0000-0000-00000F000000}"/>
    <cellStyle name="VZK" xfId="16" xr:uid="{00000000-0005-0000-0000-000010000000}"/>
    <cellStyle name="Währung" xfId="2" builtinId="4"/>
  </cellStyles>
  <dxfs count="49">
    <dxf>
      <font>
        <color theme="0"/>
      </font>
      <fill>
        <patternFill patternType="none">
          <bgColor auto="1"/>
        </patternFill>
      </fill>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font>
      <fill>
        <patternFill>
          <bgColor theme="0"/>
        </patternFill>
      </fill>
      <border>
        <left/>
        <right/>
        <bottom/>
        <vertical/>
        <horizontal/>
      </border>
    </dxf>
    <dxf>
      <font>
        <color theme="0"/>
      </font>
      <fill>
        <patternFill>
          <fgColor theme="0"/>
          <bgColor theme="0"/>
        </patternFill>
      </fill>
      <border>
        <left/>
        <right/>
        <bottom/>
        <vertical/>
        <horizontal/>
      </border>
    </dxf>
    <dxf>
      <fill>
        <patternFill>
          <bgColor theme="0"/>
        </patternFill>
      </fill>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tint="-0.14996795556505021"/>
      </font>
      <fill>
        <patternFill>
          <bgColor theme="0" tint="-0.24994659260841701"/>
        </patternFill>
      </fill>
    </dxf>
    <dxf>
      <font>
        <color theme="0"/>
      </font>
      <fill>
        <patternFill>
          <bgColor theme="0"/>
        </patternFill>
      </fill>
      <border>
        <left/>
        <right/>
        <top/>
        <bottom/>
        <vertical/>
        <horizontal/>
      </border>
    </dxf>
    <dxf>
      <fill>
        <patternFill>
          <bgColor theme="0"/>
        </patternFill>
      </fill>
    </dxf>
    <dxf>
      <font>
        <color theme="0"/>
      </font>
      <fill>
        <patternFill>
          <fgColor theme="0"/>
          <bgColor theme="0"/>
        </patternFill>
      </fill>
      <border>
        <left/>
        <right/>
        <top/>
        <bottom/>
        <vertical/>
        <horizontal/>
      </border>
    </dxf>
    <dxf>
      <font>
        <color theme="0"/>
      </font>
      <fill>
        <patternFill>
          <fgColor theme="0"/>
          <bgColor theme="0"/>
        </patternFill>
      </fill>
      <border>
        <left style="thin">
          <color auto="1"/>
        </left>
        <right/>
        <top/>
        <bottom/>
        <vertical/>
        <horizontal/>
      </border>
    </dxf>
    <dxf>
      <font>
        <color theme="0"/>
      </font>
      <fill>
        <patternFill>
          <fgColor theme="0"/>
          <bgColor theme="0"/>
        </patternFill>
      </fill>
      <border>
        <left style="thin">
          <color auto="1"/>
        </left>
        <right/>
        <top/>
        <bottom/>
        <vertical/>
        <horizontal/>
      </border>
    </dxf>
    <dxf>
      <font>
        <color theme="0"/>
      </font>
      <fill>
        <patternFill>
          <fgColor theme="0"/>
          <bgColor theme="0"/>
        </patternFill>
      </fill>
      <border>
        <left/>
        <right style="thin">
          <color auto="1"/>
        </right>
        <top/>
        <bottom/>
        <vertical/>
        <horizontal/>
      </border>
    </dxf>
    <dxf>
      <font>
        <color theme="0"/>
      </font>
      <fill>
        <patternFill>
          <fgColor theme="0"/>
          <bgColor theme="0"/>
        </patternFill>
      </fill>
      <border>
        <left style="thin">
          <color auto="1"/>
        </left>
        <right/>
        <top/>
        <bottom/>
        <vertical/>
        <horizontal/>
      </border>
    </dxf>
    <dxf>
      <font>
        <color theme="0"/>
      </font>
      <fill>
        <patternFill>
          <fgColor theme="0"/>
          <bgColor theme="0"/>
        </patternFill>
      </fill>
      <border>
        <left style="thin">
          <color auto="1"/>
        </left>
        <right/>
        <top/>
        <bottom/>
        <vertical/>
        <horizontal/>
      </border>
    </dxf>
    <dxf>
      <fill>
        <patternFill>
          <bgColor theme="0"/>
        </patternFill>
      </fill>
    </dxf>
    <dxf>
      <font>
        <color theme="0"/>
      </font>
      <fill>
        <patternFill>
          <fgColor theme="0"/>
        </patternFill>
      </fill>
      <border>
        <vertical/>
        <horizontal/>
      </border>
    </dxf>
    <dxf>
      <font>
        <color theme="7" tint="0.79998168889431442"/>
      </font>
      <fill>
        <patternFill>
          <bgColor theme="7" tint="0.79998168889431442"/>
        </patternFill>
      </fill>
    </dxf>
    <dxf>
      <fill>
        <patternFill>
          <bgColor theme="0" tint="-4.9989318521683403E-2"/>
        </patternFill>
      </fill>
    </dxf>
    <dxf>
      <fill>
        <patternFill>
          <bgColor theme="0"/>
        </patternFill>
      </fill>
    </dxf>
  </dxfs>
  <tableStyles count="0" defaultTableStyle="TableStyleMedium2" defaultPivotStyle="PivotStyleLight16"/>
  <colors>
    <mruColors>
      <color rgb="FF99CCFF"/>
      <color rgb="FFFBF7A7"/>
      <color rgb="FFFFFF99"/>
      <color rgb="FFFBFD95"/>
      <color rgb="FFE7FBA7"/>
      <color rgb="FFCCECFF"/>
      <color rgb="FFFF33CC"/>
      <color rgb="FFFFF4CA"/>
      <color rgb="FFFFFFCC"/>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866775</xdr:colOff>
      <xdr:row>8</xdr:row>
      <xdr:rowOff>57151</xdr:rowOff>
    </xdr:from>
    <xdr:to>
      <xdr:col>4</xdr:col>
      <xdr:colOff>1790700</xdr:colOff>
      <xdr:row>9</xdr:row>
      <xdr:rowOff>18773</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0163175" y="28632151"/>
          <a:ext cx="923925" cy="6664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152400</xdr:colOff>
      <xdr:row>31</xdr:row>
      <xdr:rowOff>19050</xdr:rowOff>
    </xdr:from>
    <xdr:to>
      <xdr:col>8</xdr:col>
      <xdr:colOff>323850</xdr:colOff>
      <xdr:row>31</xdr:row>
      <xdr:rowOff>64769</xdr:rowOff>
    </xdr:to>
    <xdr:sp macro="" textlink="">
      <xdr:nvSpPr>
        <xdr:cNvPr id="2" name="Pfeil nach links 1">
          <a:extLst>
            <a:ext uri="{FF2B5EF4-FFF2-40B4-BE49-F238E27FC236}">
              <a16:creationId xmlns:a16="http://schemas.microsoft.com/office/drawing/2014/main" id="{00000000-0008-0000-0700-000002000000}"/>
            </a:ext>
          </a:extLst>
        </xdr:cNvPr>
        <xdr:cNvSpPr/>
      </xdr:nvSpPr>
      <xdr:spPr>
        <a:xfrm>
          <a:off x="13077825" y="1048702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161925</xdr:colOff>
      <xdr:row>32</xdr:row>
      <xdr:rowOff>19050</xdr:rowOff>
    </xdr:from>
    <xdr:to>
      <xdr:col>8</xdr:col>
      <xdr:colOff>333375</xdr:colOff>
      <xdr:row>32</xdr:row>
      <xdr:rowOff>64769</xdr:rowOff>
    </xdr:to>
    <xdr:sp macro="" textlink="">
      <xdr:nvSpPr>
        <xdr:cNvPr id="3" name="Pfeil nach links 2">
          <a:extLst>
            <a:ext uri="{FF2B5EF4-FFF2-40B4-BE49-F238E27FC236}">
              <a16:creationId xmlns:a16="http://schemas.microsoft.com/office/drawing/2014/main" id="{00000000-0008-0000-0700-000003000000}"/>
            </a:ext>
          </a:extLst>
        </xdr:cNvPr>
        <xdr:cNvSpPr/>
      </xdr:nvSpPr>
      <xdr:spPr>
        <a:xfrm>
          <a:off x="13087350" y="1064895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152400</xdr:colOff>
      <xdr:row>33</xdr:row>
      <xdr:rowOff>28575</xdr:rowOff>
    </xdr:from>
    <xdr:to>
      <xdr:col>8</xdr:col>
      <xdr:colOff>323850</xdr:colOff>
      <xdr:row>33</xdr:row>
      <xdr:rowOff>74294</xdr:rowOff>
    </xdr:to>
    <xdr:sp macro="" textlink="">
      <xdr:nvSpPr>
        <xdr:cNvPr id="4" name="Pfeil nach links 3">
          <a:extLst>
            <a:ext uri="{FF2B5EF4-FFF2-40B4-BE49-F238E27FC236}">
              <a16:creationId xmlns:a16="http://schemas.microsoft.com/office/drawing/2014/main" id="{00000000-0008-0000-0700-000004000000}"/>
            </a:ext>
          </a:extLst>
        </xdr:cNvPr>
        <xdr:cNvSpPr/>
      </xdr:nvSpPr>
      <xdr:spPr>
        <a:xfrm>
          <a:off x="13077825" y="1082040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171450</xdr:colOff>
      <xdr:row>34</xdr:row>
      <xdr:rowOff>19050</xdr:rowOff>
    </xdr:from>
    <xdr:to>
      <xdr:col>8</xdr:col>
      <xdr:colOff>342900</xdr:colOff>
      <xdr:row>34</xdr:row>
      <xdr:rowOff>64769</xdr:rowOff>
    </xdr:to>
    <xdr:sp macro="" textlink="">
      <xdr:nvSpPr>
        <xdr:cNvPr id="5" name="Pfeil nach links 4">
          <a:extLst>
            <a:ext uri="{FF2B5EF4-FFF2-40B4-BE49-F238E27FC236}">
              <a16:creationId xmlns:a16="http://schemas.microsoft.com/office/drawing/2014/main" id="{00000000-0008-0000-0700-000005000000}"/>
            </a:ext>
          </a:extLst>
        </xdr:cNvPr>
        <xdr:cNvSpPr/>
      </xdr:nvSpPr>
      <xdr:spPr>
        <a:xfrm>
          <a:off x="13096875" y="1097280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830580</xdr:colOff>
          <xdr:row>41</xdr:row>
          <xdr:rowOff>38100</xdr:rowOff>
        </xdr:from>
        <xdr:to>
          <xdr:col>9</xdr:col>
          <xdr:colOff>68580</xdr:colOff>
          <xdr:row>43</xdr:row>
          <xdr:rowOff>68580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48</xdr:row>
          <xdr:rowOff>137160</xdr:rowOff>
        </xdr:from>
        <xdr:to>
          <xdr:col>12</xdr:col>
          <xdr:colOff>487680</xdr:colOff>
          <xdr:row>50</xdr:row>
          <xdr:rowOff>68580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8" Type="http://schemas.openxmlformats.org/officeDocument/2006/relationships/hyperlink" Target="mailto:pflege@pkv.de" TargetMode="External"/><Relationship Id="rId3" Type="http://schemas.openxmlformats.org/officeDocument/2006/relationships/hyperlink" Target="mailto:verguetung-pflege.sac@vdek.com" TargetMode="External"/><Relationship Id="rId7" Type="http://schemas.openxmlformats.org/officeDocument/2006/relationships/hyperlink" Target="mailto:Pflege-SN@bkkmitte.de" TargetMode="External"/><Relationship Id="rId2" Type="http://schemas.openxmlformats.org/officeDocument/2006/relationships/hyperlink" Target="mailto:pflegesatzverhandlungen_sachsen@plus.aok.de" TargetMode="External"/><Relationship Id="rId1" Type="http://schemas.openxmlformats.org/officeDocument/2006/relationships/hyperlink" Target="mailto:vereinbarungen-pflege@ksv-sachsen.de" TargetMode="External"/><Relationship Id="rId6" Type="http://schemas.openxmlformats.org/officeDocument/2006/relationships/hyperlink" Target="mailto:vertrag.chemnitz@kbs.de" TargetMode="External"/><Relationship Id="rId5" Type="http://schemas.openxmlformats.org/officeDocument/2006/relationships/hyperlink" Target="mailto:pflegeverhandlungen-sachsen@ikk-classic.de" TargetMode="External"/><Relationship Id="rId4" Type="http://schemas.openxmlformats.org/officeDocument/2006/relationships/hyperlink" Target="mailto:pflegesatzverhandlungen_sachsen@barme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93"/>
  <sheetViews>
    <sheetView showGridLines="0" workbookViewId="0">
      <pane ySplit="5" topLeftCell="A79" activePane="bottomLeft" state="frozen"/>
      <selection pane="bottomLeft" activeCell="C97" sqref="C97"/>
    </sheetView>
  </sheetViews>
  <sheetFormatPr baseColWidth="10" defaultRowHeight="13.8" x14ac:dyDescent="0.25"/>
  <cols>
    <col min="1" max="1" width="10.59765625" customWidth="1"/>
    <col min="2" max="2" width="17.69921875" customWidth="1"/>
    <col min="3" max="3" width="42.5" customWidth="1"/>
    <col min="4" max="4" width="51.09765625" customWidth="1"/>
    <col min="5" max="5" width="38.3984375" customWidth="1"/>
  </cols>
  <sheetData>
    <row r="1" spans="1:5" x14ac:dyDescent="0.25">
      <c r="A1" s="463"/>
      <c r="B1" s="464"/>
      <c r="C1" s="464"/>
      <c r="D1" s="464"/>
      <c r="E1" s="464"/>
    </row>
    <row r="2" spans="1:5" ht="22.8" x14ac:dyDescent="0.25">
      <c r="A2" s="465" t="s">
        <v>491</v>
      </c>
      <c r="B2" s="456"/>
      <c r="C2" s="456"/>
      <c r="D2" s="456"/>
      <c r="E2" s="464"/>
    </row>
    <row r="3" spans="1:5" x14ac:dyDescent="0.25">
      <c r="A3" s="463"/>
      <c r="B3" s="456"/>
      <c r="C3" s="456"/>
      <c r="D3" s="456"/>
      <c r="E3" s="464"/>
    </row>
    <row r="5" spans="1:5" ht="26.4" x14ac:dyDescent="0.25">
      <c r="A5" s="466" t="s">
        <v>337</v>
      </c>
      <c r="B5" s="466" t="s">
        <v>329</v>
      </c>
      <c r="C5" s="466" t="s">
        <v>330</v>
      </c>
      <c r="D5" s="466" t="s">
        <v>331</v>
      </c>
      <c r="E5" s="466" t="s">
        <v>336</v>
      </c>
    </row>
    <row r="6" spans="1:5" ht="66" x14ac:dyDescent="0.25">
      <c r="A6" s="932">
        <v>45097</v>
      </c>
      <c r="B6" s="931" t="s">
        <v>314</v>
      </c>
      <c r="C6" s="487" t="s">
        <v>347</v>
      </c>
      <c r="D6" s="488" t="s">
        <v>348</v>
      </c>
      <c r="E6" s="488" t="s">
        <v>349</v>
      </c>
    </row>
    <row r="7" spans="1:5" ht="52.8" x14ac:dyDescent="0.25">
      <c r="A7" s="932"/>
      <c r="B7" s="931"/>
      <c r="C7" s="487" t="s">
        <v>350</v>
      </c>
      <c r="D7" s="488" t="s">
        <v>351</v>
      </c>
      <c r="E7" s="488" t="s">
        <v>352</v>
      </c>
    </row>
    <row r="8" spans="1:5" x14ac:dyDescent="0.25">
      <c r="A8" s="489">
        <v>45110</v>
      </c>
      <c r="B8" s="477" t="s">
        <v>0</v>
      </c>
      <c r="C8" s="478" t="s">
        <v>353</v>
      </c>
      <c r="D8" s="479" t="s">
        <v>354</v>
      </c>
      <c r="E8" s="480"/>
    </row>
    <row r="9" spans="1:5" ht="55.5" customHeight="1" x14ac:dyDescent="0.25">
      <c r="A9" s="490">
        <v>45155</v>
      </c>
      <c r="B9" s="481" t="s">
        <v>0</v>
      </c>
      <c r="C9" s="481" t="s">
        <v>335</v>
      </c>
      <c r="D9" s="482" t="s">
        <v>355</v>
      </c>
      <c r="E9" s="483" t="s">
        <v>356</v>
      </c>
    </row>
    <row r="10" spans="1:5" ht="14.25" customHeight="1" x14ac:dyDescent="0.25">
      <c r="A10" s="938">
        <v>45159</v>
      </c>
      <c r="B10" s="939" t="s">
        <v>0</v>
      </c>
      <c r="C10" s="573" t="s">
        <v>361</v>
      </c>
      <c r="D10" s="574"/>
      <c r="E10" s="936" t="s">
        <v>371</v>
      </c>
    </row>
    <row r="11" spans="1:5" x14ac:dyDescent="0.25">
      <c r="A11" s="938"/>
      <c r="B11" s="939"/>
      <c r="C11" s="575" t="s">
        <v>362</v>
      </c>
      <c r="D11" s="576" t="s">
        <v>364</v>
      </c>
      <c r="E11" s="937"/>
    </row>
    <row r="12" spans="1:5" x14ac:dyDescent="0.25">
      <c r="A12" s="938"/>
      <c r="B12" s="939"/>
      <c r="C12" s="575" t="s">
        <v>363</v>
      </c>
      <c r="D12" s="576" t="s">
        <v>372</v>
      </c>
      <c r="E12" s="937"/>
    </row>
    <row r="13" spans="1:5" x14ac:dyDescent="0.25">
      <c r="A13" s="938"/>
      <c r="B13" s="939"/>
      <c r="C13" s="575" t="s">
        <v>365</v>
      </c>
      <c r="D13" s="576" t="s">
        <v>358</v>
      </c>
      <c r="E13" s="937"/>
    </row>
    <row r="14" spans="1:5" x14ac:dyDescent="0.25">
      <c r="A14" s="938"/>
      <c r="B14" s="939"/>
      <c r="C14" s="575" t="s">
        <v>366</v>
      </c>
      <c r="D14" s="576" t="s">
        <v>367</v>
      </c>
      <c r="E14" s="937"/>
    </row>
    <row r="15" spans="1:5" x14ac:dyDescent="0.25">
      <c r="A15" s="938"/>
      <c r="B15" s="939"/>
      <c r="C15" s="575" t="s">
        <v>368</v>
      </c>
      <c r="D15" s="576" t="s">
        <v>369</v>
      </c>
      <c r="E15" s="937"/>
    </row>
    <row r="16" spans="1:5" x14ac:dyDescent="0.25">
      <c r="A16" s="938"/>
      <c r="B16" s="939"/>
      <c r="C16" s="575" t="s">
        <v>370</v>
      </c>
      <c r="D16" s="576" t="s">
        <v>367</v>
      </c>
      <c r="E16" s="937"/>
    </row>
    <row r="17" spans="1:9" ht="26.4" x14ac:dyDescent="0.25">
      <c r="A17" s="938"/>
      <c r="B17" s="939"/>
      <c r="C17" s="575" t="s">
        <v>373</v>
      </c>
      <c r="D17" s="577" t="s">
        <v>374</v>
      </c>
      <c r="E17" s="937"/>
    </row>
    <row r="18" spans="1:9" ht="26.4" x14ac:dyDescent="0.25">
      <c r="A18" s="938"/>
      <c r="B18" s="939"/>
      <c r="C18" s="578" t="s">
        <v>375</v>
      </c>
      <c r="D18" s="579" t="s">
        <v>376</v>
      </c>
      <c r="E18" s="579" t="s">
        <v>377</v>
      </c>
    </row>
    <row r="19" spans="1:9" ht="41.25" customHeight="1" x14ac:dyDescent="0.25">
      <c r="A19" s="952">
        <v>45159</v>
      </c>
      <c r="B19" s="939" t="s">
        <v>332</v>
      </c>
      <c r="C19" s="950" t="s">
        <v>378</v>
      </c>
      <c r="D19" s="491" t="s">
        <v>391</v>
      </c>
      <c r="E19" s="948"/>
      <c r="F19" s="475"/>
      <c r="G19" s="475"/>
      <c r="H19" s="475"/>
      <c r="I19" s="475"/>
    </row>
    <row r="20" spans="1:9" ht="34.5" customHeight="1" x14ac:dyDescent="0.25">
      <c r="A20" s="952"/>
      <c r="B20" s="939"/>
      <c r="C20" s="951"/>
      <c r="D20" s="492" t="s">
        <v>379</v>
      </c>
      <c r="E20" s="949"/>
      <c r="F20" s="454"/>
      <c r="G20" s="454"/>
      <c r="H20" s="454"/>
      <c r="I20" s="454"/>
    </row>
    <row r="21" spans="1:9" x14ac:dyDescent="0.25">
      <c r="A21" s="952"/>
      <c r="B21" s="939"/>
      <c r="C21" s="951"/>
      <c r="D21" s="493" t="s">
        <v>357</v>
      </c>
      <c r="E21" s="949"/>
      <c r="F21" s="455"/>
      <c r="G21" s="455"/>
      <c r="H21" s="455"/>
      <c r="I21" s="455"/>
    </row>
    <row r="22" spans="1:9" ht="76.5" customHeight="1" x14ac:dyDescent="0.25">
      <c r="A22" s="952"/>
      <c r="B22" s="939"/>
      <c r="C22" s="951"/>
      <c r="D22" s="494" t="s">
        <v>381</v>
      </c>
      <c r="E22" s="949"/>
    </row>
    <row r="23" spans="1:9" ht="39.6" x14ac:dyDescent="0.25">
      <c r="A23" s="952"/>
      <c r="B23" s="939"/>
      <c r="C23" s="495" t="s">
        <v>380</v>
      </c>
      <c r="D23" s="486"/>
      <c r="E23" s="498"/>
    </row>
    <row r="24" spans="1:9" x14ac:dyDescent="0.25">
      <c r="A24" s="952"/>
      <c r="B24" s="939"/>
      <c r="C24" s="495" t="s">
        <v>382</v>
      </c>
      <c r="D24" s="486"/>
      <c r="E24" s="498"/>
    </row>
    <row r="25" spans="1:9" x14ac:dyDescent="0.25">
      <c r="A25" s="952"/>
      <c r="B25" s="939"/>
      <c r="C25" s="496" t="s">
        <v>392</v>
      </c>
      <c r="D25" s="497"/>
      <c r="E25" s="499"/>
    </row>
    <row r="26" spans="1:9" ht="79.2" x14ac:dyDescent="0.25">
      <c r="A26" s="942">
        <v>45174</v>
      </c>
      <c r="B26" s="484" t="s">
        <v>332</v>
      </c>
      <c r="C26" s="485" t="s">
        <v>383</v>
      </c>
      <c r="D26" s="485" t="s">
        <v>384</v>
      </c>
      <c r="E26" s="945" t="s">
        <v>388</v>
      </c>
    </row>
    <row r="27" spans="1:9" ht="26.4" x14ac:dyDescent="0.25">
      <c r="A27" s="943"/>
      <c r="B27" s="940" t="s">
        <v>0</v>
      </c>
      <c r="C27" s="500" t="s">
        <v>385</v>
      </c>
      <c r="D27" s="500" t="s">
        <v>389</v>
      </c>
      <c r="E27" s="946"/>
    </row>
    <row r="28" spans="1:9" ht="26.4" x14ac:dyDescent="0.25">
      <c r="A28" s="944"/>
      <c r="B28" s="941"/>
      <c r="C28" s="501" t="s">
        <v>387</v>
      </c>
      <c r="D28" s="502" t="s">
        <v>386</v>
      </c>
      <c r="E28" s="947"/>
    </row>
    <row r="29" spans="1:9" x14ac:dyDescent="0.25">
      <c r="A29" s="594">
        <v>45272</v>
      </c>
      <c r="B29" s="571" t="s">
        <v>394</v>
      </c>
      <c r="C29" s="564"/>
      <c r="D29" s="564"/>
      <c r="E29" s="565"/>
    </row>
    <row r="30" spans="1:9" ht="26.4" x14ac:dyDescent="0.25">
      <c r="A30" s="933" t="s">
        <v>478</v>
      </c>
      <c r="B30" s="928" t="s">
        <v>396</v>
      </c>
      <c r="C30" s="620" t="s">
        <v>397</v>
      </c>
      <c r="D30" s="580" t="s">
        <v>398</v>
      </c>
      <c r="E30" s="620"/>
    </row>
    <row r="31" spans="1:9" ht="26.4" x14ac:dyDescent="0.25">
      <c r="A31" s="934"/>
      <c r="B31" s="929"/>
      <c r="C31" s="621" t="s">
        <v>399</v>
      </c>
      <c r="D31" s="581" t="s">
        <v>400</v>
      </c>
      <c r="E31" s="621" t="s">
        <v>403</v>
      </c>
    </row>
    <row r="32" spans="1:9" x14ac:dyDescent="0.25">
      <c r="A32" s="934"/>
      <c r="B32" s="929"/>
      <c r="C32" s="621" t="s">
        <v>401</v>
      </c>
      <c r="D32" s="581" t="s">
        <v>402</v>
      </c>
      <c r="E32" s="621" t="s">
        <v>404</v>
      </c>
    </row>
    <row r="33" spans="1:5" x14ac:dyDescent="0.25">
      <c r="A33" s="934"/>
      <c r="B33" s="572"/>
      <c r="C33" s="622" t="s">
        <v>405</v>
      </c>
      <c r="D33" s="582" t="s">
        <v>406</v>
      </c>
      <c r="E33" s="622"/>
    </row>
    <row r="34" spans="1:5" x14ac:dyDescent="0.25">
      <c r="A34" s="934"/>
      <c r="B34" s="928" t="s">
        <v>395</v>
      </c>
      <c r="C34" s="623" t="s">
        <v>407</v>
      </c>
      <c r="D34" s="580" t="s">
        <v>410</v>
      </c>
      <c r="E34" s="624"/>
    </row>
    <row r="35" spans="1:5" x14ac:dyDescent="0.25">
      <c r="A35" s="934"/>
      <c r="B35" s="929"/>
      <c r="C35" s="625" t="s">
        <v>408</v>
      </c>
      <c r="D35" s="581" t="s">
        <v>409</v>
      </c>
      <c r="E35" s="626"/>
    </row>
    <row r="36" spans="1:5" x14ac:dyDescent="0.25">
      <c r="A36" s="934"/>
      <c r="B36" s="929"/>
      <c r="C36" s="625" t="s">
        <v>411</v>
      </c>
      <c r="D36" s="581" t="s">
        <v>412</v>
      </c>
      <c r="E36" s="626"/>
    </row>
    <row r="37" spans="1:5" ht="26.4" x14ac:dyDescent="0.25">
      <c r="A37" s="934"/>
      <c r="B37" s="929"/>
      <c r="C37" s="625" t="s">
        <v>338</v>
      </c>
      <c r="D37" s="581" t="s">
        <v>413</v>
      </c>
      <c r="E37" s="626"/>
    </row>
    <row r="38" spans="1:5" x14ac:dyDescent="0.25">
      <c r="A38" s="934"/>
      <c r="B38" s="929"/>
      <c r="C38" s="625" t="s">
        <v>414</v>
      </c>
      <c r="D38" s="581" t="s">
        <v>415</v>
      </c>
      <c r="E38" s="626"/>
    </row>
    <row r="39" spans="1:5" x14ac:dyDescent="0.25">
      <c r="A39" s="934"/>
      <c r="B39" s="929"/>
      <c r="C39" s="625" t="s">
        <v>416</v>
      </c>
      <c r="D39" s="581" t="s">
        <v>417</v>
      </c>
      <c r="E39" s="626"/>
    </row>
    <row r="40" spans="1:5" x14ac:dyDescent="0.25">
      <c r="A40" s="934"/>
      <c r="B40" s="929"/>
      <c r="C40" s="625" t="s">
        <v>344</v>
      </c>
      <c r="D40" s="581" t="s">
        <v>418</v>
      </c>
      <c r="E40" s="626"/>
    </row>
    <row r="41" spans="1:5" ht="39.6" x14ac:dyDescent="0.25">
      <c r="A41" s="934"/>
      <c r="B41" s="929"/>
      <c r="C41" s="625" t="s">
        <v>461</v>
      </c>
      <c r="D41" s="581" t="s">
        <v>462</v>
      </c>
      <c r="E41" s="626"/>
    </row>
    <row r="42" spans="1:5" x14ac:dyDescent="0.25">
      <c r="A42" s="934"/>
      <c r="B42" s="929"/>
      <c r="C42" s="625" t="s">
        <v>345</v>
      </c>
      <c r="D42" s="581" t="s">
        <v>463</v>
      </c>
      <c r="E42" s="626"/>
    </row>
    <row r="43" spans="1:5" x14ac:dyDescent="0.25">
      <c r="A43" s="934"/>
      <c r="B43" s="929"/>
      <c r="C43" s="625" t="s">
        <v>464</v>
      </c>
      <c r="D43" s="581" t="s">
        <v>465</v>
      </c>
      <c r="E43" s="626"/>
    </row>
    <row r="44" spans="1:5" ht="26.4" x14ac:dyDescent="0.25">
      <c r="A44" s="934"/>
      <c r="B44" s="929"/>
      <c r="C44" s="625" t="s">
        <v>469</v>
      </c>
      <c r="D44" s="581" t="s">
        <v>470</v>
      </c>
      <c r="E44" s="626"/>
    </row>
    <row r="45" spans="1:5" x14ac:dyDescent="0.25">
      <c r="A45" s="934"/>
      <c r="B45" s="929"/>
      <c r="C45" s="625" t="s">
        <v>466</v>
      </c>
      <c r="D45" s="581" t="s">
        <v>467</v>
      </c>
      <c r="E45" s="626"/>
    </row>
    <row r="46" spans="1:5" ht="26.4" x14ac:dyDescent="0.25">
      <c r="A46" s="934"/>
      <c r="B46" s="929"/>
      <c r="C46" s="625" t="s">
        <v>468</v>
      </c>
      <c r="D46" s="581" t="s">
        <v>476</v>
      </c>
      <c r="E46" s="626"/>
    </row>
    <row r="47" spans="1:5" x14ac:dyDescent="0.25">
      <c r="A47" s="934"/>
      <c r="B47" s="929"/>
      <c r="C47" s="625" t="s">
        <v>471</v>
      </c>
      <c r="D47" s="581" t="s">
        <v>472</v>
      </c>
      <c r="E47" s="626"/>
    </row>
    <row r="48" spans="1:5" ht="26.4" x14ac:dyDescent="0.25">
      <c r="A48" s="934"/>
      <c r="B48" s="929"/>
      <c r="C48" s="625" t="s">
        <v>473</v>
      </c>
      <c r="D48" s="581" t="s">
        <v>474</v>
      </c>
      <c r="E48" s="626"/>
    </row>
    <row r="49" spans="1:5" x14ac:dyDescent="0.25">
      <c r="A49" s="934"/>
      <c r="B49" s="930"/>
      <c r="C49" s="627" t="s">
        <v>479</v>
      </c>
      <c r="D49" s="582" t="s">
        <v>480</v>
      </c>
      <c r="E49" s="628"/>
    </row>
    <row r="50" spans="1:5" x14ac:dyDescent="0.25">
      <c r="A50" s="934"/>
      <c r="B50" s="583" t="s">
        <v>475</v>
      </c>
      <c r="C50" s="583" t="s">
        <v>477</v>
      </c>
      <c r="D50" s="583"/>
      <c r="E50" s="587"/>
    </row>
    <row r="51" spans="1:5" x14ac:dyDescent="0.25">
      <c r="A51" s="935"/>
      <c r="B51" s="584" t="s">
        <v>482</v>
      </c>
      <c r="C51" s="585" t="s">
        <v>483</v>
      </c>
      <c r="D51" s="584" t="s">
        <v>485</v>
      </c>
      <c r="E51" s="152"/>
    </row>
    <row r="52" spans="1:5" x14ac:dyDescent="0.25">
      <c r="A52" s="925">
        <v>45280</v>
      </c>
      <c r="B52" s="588" t="s">
        <v>396</v>
      </c>
      <c r="C52" s="593" t="s">
        <v>486</v>
      </c>
      <c r="D52" s="593" t="s">
        <v>484</v>
      </c>
      <c r="E52" s="589"/>
    </row>
    <row r="53" spans="1:5" x14ac:dyDescent="0.25">
      <c r="A53" s="926"/>
      <c r="B53" s="590" t="s">
        <v>395</v>
      </c>
      <c r="C53" s="591" t="s">
        <v>487</v>
      </c>
      <c r="D53" s="590" t="s">
        <v>488</v>
      </c>
      <c r="E53" s="592"/>
    </row>
    <row r="54" spans="1:5" x14ac:dyDescent="0.25">
      <c r="A54" s="927"/>
      <c r="B54" s="584" t="s">
        <v>475</v>
      </c>
      <c r="C54" s="585" t="s">
        <v>489</v>
      </c>
      <c r="D54" s="584" t="s">
        <v>490</v>
      </c>
      <c r="E54" s="586"/>
    </row>
    <row r="55" spans="1:5" x14ac:dyDescent="0.25">
      <c r="A55" s="630">
        <v>45541</v>
      </c>
      <c r="B55" s="631" t="s">
        <v>493</v>
      </c>
      <c r="C55" s="631" t="s">
        <v>494</v>
      </c>
      <c r="D55" s="631" t="s">
        <v>495</v>
      </c>
      <c r="E55" s="631"/>
    </row>
    <row r="56" spans="1:5" x14ac:dyDescent="0.25">
      <c r="A56" s="634">
        <v>45609</v>
      </c>
      <c r="B56" s="635" t="s">
        <v>508</v>
      </c>
      <c r="C56" s="636" t="s">
        <v>509</v>
      </c>
      <c r="D56" s="635" t="s">
        <v>510</v>
      </c>
      <c r="E56" s="635"/>
    </row>
    <row r="57" spans="1:5" x14ac:dyDescent="0.25">
      <c r="A57" s="631"/>
      <c r="B57" s="631"/>
      <c r="C57" s="632" t="s">
        <v>511</v>
      </c>
      <c r="D57" s="631" t="s">
        <v>512</v>
      </c>
      <c r="E57" s="631"/>
    </row>
    <row r="58" spans="1:5" x14ac:dyDescent="0.25">
      <c r="A58" s="631"/>
      <c r="B58" s="631" t="s">
        <v>395</v>
      </c>
      <c r="C58" s="632" t="s">
        <v>345</v>
      </c>
      <c r="D58" s="631" t="s">
        <v>516</v>
      </c>
      <c r="E58" s="631"/>
    </row>
    <row r="59" spans="1:5" x14ac:dyDescent="0.25">
      <c r="A59" s="631"/>
      <c r="B59" s="631"/>
      <c r="C59" s="632" t="s">
        <v>464</v>
      </c>
      <c r="D59" s="631" t="s">
        <v>517</v>
      </c>
      <c r="E59" s="631"/>
    </row>
    <row r="60" spans="1:5" x14ac:dyDescent="0.25">
      <c r="A60" s="631"/>
      <c r="B60" s="631" t="s">
        <v>547</v>
      </c>
      <c r="C60" s="632" t="s">
        <v>520</v>
      </c>
      <c r="D60" s="631" t="s">
        <v>521</v>
      </c>
      <c r="E60" s="631"/>
    </row>
    <row r="61" spans="1:5" x14ac:dyDescent="0.25">
      <c r="A61" s="631"/>
      <c r="B61" s="631" t="s">
        <v>395</v>
      </c>
      <c r="C61" s="631" t="s">
        <v>513</v>
      </c>
      <c r="D61" s="631" t="s">
        <v>523</v>
      </c>
      <c r="E61" s="631"/>
    </row>
    <row r="62" spans="1:5" x14ac:dyDescent="0.25">
      <c r="A62" s="631"/>
      <c r="B62" s="631" t="s">
        <v>547</v>
      </c>
      <c r="C62" s="632" t="s">
        <v>518</v>
      </c>
      <c r="D62" s="631" t="s">
        <v>519</v>
      </c>
      <c r="E62" s="631"/>
    </row>
    <row r="63" spans="1:5" ht="26.4" x14ac:dyDescent="0.25">
      <c r="A63" s="631"/>
      <c r="B63" s="631" t="s">
        <v>395</v>
      </c>
      <c r="C63" s="632" t="s">
        <v>522</v>
      </c>
      <c r="D63" s="633" t="s">
        <v>558</v>
      </c>
      <c r="E63" s="631"/>
    </row>
    <row r="64" spans="1:5" x14ac:dyDescent="0.25">
      <c r="A64" s="631"/>
      <c r="B64" s="631"/>
      <c r="C64" s="632" t="s">
        <v>524</v>
      </c>
      <c r="D64" s="631" t="s">
        <v>525</v>
      </c>
      <c r="E64" s="631"/>
    </row>
    <row r="65" spans="1:5" x14ac:dyDescent="0.25">
      <c r="A65" s="631"/>
      <c r="B65" s="631"/>
      <c r="C65" s="632" t="s">
        <v>526</v>
      </c>
      <c r="D65" s="631" t="s">
        <v>529</v>
      </c>
      <c r="E65" s="631"/>
    </row>
    <row r="66" spans="1:5" x14ac:dyDescent="0.25">
      <c r="A66" s="631"/>
      <c r="B66" s="631"/>
      <c r="C66" s="632" t="s">
        <v>527</v>
      </c>
      <c r="D66" s="631" t="s">
        <v>528</v>
      </c>
      <c r="E66" s="631"/>
    </row>
    <row r="67" spans="1:5" x14ac:dyDescent="0.25">
      <c r="A67" s="631"/>
      <c r="B67" s="631"/>
      <c r="C67" s="632" t="s">
        <v>530</v>
      </c>
      <c r="D67" s="631" t="s">
        <v>533</v>
      </c>
      <c r="E67" s="631"/>
    </row>
    <row r="68" spans="1:5" x14ac:dyDescent="0.25">
      <c r="A68" s="631"/>
      <c r="B68" s="631"/>
      <c r="C68" s="632" t="s">
        <v>531</v>
      </c>
      <c r="D68" s="631" t="s">
        <v>532</v>
      </c>
      <c r="E68" s="631"/>
    </row>
    <row r="69" spans="1:5" x14ac:dyDescent="0.25">
      <c r="A69" s="631"/>
      <c r="B69" s="631"/>
      <c r="C69" s="632" t="s">
        <v>542</v>
      </c>
      <c r="D69" s="631" t="s">
        <v>543</v>
      </c>
      <c r="E69" s="631"/>
    </row>
    <row r="70" spans="1:5" x14ac:dyDescent="0.25">
      <c r="A70" s="631"/>
      <c r="B70" s="631"/>
      <c r="C70" s="632" t="s">
        <v>544</v>
      </c>
      <c r="D70" s="631" t="s">
        <v>545</v>
      </c>
      <c r="E70" s="631"/>
    </row>
    <row r="71" spans="1:5" x14ac:dyDescent="0.25">
      <c r="A71" s="631"/>
      <c r="B71" s="631" t="s">
        <v>475</v>
      </c>
      <c r="C71" s="632" t="s">
        <v>534</v>
      </c>
      <c r="D71" s="631" t="s">
        <v>535</v>
      </c>
      <c r="E71" s="631"/>
    </row>
    <row r="72" spans="1:5" x14ac:dyDescent="0.25">
      <c r="A72" s="631"/>
      <c r="B72" s="631" t="s">
        <v>541</v>
      </c>
      <c r="C72" s="632" t="s">
        <v>483</v>
      </c>
      <c r="D72" s="631"/>
      <c r="E72" s="631"/>
    </row>
    <row r="73" spans="1:5" x14ac:dyDescent="0.25">
      <c r="A73" s="634">
        <v>45610</v>
      </c>
      <c r="B73" s="635" t="s">
        <v>395</v>
      </c>
      <c r="C73" s="636" t="s">
        <v>345</v>
      </c>
      <c r="D73" s="635" t="s">
        <v>546</v>
      </c>
      <c r="E73" s="635"/>
    </row>
    <row r="74" spans="1:5" x14ac:dyDescent="0.25">
      <c r="A74" s="631"/>
      <c r="B74" s="631" t="s">
        <v>395</v>
      </c>
      <c r="C74" s="632" t="s">
        <v>550</v>
      </c>
      <c r="D74" s="631" t="s">
        <v>551</v>
      </c>
      <c r="E74" s="631"/>
    </row>
    <row r="75" spans="1:5" x14ac:dyDescent="0.25">
      <c r="A75" s="631"/>
      <c r="B75" s="631" t="s">
        <v>552</v>
      </c>
      <c r="C75" s="631"/>
      <c r="D75" s="631"/>
      <c r="E75" s="631"/>
    </row>
    <row r="76" spans="1:5" x14ac:dyDescent="0.25">
      <c r="A76" s="631"/>
      <c r="B76" s="631" t="s">
        <v>553</v>
      </c>
      <c r="C76" s="632" t="s">
        <v>554</v>
      </c>
      <c r="D76" s="631" t="s">
        <v>555</v>
      </c>
      <c r="E76" s="631"/>
    </row>
    <row r="77" spans="1:5" x14ac:dyDescent="0.25">
      <c r="A77" s="637"/>
      <c r="B77" s="637" t="s">
        <v>556</v>
      </c>
      <c r="C77" s="638" t="s">
        <v>557</v>
      </c>
      <c r="D77" s="637"/>
      <c r="E77" s="637"/>
    </row>
    <row r="78" spans="1:5" x14ac:dyDescent="0.25">
      <c r="A78" s="634">
        <v>45977</v>
      </c>
      <c r="B78" s="635" t="s">
        <v>569</v>
      </c>
      <c r="C78" s="635" t="s">
        <v>520</v>
      </c>
      <c r="D78" s="635" t="s">
        <v>570</v>
      </c>
      <c r="E78" s="635"/>
    </row>
    <row r="79" spans="1:5" x14ac:dyDescent="0.25">
      <c r="A79" s="631"/>
      <c r="B79" s="631"/>
      <c r="C79" s="631" t="s">
        <v>571</v>
      </c>
      <c r="D79" s="631" t="s">
        <v>572</v>
      </c>
      <c r="E79" s="631"/>
    </row>
    <row r="80" spans="1:5" x14ac:dyDescent="0.25">
      <c r="A80" s="631"/>
      <c r="B80" s="631"/>
      <c r="C80" s="631" t="s">
        <v>573</v>
      </c>
      <c r="D80" s="631" t="s">
        <v>574</v>
      </c>
      <c r="E80" s="631"/>
    </row>
    <row r="81" spans="1:5" x14ac:dyDescent="0.25">
      <c r="A81" s="631"/>
      <c r="B81" s="631" t="s">
        <v>396</v>
      </c>
      <c r="C81" s="631" t="s">
        <v>335</v>
      </c>
      <c r="D81" s="631" t="s">
        <v>575</v>
      </c>
      <c r="E81" s="631"/>
    </row>
    <row r="82" spans="1:5" x14ac:dyDescent="0.25">
      <c r="A82" s="631"/>
      <c r="B82" s="631"/>
      <c r="C82" s="631" t="s">
        <v>576</v>
      </c>
      <c r="D82" s="631" t="s">
        <v>577</v>
      </c>
      <c r="E82" s="629"/>
    </row>
    <row r="83" spans="1:5" x14ac:dyDescent="0.25">
      <c r="A83" s="629"/>
      <c r="B83" s="631" t="s">
        <v>395</v>
      </c>
      <c r="C83" s="631" t="s">
        <v>578</v>
      </c>
      <c r="D83" s="631" t="s">
        <v>575</v>
      </c>
      <c r="E83" s="629"/>
    </row>
    <row r="84" spans="1:5" x14ac:dyDescent="0.25">
      <c r="A84" s="629"/>
      <c r="B84" s="631"/>
      <c r="C84" s="631" t="s">
        <v>579</v>
      </c>
      <c r="D84" s="886" t="s">
        <v>711</v>
      </c>
      <c r="E84" s="629"/>
    </row>
    <row r="85" spans="1:5" x14ac:dyDescent="0.25">
      <c r="A85" s="629"/>
      <c r="B85" s="658" t="s">
        <v>541</v>
      </c>
      <c r="C85" s="631"/>
      <c r="D85" s="631" t="s">
        <v>580</v>
      </c>
      <c r="E85" s="629"/>
    </row>
    <row r="86" spans="1:5" x14ac:dyDescent="0.25">
      <c r="A86" s="629"/>
      <c r="B86" s="631"/>
      <c r="C86" s="631"/>
      <c r="D86" s="631" t="s">
        <v>581</v>
      </c>
      <c r="E86" s="629"/>
    </row>
    <row r="87" spans="1:5" x14ac:dyDescent="0.25">
      <c r="A87" s="629"/>
      <c r="B87" s="631" t="s">
        <v>482</v>
      </c>
      <c r="C87" s="631"/>
      <c r="D87" s="631" t="s">
        <v>582</v>
      </c>
      <c r="E87" s="629"/>
    </row>
    <row r="88" spans="1:5" x14ac:dyDescent="0.25">
      <c r="A88" s="152"/>
      <c r="B88" s="637" t="s">
        <v>584</v>
      </c>
      <c r="C88" s="637"/>
      <c r="D88" s="637" t="s">
        <v>583</v>
      </c>
      <c r="E88" s="152"/>
    </row>
    <row r="89" spans="1:5" x14ac:dyDescent="0.25">
      <c r="A89" s="839">
        <v>45979</v>
      </c>
      <c r="B89" s="840" t="s">
        <v>396</v>
      </c>
      <c r="C89" s="840" t="s">
        <v>585</v>
      </c>
      <c r="D89" s="840" t="s">
        <v>586</v>
      </c>
      <c r="E89" s="132"/>
    </row>
    <row r="90" spans="1:5" x14ac:dyDescent="0.25">
      <c r="A90" s="841">
        <v>46316</v>
      </c>
      <c r="B90" s="869" t="s">
        <v>707</v>
      </c>
      <c r="C90" s="869"/>
      <c r="D90" s="870" t="s">
        <v>706</v>
      </c>
      <c r="E90" s="629"/>
    </row>
    <row r="91" spans="1:5" ht="26.4" x14ac:dyDescent="0.25">
      <c r="A91" s="629"/>
      <c r="B91" s="888" t="s">
        <v>708</v>
      </c>
      <c r="C91" s="869" t="s">
        <v>709</v>
      </c>
      <c r="D91" s="869" t="s">
        <v>710</v>
      </c>
      <c r="E91" s="629"/>
    </row>
    <row r="92" spans="1:5" x14ac:dyDescent="0.25">
      <c r="A92" s="56"/>
      <c r="B92" s="889" t="s">
        <v>541</v>
      </c>
      <c r="C92" s="627" t="s">
        <v>712</v>
      </c>
      <c r="D92" s="582" t="s">
        <v>713</v>
      </c>
      <c r="E92" s="152"/>
    </row>
    <row r="93" spans="1:5" x14ac:dyDescent="0.25">
      <c r="A93" s="890">
        <v>46321</v>
      </c>
      <c r="B93" s="891" t="s">
        <v>719</v>
      </c>
      <c r="C93" s="892" t="s">
        <v>486</v>
      </c>
      <c r="D93" s="893" t="s">
        <v>720</v>
      </c>
      <c r="E93" s="152"/>
    </row>
  </sheetData>
  <sheetProtection algorithmName="SHA-512" hashValue="BlsTNiuCoT/qvx6JaKtaD6qNrYEem0tPhBlwQzHFmpjysD6KhHx1acnwOqMMqNSG+QqMokE7U8t8dh91szsvvw==" saltValue="teVTr9NxECDikmqf5m9jJA==" spinCount="100000" sheet="1" objects="1" scenarios="1"/>
  <mergeCells count="16">
    <mergeCell ref="E10:E17"/>
    <mergeCell ref="A10:A18"/>
    <mergeCell ref="B10:B18"/>
    <mergeCell ref="B27:B28"/>
    <mergeCell ref="A26:A28"/>
    <mergeCell ref="E26:E28"/>
    <mergeCell ref="E19:E22"/>
    <mergeCell ref="C19:C22"/>
    <mergeCell ref="B19:B25"/>
    <mergeCell ref="A19:A25"/>
    <mergeCell ref="A52:A54"/>
    <mergeCell ref="B30:B32"/>
    <mergeCell ref="B34:B49"/>
    <mergeCell ref="B6:B7"/>
    <mergeCell ref="A6:A7"/>
    <mergeCell ref="A30:A51"/>
  </mergeCells>
  <pageMargins left="0.70866141732283472" right="0.70866141732283472" top="0.78740157480314965" bottom="0.78740157480314965" header="0.31496062992125984" footer="0.31496062992125984"/>
  <pageSetup paperSize="9" scale="75" fitToHeight="6" orientation="landscape"/>
  <headerFooter>
    <oddHeader>&amp;C&amp;A</oddHeader>
    <oddFooter xml:space="preserve">&amp;LVersion: 21.10.2026&amp;CVerhandlungsunterlagen SGB XI </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Q109"/>
  <sheetViews>
    <sheetView topLeftCell="A89" workbookViewId="0">
      <selection activeCell="A106" sqref="A106"/>
    </sheetView>
  </sheetViews>
  <sheetFormatPr baseColWidth="10" defaultRowHeight="13.8" x14ac:dyDescent="0.25"/>
  <cols>
    <col min="1" max="1" width="22.59765625" customWidth="1"/>
    <col min="12" max="12" width="11" customWidth="1"/>
    <col min="13" max="13" width="11.5" customWidth="1"/>
    <col min="14" max="14" width="23.8984375" customWidth="1"/>
  </cols>
  <sheetData>
    <row r="1" spans="1:11" s="42" customFormat="1" x14ac:dyDescent="0.25">
      <c r="A1" s="42" t="s">
        <v>102</v>
      </c>
      <c r="B1" s="42" t="s">
        <v>103</v>
      </c>
      <c r="C1" s="42" t="s">
        <v>71</v>
      </c>
      <c r="D1" s="42" t="s">
        <v>104</v>
      </c>
      <c r="E1" s="43" t="s">
        <v>105</v>
      </c>
      <c r="F1" s="42" t="s">
        <v>106</v>
      </c>
      <c r="G1" s="281" t="s">
        <v>593</v>
      </c>
    </row>
    <row r="2" spans="1:11" x14ac:dyDescent="0.25">
      <c r="A2" s="44" t="s">
        <v>112</v>
      </c>
      <c r="B2" s="45" t="s">
        <v>108</v>
      </c>
      <c r="C2" s="44">
        <v>30.42</v>
      </c>
      <c r="D2" s="44">
        <v>365</v>
      </c>
      <c r="E2" s="46">
        <v>1</v>
      </c>
      <c r="F2" s="44" t="s">
        <v>109</v>
      </c>
      <c r="G2" s="761" t="s">
        <v>19</v>
      </c>
      <c r="J2" s="128"/>
    </row>
    <row r="3" spans="1:11" x14ac:dyDescent="0.25">
      <c r="A3" s="44" t="s">
        <v>113</v>
      </c>
      <c r="B3" s="44"/>
      <c r="C3" s="44">
        <v>26</v>
      </c>
      <c r="D3" s="44">
        <v>312</v>
      </c>
      <c r="E3" s="46">
        <v>0.99</v>
      </c>
      <c r="F3" s="44" t="s">
        <v>111</v>
      </c>
      <c r="G3" s="761" t="s">
        <v>594</v>
      </c>
      <c r="J3" s="127"/>
    </row>
    <row r="4" spans="1:11" x14ac:dyDescent="0.25">
      <c r="A4" s="44" t="s">
        <v>107</v>
      </c>
      <c r="C4" s="44">
        <v>20.83</v>
      </c>
      <c r="D4" s="44">
        <v>250</v>
      </c>
      <c r="E4" s="46">
        <v>0.98</v>
      </c>
      <c r="F4" s="44"/>
      <c r="G4" s="761" t="s">
        <v>20</v>
      </c>
    </row>
    <row r="5" spans="1:11" x14ac:dyDescent="0.25">
      <c r="A5" s="44" t="s">
        <v>328</v>
      </c>
      <c r="C5" s="44"/>
      <c r="D5" s="44"/>
      <c r="E5" s="46">
        <v>0.97</v>
      </c>
      <c r="J5" s="1"/>
      <c r="K5" s="1"/>
    </row>
    <row r="6" spans="1:11" x14ac:dyDescent="0.25">
      <c r="A6" s="44" t="s">
        <v>28</v>
      </c>
      <c r="E6" s="46">
        <v>0.96</v>
      </c>
    </row>
    <row r="7" spans="1:11" x14ac:dyDescent="0.25">
      <c r="A7" s="44" t="s">
        <v>110</v>
      </c>
      <c r="E7" s="46">
        <v>0.95</v>
      </c>
      <c r="J7" s="138"/>
    </row>
    <row r="8" spans="1:11" x14ac:dyDescent="0.25">
      <c r="A8" s="44"/>
      <c r="E8" s="46">
        <v>0.94</v>
      </c>
    </row>
    <row r="9" spans="1:11" x14ac:dyDescent="0.25">
      <c r="E9" s="46">
        <v>0.93</v>
      </c>
    </row>
    <row r="10" spans="1:11" x14ac:dyDescent="0.25">
      <c r="A10" s="44" t="s">
        <v>339</v>
      </c>
      <c r="E10" s="46">
        <v>0.92</v>
      </c>
    </row>
    <row r="11" spans="1:11" x14ac:dyDescent="0.25">
      <c r="A11" s="44" t="s">
        <v>340</v>
      </c>
      <c r="E11" s="46">
        <v>0.91</v>
      </c>
    </row>
    <row r="12" spans="1:11" x14ac:dyDescent="0.25">
      <c r="E12" s="46">
        <v>0.9</v>
      </c>
    </row>
    <row r="13" spans="1:11" x14ac:dyDescent="0.25">
      <c r="E13" s="46">
        <v>0.89</v>
      </c>
    </row>
    <row r="14" spans="1:11" x14ac:dyDescent="0.25">
      <c r="E14" s="46">
        <v>0.88</v>
      </c>
    </row>
    <row r="15" spans="1:11" x14ac:dyDescent="0.25">
      <c r="A15" s="36"/>
      <c r="E15" s="46">
        <v>0.87</v>
      </c>
    </row>
    <row r="16" spans="1:11" x14ac:dyDescent="0.25">
      <c r="A16" s="36"/>
      <c r="E16" s="46">
        <v>0.86</v>
      </c>
    </row>
    <row r="17" spans="1:16" x14ac:dyDescent="0.25">
      <c r="E17" s="46">
        <v>0.85</v>
      </c>
    </row>
    <row r="18" spans="1:16" x14ac:dyDescent="0.25">
      <c r="A18" s="41"/>
      <c r="E18" s="44"/>
    </row>
    <row r="19" spans="1:16" x14ac:dyDescent="0.25">
      <c r="A19" s="41"/>
    </row>
    <row r="20" spans="1:16" ht="14.4" thickBot="1" x14ac:dyDescent="0.3">
      <c r="A20" s="118" t="s">
        <v>208</v>
      </c>
      <c r="B20" s="107"/>
      <c r="C20" s="107"/>
      <c r="D20" s="107"/>
      <c r="E20" s="107"/>
      <c r="F20" s="84"/>
      <c r="G20" s="84"/>
      <c r="H20" s="84"/>
      <c r="I20" s="84"/>
      <c r="J20" s="84"/>
      <c r="K20" s="112"/>
      <c r="L20" s="112"/>
      <c r="M20" s="84"/>
      <c r="N20" s="84"/>
      <c r="O20" s="84"/>
      <c r="P20" s="84"/>
    </row>
    <row r="21" spans="1:16" ht="15" thickTop="1" thickBot="1" x14ac:dyDescent="0.3">
      <c r="A21" s="84"/>
      <c r="B21" s="84"/>
      <c r="C21" s="84"/>
      <c r="D21" s="84"/>
      <c r="E21" s="84"/>
      <c r="F21" s="84"/>
      <c r="G21" s="84"/>
      <c r="H21" s="84"/>
      <c r="I21" s="84"/>
      <c r="J21" s="84"/>
      <c r="K21" s="84"/>
      <c r="L21" s="84"/>
      <c r="M21" s="84"/>
      <c r="N21" s="84"/>
      <c r="O21" s="84"/>
      <c r="P21" s="84"/>
    </row>
    <row r="22" spans="1:16" x14ac:dyDescent="0.25">
      <c r="A22" s="85" t="s">
        <v>171</v>
      </c>
      <c r="B22" s="86" t="s">
        <v>180</v>
      </c>
      <c r="C22" s="84"/>
      <c r="D22" s="84"/>
      <c r="E22" s="84"/>
      <c r="F22" s="84"/>
      <c r="G22" s="84"/>
      <c r="H22" s="84"/>
      <c r="I22" s="84"/>
      <c r="J22" s="116" t="s">
        <v>191</v>
      </c>
      <c r="K22" s="84"/>
      <c r="L22" s="84"/>
      <c r="M22" s="111"/>
      <c r="N22" s="84"/>
      <c r="O22" s="84"/>
      <c r="P22" s="84"/>
    </row>
    <row r="23" spans="1:16" x14ac:dyDescent="0.25">
      <c r="A23" s="87">
        <v>1</v>
      </c>
      <c r="B23" s="88">
        <f>IF(B_TP_Kalkulation!H14&lt;&gt;0,B_TP_Gesamtkalkulation!H47,0)</f>
        <v>0</v>
      </c>
      <c r="C23" s="84"/>
      <c r="D23" s="84"/>
      <c r="E23" s="84"/>
      <c r="F23" s="84"/>
      <c r="G23" s="84"/>
      <c r="H23" s="84"/>
      <c r="I23" s="84"/>
      <c r="J23" s="84" t="s">
        <v>192</v>
      </c>
      <c r="K23" s="84"/>
      <c r="L23" s="84"/>
      <c r="M23" s="84"/>
      <c r="N23" s="84"/>
      <c r="O23" s="84"/>
      <c r="P23" s="84"/>
    </row>
    <row r="24" spans="1:16" ht="14.4" thickBot="1" x14ac:dyDescent="0.3">
      <c r="A24" s="87">
        <v>2</v>
      </c>
      <c r="B24" s="115">
        <f>IF(B_TP_Kalkulation!I14&lt;&gt;0,B_TP_Gesamtkalkulation!J47,0)</f>
        <v>0</v>
      </c>
      <c r="C24" s="84"/>
      <c r="D24" s="84"/>
      <c r="E24" s="84"/>
      <c r="F24" s="84"/>
      <c r="G24" s="84"/>
      <c r="H24" s="84"/>
      <c r="I24" s="84"/>
      <c r="J24" s="84" t="s">
        <v>193</v>
      </c>
      <c r="K24" s="84"/>
      <c r="L24" s="84"/>
      <c r="M24" s="84"/>
      <c r="N24" s="84"/>
      <c r="O24" s="84"/>
      <c r="P24" s="84"/>
    </row>
    <row r="25" spans="1:16" x14ac:dyDescent="0.25">
      <c r="A25" s="87">
        <v>3</v>
      </c>
      <c r="B25" s="115">
        <f>IF(B_TP_Kalkulation!J14&lt;&gt;0,B_TP_Gesamtkalkulation!L47,0)</f>
        <v>0</v>
      </c>
      <c r="C25" s="84"/>
      <c r="D25" s="89" t="s">
        <v>177</v>
      </c>
      <c r="E25" s="90"/>
      <c r="F25" s="108" t="str">
        <f>IF('B_TP_Allgemeine Angaben'!D7="tst","tst",IF('B_TP_Allgemeine Angaben'!D7="kzp","KZP",""))</f>
        <v>tst</v>
      </c>
      <c r="G25" s="91"/>
      <c r="H25" s="84"/>
      <c r="I25" s="84"/>
      <c r="J25" s="84" t="s">
        <v>194</v>
      </c>
      <c r="K25" s="84"/>
      <c r="L25" s="84"/>
      <c r="M25" s="84"/>
      <c r="N25" s="84"/>
      <c r="O25" s="84"/>
      <c r="P25" s="84"/>
    </row>
    <row r="26" spans="1:16" ht="14.4" thickBot="1" x14ac:dyDescent="0.3">
      <c r="A26" s="87">
        <v>4</v>
      </c>
      <c r="B26" s="115">
        <f>IF(B_TP_Kalkulation!K14&lt;&gt;0,B_TP_Gesamtkalkulation!N47,0)</f>
        <v>0</v>
      </c>
      <c r="C26" s="84"/>
      <c r="D26" s="92" t="s">
        <v>190</v>
      </c>
      <c r="E26" s="93"/>
      <c r="F26" s="93"/>
      <c r="G26" s="94"/>
      <c r="H26" s="84"/>
      <c r="I26" s="84"/>
      <c r="J26" s="84"/>
      <c r="K26" s="84"/>
      <c r="L26" s="84"/>
      <c r="M26" s="84"/>
      <c r="N26" s="84"/>
      <c r="O26" s="84"/>
      <c r="P26" s="84"/>
    </row>
    <row r="27" spans="1:16" x14ac:dyDescent="0.25">
      <c r="A27" s="95">
        <v>5</v>
      </c>
      <c r="B27" s="88">
        <f>IF(B_TP_Kalkulation!L14&lt;&gt;0,B_TP_Gesamtkalkulation!P47,0)</f>
        <v>0</v>
      </c>
      <c r="C27" s="84"/>
      <c r="D27" s="84"/>
      <c r="E27" s="84"/>
      <c r="F27" s="84"/>
      <c r="G27" s="84"/>
      <c r="H27" s="84"/>
      <c r="I27" s="84"/>
      <c r="J27" s="84"/>
      <c r="K27" s="84"/>
      <c r="L27" s="84"/>
      <c r="M27" s="84"/>
      <c r="N27" s="84"/>
      <c r="O27" s="84"/>
      <c r="P27" s="84"/>
    </row>
    <row r="28" spans="1:16" x14ac:dyDescent="0.25">
      <c r="A28" s="96"/>
      <c r="B28" s="84"/>
      <c r="C28" s="84"/>
      <c r="D28" s="84"/>
      <c r="E28" s="84"/>
      <c r="F28" s="84"/>
      <c r="G28" s="84"/>
      <c r="H28" s="84"/>
      <c r="I28" s="84"/>
      <c r="J28" s="84"/>
      <c r="K28" s="84"/>
      <c r="L28" s="117" t="s">
        <v>195</v>
      </c>
      <c r="M28" s="84"/>
      <c r="N28" s="84"/>
      <c r="O28" s="84"/>
      <c r="P28" s="84"/>
    </row>
    <row r="29" spans="1:16" x14ac:dyDescent="0.25">
      <c r="A29" s="84" t="s">
        <v>185</v>
      </c>
      <c r="B29" s="84"/>
      <c r="C29" s="84"/>
      <c r="D29" s="84"/>
      <c r="E29" s="84" t="s">
        <v>184</v>
      </c>
      <c r="F29" s="84"/>
      <c r="G29" s="84"/>
      <c r="H29" s="84"/>
      <c r="I29" s="84"/>
      <c r="J29" s="84"/>
      <c r="K29" s="84"/>
      <c r="L29" s="84" t="s">
        <v>209</v>
      </c>
      <c r="M29" s="84"/>
      <c r="N29" s="84"/>
      <c r="O29" s="84"/>
      <c r="P29" s="84"/>
    </row>
    <row r="30" spans="1:16" x14ac:dyDescent="0.25">
      <c r="A30" s="97"/>
      <c r="B30" s="98" t="s">
        <v>172</v>
      </c>
      <c r="C30" s="97" t="s">
        <v>173</v>
      </c>
      <c r="D30" s="99" t="s">
        <v>182</v>
      </c>
      <c r="E30" s="100" t="s">
        <v>183</v>
      </c>
      <c r="F30" s="98"/>
      <c r="G30" s="97" t="s">
        <v>181</v>
      </c>
      <c r="H30" s="97" t="s">
        <v>188</v>
      </c>
      <c r="I30" s="98"/>
      <c r="J30" s="98" t="s">
        <v>176</v>
      </c>
      <c r="K30" s="84"/>
      <c r="L30" s="84" t="s">
        <v>196</v>
      </c>
      <c r="M30" s="84"/>
      <c r="N30" s="84"/>
      <c r="O30" s="84"/>
      <c r="P30" s="84"/>
    </row>
    <row r="31" spans="1:16" x14ac:dyDescent="0.25">
      <c r="A31" s="101"/>
      <c r="B31" s="102"/>
      <c r="C31" s="103"/>
      <c r="D31" s="103">
        <f>IF(B23=0,B24*B55/C55,0)</f>
        <v>0</v>
      </c>
      <c r="E31" s="102">
        <f>IF(B23=0,B24*B48/C48,0)</f>
        <v>0</v>
      </c>
      <c r="F31" s="102"/>
      <c r="G31" s="103">
        <f>IF(F25="tst",D31,E31)</f>
        <v>0</v>
      </c>
      <c r="H31" s="110">
        <f>IF(B23=0,G31,B23)</f>
        <v>0</v>
      </c>
      <c r="I31" s="84"/>
      <c r="J31" s="104" t="s">
        <v>166</v>
      </c>
      <c r="K31" s="84"/>
      <c r="L31" s="84" t="s">
        <v>197</v>
      </c>
      <c r="M31" s="84"/>
      <c r="N31" s="84"/>
      <c r="O31" s="84"/>
      <c r="P31" s="84"/>
    </row>
    <row r="32" spans="1:16" x14ac:dyDescent="0.25">
      <c r="A32" s="101"/>
      <c r="B32" s="113"/>
      <c r="C32" s="114"/>
      <c r="D32" s="114"/>
      <c r="E32" s="113"/>
      <c r="F32" s="113"/>
      <c r="G32" s="114"/>
      <c r="H32" s="110">
        <f>IF(B24=0,G32,B24)</f>
        <v>0</v>
      </c>
      <c r="I32" s="84"/>
      <c r="J32" s="104" t="s">
        <v>170</v>
      </c>
      <c r="K32" s="84"/>
      <c r="L32" s="84" t="s">
        <v>198</v>
      </c>
      <c r="M32" s="84"/>
      <c r="N32" s="84"/>
      <c r="O32" s="84"/>
      <c r="P32" s="84"/>
    </row>
    <row r="33" spans="1:16" x14ac:dyDescent="0.25">
      <c r="A33" s="101"/>
      <c r="B33" s="113"/>
      <c r="C33" s="114"/>
      <c r="D33" s="114"/>
      <c r="E33" s="113"/>
      <c r="F33" s="113"/>
      <c r="G33" s="114"/>
      <c r="H33" s="110">
        <f>IF(B25=0,G33,B25)</f>
        <v>0</v>
      </c>
      <c r="I33" s="84"/>
      <c r="J33" s="104" t="s">
        <v>169</v>
      </c>
      <c r="K33" s="84"/>
      <c r="L33" s="84" t="s">
        <v>199</v>
      </c>
      <c r="M33" s="84"/>
      <c r="N33" s="84"/>
      <c r="O33" s="84"/>
      <c r="P33" s="84"/>
    </row>
    <row r="34" spans="1:16" x14ac:dyDescent="0.25">
      <c r="A34" s="101"/>
      <c r="B34" s="113"/>
      <c r="C34" s="114"/>
      <c r="D34" s="114"/>
      <c r="E34" s="113"/>
      <c r="F34" s="113"/>
      <c r="G34" s="114"/>
      <c r="H34" s="110">
        <f>IF(B26=0,G34,B26)</f>
        <v>0</v>
      </c>
      <c r="I34" s="84"/>
      <c r="J34" s="104" t="s">
        <v>168</v>
      </c>
      <c r="K34" s="84"/>
      <c r="L34" s="84" t="s">
        <v>200</v>
      </c>
      <c r="M34" s="84"/>
      <c r="N34" s="84"/>
      <c r="O34" s="84"/>
      <c r="P34" s="84"/>
    </row>
    <row r="35" spans="1:16" x14ac:dyDescent="0.25">
      <c r="A35" s="101"/>
      <c r="B35" s="102"/>
      <c r="C35" s="103"/>
      <c r="D35" s="105">
        <f>IF(B27=0,B26/E55*F55,0)</f>
        <v>0</v>
      </c>
      <c r="E35" s="102">
        <f>IF(B27=0,B26*F48/E48,0)</f>
        <v>0</v>
      </c>
      <c r="F35" s="102"/>
      <c r="G35" s="103">
        <f>IF(F25="tst",D35,E35)</f>
        <v>0</v>
      </c>
      <c r="H35" s="110">
        <f>IF(B27=0,G35,B27)</f>
        <v>0</v>
      </c>
      <c r="I35" s="84"/>
      <c r="J35" s="104" t="s">
        <v>167</v>
      </c>
      <c r="K35" s="84"/>
      <c r="L35" s="84" t="s">
        <v>201</v>
      </c>
      <c r="M35" s="84"/>
      <c r="N35" s="84"/>
      <c r="O35" s="84"/>
      <c r="P35" s="84"/>
    </row>
    <row r="36" spans="1:16" x14ac:dyDescent="0.25">
      <c r="A36" s="84"/>
      <c r="B36" s="84"/>
      <c r="C36" s="84"/>
      <c r="D36" s="84"/>
      <c r="E36" s="84"/>
      <c r="F36" s="84"/>
      <c r="G36" s="84"/>
      <c r="H36" s="84"/>
      <c r="I36" s="84"/>
      <c r="J36" s="84"/>
      <c r="K36" s="84"/>
      <c r="L36" s="84" t="s">
        <v>202</v>
      </c>
      <c r="M36" s="84"/>
      <c r="N36" s="84"/>
      <c r="O36" s="84"/>
      <c r="P36" s="84"/>
    </row>
    <row r="37" spans="1:16" x14ac:dyDescent="0.25">
      <c r="A37" s="106"/>
      <c r="B37" s="106"/>
      <c r="C37" s="106"/>
      <c r="D37" s="84"/>
      <c r="E37" s="84"/>
      <c r="F37" s="84"/>
      <c r="G37" s="84"/>
      <c r="H37" s="84"/>
      <c r="I37" s="84"/>
      <c r="J37" s="106"/>
      <c r="K37" s="106"/>
      <c r="L37" s="84" t="s">
        <v>203</v>
      </c>
      <c r="M37" s="106"/>
      <c r="N37" s="106"/>
      <c r="O37" s="106"/>
      <c r="P37" s="106"/>
    </row>
    <row r="38" spans="1:16" x14ac:dyDescent="0.25">
      <c r="A38" s="109" t="s">
        <v>187</v>
      </c>
      <c r="B38" s="109"/>
      <c r="C38" s="109"/>
      <c r="D38" s="109"/>
      <c r="E38" s="109"/>
      <c r="F38" s="109"/>
      <c r="G38" s="109"/>
      <c r="H38" s="109"/>
      <c r="I38" s="109"/>
      <c r="J38" s="83"/>
      <c r="K38" s="83"/>
      <c r="L38" s="109" t="s">
        <v>204</v>
      </c>
      <c r="M38" s="83"/>
      <c r="N38" s="83"/>
      <c r="O38" s="83"/>
      <c r="P38" s="83"/>
    </row>
    <row r="39" spans="1:16" x14ac:dyDescent="0.25">
      <c r="A39" s="109" t="s">
        <v>186</v>
      </c>
      <c r="B39" s="83"/>
      <c r="C39" s="83"/>
      <c r="D39" s="83"/>
      <c r="E39" s="83"/>
      <c r="F39" s="83"/>
      <c r="G39" s="83"/>
      <c r="H39" s="83"/>
      <c r="I39" s="83"/>
      <c r="J39" s="109"/>
      <c r="K39" s="83"/>
      <c r="L39" s="109" t="s">
        <v>205</v>
      </c>
      <c r="M39" s="83"/>
      <c r="N39" s="83"/>
      <c r="O39" s="83"/>
      <c r="P39" s="83"/>
    </row>
    <row r="40" spans="1:16" x14ac:dyDescent="0.25">
      <c r="A40" s="109"/>
      <c r="B40" s="109"/>
      <c r="C40" s="109"/>
      <c r="D40" s="109"/>
      <c r="E40" s="109"/>
      <c r="F40" s="109"/>
      <c r="G40" s="109"/>
      <c r="H40" s="109"/>
      <c r="I40" s="109"/>
      <c r="J40" s="109"/>
      <c r="K40" s="83"/>
      <c r="L40" s="109" t="s">
        <v>206</v>
      </c>
      <c r="M40" s="83"/>
      <c r="N40" s="83"/>
      <c r="O40" s="83"/>
      <c r="P40" s="83"/>
    </row>
    <row r="41" spans="1:16" x14ac:dyDescent="0.25">
      <c r="A41" s="109"/>
      <c r="B41" s="109"/>
      <c r="C41" s="109"/>
      <c r="D41" s="109"/>
      <c r="E41" s="109"/>
      <c r="F41" s="109"/>
      <c r="G41" s="109"/>
      <c r="H41" s="109"/>
      <c r="I41" s="109"/>
      <c r="J41" s="109"/>
      <c r="K41" s="83"/>
      <c r="L41" s="109" t="s">
        <v>207</v>
      </c>
      <c r="M41" s="83"/>
      <c r="N41" s="83"/>
      <c r="O41" s="83"/>
      <c r="P41" s="83"/>
    </row>
    <row r="42" spans="1:16" x14ac:dyDescent="0.25">
      <c r="A42" s="83"/>
      <c r="B42" s="83"/>
      <c r="C42" s="83"/>
      <c r="D42" s="83"/>
      <c r="E42" s="83"/>
      <c r="F42" s="83"/>
      <c r="G42" s="83"/>
      <c r="H42" s="83"/>
      <c r="I42" s="83"/>
      <c r="J42" s="83"/>
      <c r="K42" s="83"/>
      <c r="L42" s="83"/>
      <c r="M42" s="83"/>
      <c r="N42" s="83"/>
      <c r="O42" s="83"/>
      <c r="P42" s="83"/>
    </row>
    <row r="44" spans="1:16" x14ac:dyDescent="0.25">
      <c r="A44" s="58"/>
      <c r="B44" s="958" t="s">
        <v>165</v>
      </c>
      <c r="C44" s="958"/>
      <c r="D44" s="958"/>
      <c r="E44" s="958"/>
      <c r="F44" s="958"/>
    </row>
    <row r="45" spans="1:16" ht="14.4" thickBot="1" x14ac:dyDescent="0.3">
      <c r="A45" s="58"/>
      <c r="B45" s="59"/>
      <c r="C45" s="60"/>
      <c r="D45" s="58"/>
      <c r="E45" s="39"/>
      <c r="F45" s="39"/>
    </row>
    <row r="46" spans="1:16" x14ac:dyDescent="0.25">
      <c r="A46" s="58"/>
      <c r="B46" s="61" t="s">
        <v>166</v>
      </c>
      <c r="C46" s="61" t="s">
        <v>170</v>
      </c>
      <c r="D46" s="61" t="s">
        <v>169</v>
      </c>
      <c r="E46" s="61" t="s">
        <v>168</v>
      </c>
      <c r="F46" s="61" t="s">
        <v>167</v>
      </c>
    </row>
    <row r="47" spans="1:16" ht="14.4" thickBot="1" x14ac:dyDescent="0.3">
      <c r="A47" s="58"/>
      <c r="B47" s="62"/>
      <c r="C47" s="62"/>
      <c r="D47" s="62"/>
      <c r="E47" s="62"/>
      <c r="F47" s="62"/>
    </row>
    <row r="48" spans="1:16" x14ac:dyDescent="0.25">
      <c r="A48" s="959" t="s">
        <v>189</v>
      </c>
      <c r="B48" s="129">
        <v>0.78</v>
      </c>
      <c r="C48" s="129">
        <v>1</v>
      </c>
      <c r="D48" s="129">
        <v>1.36</v>
      </c>
      <c r="E48" s="129">
        <v>1.74</v>
      </c>
      <c r="F48" s="130">
        <v>1.91</v>
      </c>
    </row>
    <row r="49" spans="1:10" ht="14.4" thickBot="1" x14ac:dyDescent="0.3">
      <c r="A49" s="960"/>
      <c r="B49" s="63"/>
      <c r="C49" s="81">
        <f>C48/B48-1</f>
        <v>0.28205128205128194</v>
      </c>
      <c r="D49" s="81">
        <f>D48/C48-1</f>
        <v>0.3600000000000001</v>
      </c>
      <c r="E49" s="81">
        <f>E48/D48-1</f>
        <v>0.27941176470588225</v>
      </c>
      <c r="F49" s="82">
        <f>F48/E48-1</f>
        <v>9.7701149425287293E-2</v>
      </c>
    </row>
    <row r="50" spans="1:10" ht="14.4" thickBot="1" x14ac:dyDescent="0.3">
      <c r="A50" s="40"/>
      <c r="B50" s="64"/>
      <c r="C50" s="64"/>
      <c r="D50" s="64"/>
      <c r="E50" s="64"/>
      <c r="F50" s="64"/>
    </row>
    <row r="51" spans="1:10" x14ac:dyDescent="0.25">
      <c r="A51" s="961" t="s">
        <v>175</v>
      </c>
      <c r="B51" s="65">
        <v>125</v>
      </c>
      <c r="C51" s="65">
        <v>770</v>
      </c>
      <c r="D51" s="65">
        <v>1262</v>
      </c>
      <c r="E51" s="65">
        <v>1775</v>
      </c>
      <c r="F51" s="66">
        <v>2005</v>
      </c>
    </row>
    <row r="52" spans="1:10" x14ac:dyDescent="0.25">
      <c r="A52" s="962"/>
      <c r="B52" s="67"/>
      <c r="C52" s="68">
        <v>1</v>
      </c>
      <c r="D52" s="69">
        <f>D51/C51</f>
        <v>1.638961038961039</v>
      </c>
      <c r="E52" s="69">
        <f>E51/C51</f>
        <v>2.3051948051948052</v>
      </c>
      <c r="F52" s="70">
        <f>F51/C51</f>
        <v>2.6038961038961039</v>
      </c>
    </row>
    <row r="53" spans="1:10" ht="14.4" thickBot="1" x14ac:dyDescent="0.3">
      <c r="A53" s="963"/>
      <c r="B53" s="71"/>
      <c r="C53" s="72"/>
      <c r="D53" s="79">
        <f>D51/C51-1</f>
        <v>0.63896103896103895</v>
      </c>
      <c r="E53" s="79">
        <f t="shared" ref="E53:F53" si="0">E51/D51-1</f>
        <v>0.40649762282091917</v>
      </c>
      <c r="F53" s="80">
        <f t="shared" si="0"/>
        <v>0.12957746478873244</v>
      </c>
    </row>
    <row r="54" spans="1:10" ht="14.4" thickBot="1" x14ac:dyDescent="0.3">
      <c r="A54" s="39"/>
      <c r="B54" s="73"/>
      <c r="C54" s="73"/>
      <c r="D54" s="73"/>
      <c r="E54" s="73"/>
      <c r="F54" s="73"/>
    </row>
    <row r="55" spans="1:10" x14ac:dyDescent="0.25">
      <c r="A55" s="964" t="s">
        <v>174</v>
      </c>
      <c r="B55" s="74">
        <v>0.78</v>
      </c>
      <c r="C55" s="74">
        <v>1</v>
      </c>
      <c r="D55" s="74">
        <v>1.2</v>
      </c>
      <c r="E55" s="74">
        <v>1.4</v>
      </c>
      <c r="F55" s="75">
        <v>1.5</v>
      </c>
    </row>
    <row r="56" spans="1:10" ht="14.4" thickBot="1" x14ac:dyDescent="0.3">
      <c r="A56" s="965"/>
      <c r="B56" s="76"/>
      <c r="C56" s="77">
        <f>C55/B55-1</f>
        <v>0.28205128205128194</v>
      </c>
      <c r="D56" s="77">
        <f t="shared" ref="D56" si="1">D55/C55-1</f>
        <v>0.19999999999999996</v>
      </c>
      <c r="E56" s="77">
        <f>E55/D55-1</f>
        <v>0.16666666666666674</v>
      </c>
      <c r="F56" s="78">
        <f>F55/E55-1</f>
        <v>7.1428571428571397E-2</v>
      </c>
    </row>
    <row r="59" spans="1:10" x14ac:dyDescent="0.25">
      <c r="A59" s="708" t="s">
        <v>292</v>
      </c>
      <c r="B59" s="709"/>
      <c r="C59" s="709"/>
      <c r="D59" s="709"/>
      <c r="E59" s="709"/>
      <c r="F59" s="710"/>
      <c r="J59" s="119" t="s">
        <v>298</v>
      </c>
    </row>
    <row r="60" spans="1:10" x14ac:dyDescent="0.25">
      <c r="A60" s="711"/>
      <c r="B60" s="712"/>
      <c r="C60" s="712"/>
      <c r="D60" s="712"/>
      <c r="E60" s="712"/>
      <c r="F60" s="713"/>
    </row>
    <row r="61" spans="1:10" ht="14.4" thickBot="1" x14ac:dyDescent="0.3">
      <c r="A61" s="714" t="s">
        <v>293</v>
      </c>
      <c r="B61" s="715" t="s">
        <v>294</v>
      </c>
      <c r="C61" s="715" t="s">
        <v>295</v>
      </c>
      <c r="D61" s="716" t="s">
        <v>296</v>
      </c>
      <c r="E61" s="717"/>
      <c r="F61" s="713"/>
    </row>
    <row r="62" spans="1:10" ht="14.4" thickBot="1" x14ac:dyDescent="0.3">
      <c r="A62" s="718">
        <v>1</v>
      </c>
      <c r="B62" s="718">
        <v>40</v>
      </c>
      <c r="C62" s="719">
        <v>0.75</v>
      </c>
      <c r="D62" s="720">
        <f>IF('B_TP_Allgemeine Angaben'!L47&lt;A63,C62,IF('B_TP_Allgemeine Angaben'!L47&lt;A64,C63,IF('B_TP_Allgemeine Angaben'!L47&lt;A65,C64,C65)))</f>
        <v>0.75</v>
      </c>
      <c r="E62" s="721"/>
      <c r="F62" s="713"/>
    </row>
    <row r="63" spans="1:10" x14ac:dyDescent="0.25">
      <c r="A63" s="718">
        <v>41</v>
      </c>
      <c r="B63" s="718">
        <v>80</v>
      </c>
      <c r="C63" s="722">
        <v>1</v>
      </c>
      <c r="D63" s="712"/>
      <c r="E63" s="712"/>
      <c r="F63" s="713"/>
    </row>
    <row r="64" spans="1:10" x14ac:dyDescent="0.25">
      <c r="A64" s="718">
        <v>81</v>
      </c>
      <c r="B64" s="718">
        <v>150</v>
      </c>
      <c r="C64" s="722">
        <v>1.25</v>
      </c>
      <c r="D64" s="712"/>
      <c r="E64" s="712"/>
      <c r="F64" s="713"/>
    </row>
    <row r="65" spans="1:8" x14ac:dyDescent="0.25">
      <c r="A65" s="718">
        <v>151</v>
      </c>
      <c r="B65" s="718" t="s">
        <v>297</v>
      </c>
      <c r="C65" s="722">
        <v>2</v>
      </c>
      <c r="D65" s="712"/>
      <c r="E65" s="712"/>
      <c r="F65" s="713"/>
    </row>
    <row r="66" spans="1:8" x14ac:dyDescent="0.25">
      <c r="A66" s="723"/>
      <c r="B66" s="724"/>
      <c r="C66" s="724"/>
      <c r="D66" s="724"/>
      <c r="E66" s="724"/>
      <c r="F66" s="725"/>
    </row>
    <row r="68" spans="1:8" ht="55.2" x14ac:dyDescent="0.25">
      <c r="A68" s="139"/>
      <c r="B68" s="139" t="s">
        <v>299</v>
      </c>
      <c r="C68" s="139" t="s">
        <v>300</v>
      </c>
      <c r="D68" s="139" t="s">
        <v>301</v>
      </c>
      <c r="E68" s="140" t="s">
        <v>302</v>
      </c>
      <c r="F68" s="139" t="s">
        <v>303</v>
      </c>
    </row>
    <row r="69" spans="1:8" x14ac:dyDescent="0.25">
      <c r="A69" s="141" t="s">
        <v>55</v>
      </c>
      <c r="B69" s="142">
        <f>B_TP_Kalkulation!H14</f>
        <v>0</v>
      </c>
      <c r="C69" s="143">
        <f>B_TP_Kalkulation!I17</f>
        <v>0</v>
      </c>
      <c r="D69" s="132" t="e">
        <f>B69/C69</f>
        <v>#DIV/0!</v>
      </c>
      <c r="E69" s="144" t="e">
        <f>D69/$D$74</f>
        <v>#DIV/0!</v>
      </c>
      <c r="F69" s="132" t="e">
        <f>E69*$F$76</f>
        <v>#DIV/0!</v>
      </c>
    </row>
    <row r="70" spans="1:8" x14ac:dyDescent="0.25">
      <c r="A70" s="141" t="s">
        <v>56</v>
      </c>
      <c r="B70" s="142">
        <f>B_TP_Kalkulation!I14</f>
        <v>0</v>
      </c>
      <c r="C70" s="143">
        <f>B_TP_Kalkulation!I18</f>
        <v>0</v>
      </c>
      <c r="D70" s="132" t="e">
        <f t="shared" ref="D70:D73" si="2">B70/C70</f>
        <v>#DIV/0!</v>
      </c>
      <c r="E70" s="144" t="e">
        <f t="shared" ref="E70:E73" si="3">D70/$D$74</f>
        <v>#DIV/0!</v>
      </c>
      <c r="F70" s="132" t="e">
        <f t="shared" ref="F70:F73" si="4">E70*$F$76</f>
        <v>#DIV/0!</v>
      </c>
    </row>
    <row r="71" spans="1:8" x14ac:dyDescent="0.25">
      <c r="A71" s="141" t="s">
        <v>57</v>
      </c>
      <c r="B71" s="142">
        <f>B_TP_Kalkulation!J14</f>
        <v>0</v>
      </c>
      <c r="C71" s="143">
        <f>B_TP_Kalkulation!I19</f>
        <v>0</v>
      </c>
      <c r="D71" s="132" t="e">
        <f t="shared" si="2"/>
        <v>#DIV/0!</v>
      </c>
      <c r="E71" s="144" t="e">
        <f t="shared" si="3"/>
        <v>#DIV/0!</v>
      </c>
      <c r="F71" s="132" t="e">
        <f t="shared" si="4"/>
        <v>#DIV/0!</v>
      </c>
    </row>
    <row r="72" spans="1:8" x14ac:dyDescent="0.25">
      <c r="A72" s="141" t="s">
        <v>58</v>
      </c>
      <c r="B72" s="142">
        <f>B_TP_Kalkulation!K14</f>
        <v>0</v>
      </c>
      <c r="C72" s="143">
        <f>B_TP_Kalkulation!I20</f>
        <v>0</v>
      </c>
      <c r="D72" s="132" t="e">
        <f t="shared" si="2"/>
        <v>#DIV/0!</v>
      </c>
      <c r="E72" s="144" t="e">
        <f t="shared" si="3"/>
        <v>#DIV/0!</v>
      </c>
      <c r="F72" s="132" t="e">
        <f t="shared" si="4"/>
        <v>#DIV/0!</v>
      </c>
    </row>
    <row r="73" spans="1:8" ht="14.4" thickBot="1" x14ac:dyDescent="0.3">
      <c r="A73" s="145" t="s">
        <v>59</v>
      </c>
      <c r="B73" s="146">
        <f>B_TP_Kalkulation!L14</f>
        <v>0</v>
      </c>
      <c r="C73" s="147">
        <f>B_TP_Kalkulation!I21</f>
        <v>0</v>
      </c>
      <c r="D73" s="148" t="e">
        <f t="shared" si="2"/>
        <v>#DIV/0!</v>
      </c>
      <c r="E73" s="149" t="e">
        <f t="shared" si="3"/>
        <v>#DIV/0!</v>
      </c>
      <c r="F73" s="132" t="e">
        <f t="shared" si="4"/>
        <v>#DIV/0!</v>
      </c>
    </row>
    <row r="74" spans="1:8" x14ac:dyDescent="0.25">
      <c r="A74" s="150" t="s">
        <v>304</v>
      </c>
      <c r="B74" s="151">
        <f>SUM(B69:B73)</f>
        <v>0</v>
      </c>
      <c r="C74" s="152"/>
      <c r="D74" s="152" t="e">
        <f>SUM(D69:D73)</f>
        <v>#DIV/0!</v>
      </c>
      <c r="E74" s="153">
        <v>1</v>
      </c>
      <c r="F74" s="154" t="e">
        <f>SUM(F69:F73)</f>
        <v>#DIV/0!</v>
      </c>
    </row>
    <row r="75" spans="1:8" x14ac:dyDescent="0.25">
      <c r="A75" s="141" t="s">
        <v>305</v>
      </c>
      <c r="B75" s="126"/>
      <c r="C75" s="126"/>
      <c r="D75" s="159">
        <f>D62</f>
        <v>0.75</v>
      </c>
      <c r="E75" s="155"/>
      <c r="F75" s="156"/>
    </row>
    <row r="76" spans="1:8" ht="28.2" thickBot="1" x14ac:dyDescent="0.3">
      <c r="A76" s="160" t="s">
        <v>306</v>
      </c>
      <c r="B76" s="157"/>
      <c r="C76" s="157"/>
      <c r="D76" s="158" t="e">
        <f>SUM(D74:D75)</f>
        <v>#DIV/0!</v>
      </c>
      <c r="E76" s="157"/>
      <c r="F76" s="158" t="e">
        <f>D76*B_TP_Kalkulation!L22</f>
        <v>#DIV/0!</v>
      </c>
    </row>
    <row r="77" spans="1:8" ht="14.4" thickTop="1" x14ac:dyDescent="0.25">
      <c r="A77" s="292"/>
    </row>
    <row r="78" spans="1:8" ht="15" customHeight="1" thickBot="1" x14ac:dyDescent="0.3">
      <c r="A78" s="957" t="s">
        <v>325</v>
      </c>
      <c r="B78" s="957"/>
      <c r="C78" s="957"/>
      <c r="D78" s="957"/>
      <c r="E78" s="957"/>
      <c r="F78" s="957"/>
      <c r="G78" s="957"/>
      <c r="H78" s="957"/>
    </row>
    <row r="79" spans="1:8" x14ac:dyDescent="0.25">
      <c r="A79" s="726"/>
      <c r="B79" s="966" t="s">
        <v>316</v>
      </c>
      <c r="C79" s="967"/>
      <c r="D79" s="967"/>
      <c r="E79" s="968"/>
      <c r="F79" s="966" t="s">
        <v>317</v>
      </c>
      <c r="G79" s="969"/>
      <c r="H79" s="953" t="s">
        <v>318</v>
      </c>
    </row>
    <row r="80" spans="1:8" ht="69" x14ac:dyDescent="0.25">
      <c r="A80" s="727"/>
      <c r="B80" s="728" t="s">
        <v>299</v>
      </c>
      <c r="C80" s="729" t="s">
        <v>319</v>
      </c>
      <c r="D80" s="730" t="s">
        <v>320</v>
      </c>
      <c r="E80" s="731" t="s">
        <v>321</v>
      </c>
      <c r="F80" s="728" t="s">
        <v>320</v>
      </c>
      <c r="G80" s="732" t="s">
        <v>322</v>
      </c>
      <c r="H80" s="954"/>
    </row>
    <row r="81" spans="1:17" x14ac:dyDescent="0.25">
      <c r="A81" s="733" t="s">
        <v>55</v>
      </c>
      <c r="B81" s="734">
        <f>B_TP_Kalkulation!H14</f>
        <v>0</v>
      </c>
      <c r="C81" s="735">
        <f>B_TP_Kalkulation!I17</f>
        <v>0</v>
      </c>
      <c r="D81" s="736">
        <f>IFERROR(B81/C81,0)</f>
        <v>0</v>
      </c>
      <c r="E81" s="737">
        <f>IFERROR(D81/$D$86,0)</f>
        <v>0</v>
      </c>
      <c r="F81" s="738">
        <f>IFERROR($D$88*E81,0)</f>
        <v>0</v>
      </c>
      <c r="G81" s="739">
        <f>IF(F81=0,C81,B81/F81)</f>
        <v>0</v>
      </c>
      <c r="H81" s="740" t="e">
        <f>ROUND(B81/G81,3)</f>
        <v>#DIV/0!</v>
      </c>
    </row>
    <row r="82" spans="1:17" x14ac:dyDescent="0.25">
      <c r="A82" s="733" t="s">
        <v>56</v>
      </c>
      <c r="B82" s="734">
        <f>B_TP_Kalkulation!I14</f>
        <v>0</v>
      </c>
      <c r="C82" s="735">
        <f>B_TP_Kalkulation!I18</f>
        <v>0</v>
      </c>
      <c r="D82" s="736">
        <f t="shared" ref="D82:D85" si="5">IFERROR(B82/C82,0)</f>
        <v>0</v>
      </c>
      <c r="E82" s="737">
        <f t="shared" ref="E82:E85" si="6">IFERROR(D82/$D$86,0)</f>
        <v>0</v>
      </c>
      <c r="F82" s="738">
        <f t="shared" ref="F82:F85" si="7">IFERROR($D$88*E82,0)</f>
        <v>0</v>
      </c>
      <c r="G82" s="739">
        <f>IFERROR(B82/F82,0)</f>
        <v>0</v>
      </c>
      <c r="H82" s="740" t="e">
        <f t="shared" ref="H82:H85" si="8">ROUND(B82/G82,3)</f>
        <v>#DIV/0!</v>
      </c>
    </row>
    <row r="83" spans="1:17" x14ac:dyDescent="0.25">
      <c r="A83" s="733" t="s">
        <v>57</v>
      </c>
      <c r="B83" s="734">
        <f>B_TP_Kalkulation!J14</f>
        <v>0</v>
      </c>
      <c r="C83" s="735">
        <f>B_TP_Kalkulation!I19</f>
        <v>0</v>
      </c>
      <c r="D83" s="736">
        <f t="shared" si="5"/>
        <v>0</v>
      </c>
      <c r="E83" s="737">
        <f t="shared" si="6"/>
        <v>0</v>
      </c>
      <c r="F83" s="738">
        <f t="shared" si="7"/>
        <v>0</v>
      </c>
      <c r="G83" s="739">
        <f t="shared" ref="G83:G84" si="9">IFERROR(B83/F83,0)</f>
        <v>0</v>
      </c>
      <c r="H83" s="740" t="e">
        <f t="shared" si="8"/>
        <v>#DIV/0!</v>
      </c>
    </row>
    <row r="84" spans="1:17" x14ac:dyDescent="0.25">
      <c r="A84" s="733" t="s">
        <v>58</v>
      </c>
      <c r="B84" s="734">
        <f>B_TP_Kalkulation!K14</f>
        <v>0</v>
      </c>
      <c r="C84" s="735">
        <f>B_TP_Kalkulation!I20</f>
        <v>0</v>
      </c>
      <c r="D84" s="736">
        <f t="shared" si="5"/>
        <v>0</v>
      </c>
      <c r="E84" s="737">
        <f t="shared" si="6"/>
        <v>0</v>
      </c>
      <c r="F84" s="738">
        <f t="shared" si="7"/>
        <v>0</v>
      </c>
      <c r="G84" s="739">
        <f t="shared" si="9"/>
        <v>0</v>
      </c>
      <c r="H84" s="740" t="e">
        <f t="shared" si="8"/>
        <v>#DIV/0!</v>
      </c>
    </row>
    <row r="85" spans="1:17" x14ac:dyDescent="0.25">
      <c r="A85" s="733" t="s">
        <v>59</v>
      </c>
      <c r="B85" s="741">
        <f>B_TP_Kalkulation!L14</f>
        <v>0</v>
      </c>
      <c r="C85" s="735">
        <f>B_TP_Kalkulation!I21</f>
        <v>0</v>
      </c>
      <c r="D85" s="742">
        <f t="shared" si="5"/>
        <v>0</v>
      </c>
      <c r="E85" s="737">
        <f t="shared" si="6"/>
        <v>0</v>
      </c>
      <c r="F85" s="738">
        <f t="shared" si="7"/>
        <v>0</v>
      </c>
      <c r="G85" s="739">
        <f>IF(F85=0,C85,B85/F85)</f>
        <v>0</v>
      </c>
      <c r="H85" s="740" t="e">
        <f t="shared" si="8"/>
        <v>#DIV/0!</v>
      </c>
    </row>
    <row r="86" spans="1:17" ht="14.4" thickBot="1" x14ac:dyDescent="0.3">
      <c r="A86" s="743" t="s">
        <v>304</v>
      </c>
      <c r="B86" s="744"/>
      <c r="C86" s="745"/>
      <c r="D86" s="746">
        <f>SUM(D81:D85)</f>
        <v>0</v>
      </c>
      <c r="E86" s="747">
        <f>SUM(E81:E85)</f>
        <v>0</v>
      </c>
      <c r="F86" s="748"/>
      <c r="G86" s="749"/>
      <c r="H86" s="750"/>
    </row>
    <row r="87" spans="1:17" ht="14.4" thickTop="1" x14ac:dyDescent="0.25">
      <c r="A87" s="751"/>
      <c r="B87" s="955" t="s">
        <v>323</v>
      </c>
      <c r="C87" s="956"/>
      <c r="D87" s="752" t="e">
        <f>B_TP_Kalkulation!#REF!</f>
        <v>#REF!</v>
      </c>
      <c r="E87" s="712"/>
      <c r="F87" s="753"/>
      <c r="G87" s="749"/>
      <c r="H87" s="750"/>
    </row>
    <row r="88" spans="1:17" ht="14.4" thickBot="1" x14ac:dyDescent="0.3">
      <c r="A88" s="754" t="s">
        <v>324</v>
      </c>
      <c r="B88" s="755">
        <f>SUM(B81:B85)</f>
        <v>0</v>
      </c>
      <c r="C88" s="756"/>
      <c r="D88" s="757" t="e">
        <f>SUM(D86:D87)</f>
        <v>#REF!</v>
      </c>
      <c r="E88" s="758"/>
      <c r="F88" s="759">
        <f>SUM(F81:F87)</f>
        <v>0</v>
      </c>
      <c r="G88" s="758"/>
      <c r="H88" s="760" t="e">
        <f>SUM(H81:H87)</f>
        <v>#DIV/0!</v>
      </c>
    </row>
    <row r="89" spans="1:17" ht="14.4" thickTop="1" x14ac:dyDescent="0.25"/>
    <row r="90" spans="1:17" ht="39.6" x14ac:dyDescent="0.25">
      <c r="A90" s="472" t="s">
        <v>341</v>
      </c>
      <c r="C90" s="674" t="s">
        <v>588</v>
      </c>
      <c r="D90" s="675" t="s">
        <v>589</v>
      </c>
      <c r="E90" s="679" t="str" cm="1">
        <f t="array" ref="E90">IF(OR('B_TP_Allgemeine Angaben'!H56="ja",'B_TP_Allgemeine Angaben'!H57:J57="Tarifanlehnung"),KAT!D90,KAT!C90)</f>
        <v>rüE</v>
      </c>
      <c r="F90" s="598"/>
      <c r="J90" s="184" t="s">
        <v>507</v>
      </c>
      <c r="K90" s="612"/>
      <c r="L90" s="612"/>
      <c r="M90" s="612"/>
      <c r="N90" s="612"/>
      <c r="O90" s="612"/>
      <c r="P90" s="612"/>
      <c r="Q90" s="234"/>
    </row>
    <row r="91" spans="1:17" ht="27.6" x14ac:dyDescent="0.25">
      <c r="A91" s="847" t="s">
        <v>587</v>
      </c>
      <c r="C91" s="676">
        <v>0.03</v>
      </c>
      <c r="D91" s="676">
        <v>0.05</v>
      </c>
      <c r="E91" s="680">
        <f>INDEX(C91:D91,MATCH($E$90,$C$90:$D$90,0))</f>
        <v>0.03</v>
      </c>
      <c r="F91" s="598"/>
      <c r="J91" s="603" t="s">
        <v>501</v>
      </c>
      <c r="K91" s="603" t="s">
        <v>502</v>
      </c>
      <c r="L91" s="605" t="s">
        <v>503</v>
      </c>
      <c r="M91" s="603" t="s">
        <v>504</v>
      </c>
      <c r="N91" s="606" t="s">
        <v>505</v>
      </c>
      <c r="O91" s="604" t="s">
        <v>506</v>
      </c>
      <c r="P91" s="126"/>
      <c r="Q91" s="135"/>
    </row>
    <row r="92" spans="1:17" x14ac:dyDescent="0.25">
      <c r="A92" s="673" t="s">
        <v>590</v>
      </c>
      <c r="C92" s="676">
        <v>3.4200000000000001E-2</v>
      </c>
      <c r="D92" s="676">
        <v>0.05</v>
      </c>
      <c r="E92" s="680">
        <f t="shared" ref="E92:E99" si="10">INDEX(C92:D92,MATCH($E$90,$C$90:$D$90,0))</f>
        <v>3.4200000000000001E-2</v>
      </c>
      <c r="J92" s="609">
        <f>IF(B_TP_Kalkulation!K16="Beförderung intern (Preis):",1,0)</f>
        <v>0</v>
      </c>
      <c r="K92" s="607">
        <f>B_TP_Kalkulation!F16*(100%+B_TP_Kalkulation!M16)</f>
        <v>0</v>
      </c>
      <c r="L92" s="601">
        <f>IF(K92&gt;E101,E101,K92)</f>
        <v>0</v>
      </c>
      <c r="M92" s="609">
        <f>IF(K92&gt;E101,1,0)</f>
        <v>0</v>
      </c>
      <c r="N92" s="135" t="s">
        <v>640</v>
      </c>
      <c r="O92" t="s">
        <v>515</v>
      </c>
      <c r="Q92" s="17"/>
    </row>
    <row r="93" spans="1:17" x14ac:dyDescent="0.25">
      <c r="A93" s="848" t="s">
        <v>230</v>
      </c>
      <c r="C93" s="677">
        <v>0.03</v>
      </c>
      <c r="D93" s="677">
        <v>0.05</v>
      </c>
      <c r="E93" s="680">
        <f t="shared" si="10"/>
        <v>0.03</v>
      </c>
      <c r="J93" s="609">
        <f>IF(B_TP_Kalkulation!K16="Beförderung extern (Preis):",2,0)</f>
        <v>0</v>
      </c>
      <c r="K93" s="607">
        <f>B_TP_Kalkulation!F16*(100%+B_TP_Kalkulation!M16)</f>
        <v>0</v>
      </c>
      <c r="L93" s="601">
        <f>IF(K93&gt;E102,E102,K93)</f>
        <v>0</v>
      </c>
      <c r="M93" s="609">
        <f>IF(K93&gt;E102,2,0)</f>
        <v>0</v>
      </c>
      <c r="N93" s="135" t="s">
        <v>641</v>
      </c>
      <c r="O93" t="s">
        <v>514</v>
      </c>
      <c r="Q93" s="17"/>
    </row>
    <row r="94" spans="1:17" ht="14.4" thickBot="1" x14ac:dyDescent="0.3">
      <c r="A94" s="848" t="s">
        <v>231</v>
      </c>
      <c r="C94" s="677">
        <v>0.03</v>
      </c>
      <c r="D94" s="677">
        <v>0.05</v>
      </c>
      <c r="E94" s="680">
        <f t="shared" si="10"/>
        <v>0.03</v>
      </c>
      <c r="J94" s="613">
        <f>SUM(J92:J93)</f>
        <v>0</v>
      </c>
      <c r="K94" s="608"/>
      <c r="L94" s="614" t="str">
        <f>IF(J92=1,L92,IF(J93=2,L93,""))</f>
        <v/>
      </c>
      <c r="M94" s="608"/>
      <c r="N94" s="602" t="str">
        <f>IF(J92+M92=2,N92,IF(J93+M93=4,N93,""))</f>
        <v/>
      </c>
      <c r="O94" t="s">
        <v>642</v>
      </c>
      <c r="Q94" s="17"/>
    </row>
    <row r="95" spans="1:17" ht="15" thickTop="1" thickBot="1" x14ac:dyDescent="0.3">
      <c r="A95" s="849" t="s">
        <v>232</v>
      </c>
      <c r="C95" s="678">
        <v>0.03</v>
      </c>
      <c r="D95" s="678">
        <v>0.05</v>
      </c>
      <c r="E95" s="680">
        <f t="shared" si="10"/>
        <v>0.03</v>
      </c>
      <c r="J95" s="610"/>
      <c r="K95" s="600"/>
      <c r="L95" s="600"/>
      <c r="M95" s="600"/>
      <c r="N95" s="600"/>
      <c r="O95" s="600"/>
      <c r="P95" s="600"/>
      <c r="Q95" s="611"/>
    </row>
    <row r="96" spans="1:17" ht="14.4" thickTop="1" x14ac:dyDescent="0.25">
      <c r="A96" s="848" t="s">
        <v>242</v>
      </c>
      <c r="C96" s="678">
        <v>0.04</v>
      </c>
      <c r="D96" s="678">
        <v>0.04</v>
      </c>
      <c r="E96" s="680">
        <f t="shared" si="10"/>
        <v>0.04</v>
      </c>
    </row>
    <row r="97" spans="1:6" x14ac:dyDescent="0.25">
      <c r="C97" s="664"/>
      <c r="D97" s="312"/>
      <c r="E97" s="664"/>
    </row>
    <row r="98" spans="1:6" x14ac:dyDescent="0.25">
      <c r="A98" s="470" t="s">
        <v>92</v>
      </c>
      <c r="C98" s="677">
        <v>0.03</v>
      </c>
      <c r="D98" s="677">
        <f>C98</f>
        <v>0.03</v>
      </c>
      <c r="E98" s="680">
        <f t="shared" si="10"/>
        <v>0.03</v>
      </c>
      <c r="F98" s="599"/>
    </row>
    <row r="99" spans="1:6" x14ac:dyDescent="0.25">
      <c r="A99" s="470" t="s">
        <v>343</v>
      </c>
      <c r="C99" s="677">
        <v>0.05</v>
      </c>
      <c r="D99" s="677">
        <v>0.05</v>
      </c>
      <c r="E99" s="680">
        <f t="shared" si="10"/>
        <v>0.05</v>
      </c>
      <c r="F99" s="599"/>
    </row>
    <row r="100" spans="1:6" x14ac:dyDescent="0.25">
      <c r="E100" s="598"/>
    </row>
    <row r="101" spans="1:6" x14ac:dyDescent="0.25">
      <c r="A101" s="470" t="s">
        <v>496</v>
      </c>
      <c r="E101" s="471">
        <v>21.3</v>
      </c>
      <c r="F101" s="599"/>
    </row>
    <row r="102" spans="1:6" x14ac:dyDescent="0.25">
      <c r="A102" s="596" t="s">
        <v>497</v>
      </c>
      <c r="E102" s="471">
        <v>24.22</v>
      </c>
      <c r="F102" s="599"/>
    </row>
    <row r="103" spans="1:6" x14ac:dyDescent="0.25">
      <c r="A103" s="596" t="s">
        <v>498</v>
      </c>
    </row>
    <row r="107" spans="1:6" x14ac:dyDescent="0.25">
      <c r="A107" s="133" t="s">
        <v>548</v>
      </c>
      <c r="B107" s="661"/>
      <c r="C107" s="661"/>
      <c r="D107" s="661"/>
      <c r="E107" s="661"/>
      <c r="F107" s="662"/>
    </row>
    <row r="108" spans="1:6" x14ac:dyDescent="0.25">
      <c r="A108" s="663" t="s">
        <v>111</v>
      </c>
      <c r="B108" s="664" t="s">
        <v>549</v>
      </c>
      <c r="C108" s="664"/>
      <c r="D108" s="664"/>
      <c r="E108" s="664"/>
      <c r="F108" s="665"/>
    </row>
    <row r="109" spans="1:6" x14ac:dyDescent="0.25">
      <c r="A109" s="666"/>
      <c r="B109" s="667"/>
      <c r="C109" s="667"/>
      <c r="D109" s="667"/>
      <c r="E109" s="667"/>
      <c r="F109" s="668"/>
    </row>
  </sheetData>
  <sheetProtection algorithmName="SHA-512" hashValue="NZIdWPGPwWr9/hSwYPSOsaWy2Bc3UqMkoXF3WZ8AOuqlytprHe6ukKfb+0Osxh8FGvgdK4PyCV91V0p1ZSp3xg==" saltValue="jnV2P+SCCs9K7a+KLGYl/w==" spinCount="100000" sheet="1" objects="1" scenarios="1" selectLockedCells="1"/>
  <mergeCells count="9">
    <mergeCell ref="H79:H80"/>
    <mergeCell ref="B87:C87"/>
    <mergeCell ref="A78:H78"/>
    <mergeCell ref="B44:F44"/>
    <mergeCell ref="A48:A49"/>
    <mergeCell ref="A51:A53"/>
    <mergeCell ref="A55:A56"/>
    <mergeCell ref="B79:E79"/>
    <mergeCell ref="F79:G79"/>
  </mergeCells>
  <dataValidations count="1">
    <dataValidation type="list" allowBlank="1" showInputMessage="1" showErrorMessage="1" sqref="A108" xr:uid="{00000000-0002-0000-0800-000000000000}">
      <formula1>"ja,nein"</formula1>
    </dataValidation>
  </dataValidations>
  <pageMargins left="0.70866141732283472" right="0.70866141732283472" top="0.78740157480314965" bottom="0.78740157480314965" header="0.31496062992125984" footer="0.31496062992125984"/>
  <pageSetup paperSize="9" scale="28" orientation="landscape"/>
  <headerFooter>
    <oddHeader>&amp;C&amp;A</oddHeader>
    <oddFooter xml:space="preserve">&amp;C
&amp;1#&amp;"Calibri,Standard"&amp;10&amp;K000000 </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sheetPr>
  <dimension ref="A1:H72"/>
  <sheetViews>
    <sheetView showGridLines="0" tabSelected="1" zoomScaleNormal="100" workbookViewId="0">
      <selection activeCell="A14" sqref="A14:G14"/>
    </sheetView>
  </sheetViews>
  <sheetFormatPr baseColWidth="10" defaultRowHeight="13.8" x14ac:dyDescent="0.25"/>
  <cols>
    <col min="1" max="1" width="3.8984375" customWidth="1"/>
    <col min="2" max="2" width="24.5" customWidth="1"/>
    <col min="4" max="4" width="11.09765625" customWidth="1"/>
    <col min="5" max="5" width="18.3984375" customWidth="1"/>
    <col min="6" max="6" width="21" customWidth="1"/>
    <col min="7" max="7" width="13.5" customWidth="1"/>
  </cols>
  <sheetData>
    <row r="1" spans="1:8" ht="14.25" customHeight="1" x14ac:dyDescent="0.25">
      <c r="A1" s="915" t="s">
        <v>645</v>
      </c>
      <c r="B1" s="916"/>
      <c r="C1" s="916"/>
      <c r="D1" s="916"/>
      <c r="E1" s="916"/>
      <c r="F1" s="916"/>
      <c r="G1" s="917"/>
    </row>
    <row r="2" spans="1:8" ht="51.75" customHeight="1" x14ac:dyDescent="0.25">
      <c r="A2" s="918"/>
      <c r="B2" s="919"/>
      <c r="C2" s="919"/>
      <c r="D2" s="919"/>
      <c r="E2" s="919"/>
      <c r="F2" s="919"/>
      <c r="G2" s="920"/>
    </row>
    <row r="3" spans="1:8" ht="6" customHeight="1" x14ac:dyDescent="0.25">
      <c r="A3" s="872"/>
      <c r="B3" s="872"/>
      <c r="C3" s="872"/>
      <c r="D3" s="872"/>
      <c r="E3" s="872"/>
      <c r="F3" s="872"/>
      <c r="G3" s="872"/>
    </row>
    <row r="4" spans="1:8" ht="47.25" customHeight="1" x14ac:dyDescent="0.25">
      <c r="A4" s="921" t="s">
        <v>646</v>
      </c>
      <c r="B4" s="921"/>
      <c r="C4" s="921"/>
      <c r="D4" s="921"/>
      <c r="E4" s="921"/>
      <c r="F4" s="921"/>
      <c r="G4" s="921"/>
    </row>
    <row r="5" spans="1:8" ht="18" customHeight="1" x14ac:dyDescent="0.25">
      <c r="A5" s="873"/>
      <c r="B5" s="873"/>
      <c r="C5" s="873"/>
      <c r="D5" s="873"/>
      <c r="E5" s="873"/>
      <c r="F5" s="873"/>
      <c r="G5" s="873"/>
    </row>
    <row r="6" spans="1:8" x14ac:dyDescent="0.25">
      <c r="A6" s="912" t="s">
        <v>647</v>
      </c>
      <c r="B6" s="912"/>
      <c r="C6" s="912"/>
      <c r="D6" s="912"/>
      <c r="E6" s="912"/>
      <c r="F6" s="912"/>
      <c r="G6" s="912"/>
    </row>
    <row r="7" spans="1:8" s="868" customFormat="1" x14ac:dyDescent="0.25">
      <c r="A7" s="922" t="s">
        <v>648</v>
      </c>
      <c r="B7" s="923"/>
      <c r="C7" s="923"/>
      <c r="D7" s="923"/>
      <c r="E7" s="923"/>
      <c r="F7" s="923"/>
      <c r="G7" s="923"/>
      <c r="H7"/>
    </row>
    <row r="8" spans="1:8" s="868" customFormat="1" ht="17.25" customHeight="1" x14ac:dyDescent="0.25">
      <c r="A8" s="924" t="s">
        <v>693</v>
      </c>
      <c r="B8" s="924"/>
      <c r="C8" s="924"/>
      <c r="D8" s="924"/>
      <c r="E8" s="924"/>
      <c r="F8" s="924"/>
      <c r="G8" s="924"/>
      <c r="H8"/>
    </row>
    <row r="9" spans="1:8" s="868" customFormat="1" ht="17.25" customHeight="1" x14ac:dyDescent="0.25">
      <c r="A9" s="922" t="s">
        <v>695</v>
      </c>
      <c r="B9" s="923" t="s">
        <v>0</v>
      </c>
      <c r="C9" s="923"/>
      <c r="D9" s="923"/>
      <c r="E9" s="923"/>
      <c r="F9" s="923"/>
      <c r="G9" s="923"/>
      <c r="H9"/>
    </row>
    <row r="10" spans="1:8" s="868" customFormat="1" ht="17.25" customHeight="1" x14ac:dyDescent="0.25">
      <c r="A10" s="922" t="s">
        <v>694</v>
      </c>
      <c r="B10" s="923"/>
      <c r="C10" s="923"/>
      <c r="D10" s="923"/>
      <c r="E10" s="923"/>
      <c r="F10" s="923"/>
      <c r="G10" s="923"/>
      <c r="H10"/>
    </row>
    <row r="11" spans="1:8" s="868" customFormat="1" ht="17.25" customHeight="1" x14ac:dyDescent="0.25">
      <c r="A11" s="922" t="s">
        <v>696</v>
      </c>
      <c r="B11" s="923"/>
      <c r="C11" s="923"/>
      <c r="D11" s="923"/>
      <c r="E11" s="923"/>
      <c r="F11" s="923"/>
      <c r="G11" s="923"/>
      <c r="H11"/>
    </row>
    <row r="12" spans="1:8" s="868" customFormat="1" ht="17.25" customHeight="1" x14ac:dyDescent="0.25">
      <c r="A12" s="922" t="s">
        <v>697</v>
      </c>
      <c r="B12" s="923"/>
      <c r="C12" s="923"/>
      <c r="D12" s="923"/>
      <c r="E12" s="923"/>
      <c r="F12" s="923"/>
      <c r="G12" s="923"/>
      <c r="H12"/>
    </row>
    <row r="13" spans="1:8" ht="17.25" customHeight="1" x14ac:dyDescent="0.25">
      <c r="A13" s="874"/>
      <c r="B13" s="871"/>
      <c r="C13" s="871"/>
      <c r="D13" s="871"/>
      <c r="E13" s="871"/>
      <c r="F13" s="871"/>
      <c r="G13" s="871"/>
    </row>
    <row r="14" spans="1:8" ht="224.25" customHeight="1" x14ac:dyDescent="0.25">
      <c r="A14" s="904" t="s">
        <v>703</v>
      </c>
      <c r="B14" s="904"/>
      <c r="C14" s="904"/>
      <c r="D14" s="904"/>
      <c r="E14" s="904"/>
      <c r="F14" s="904"/>
      <c r="G14" s="904"/>
      <c r="H14" s="900" t="s">
        <v>704</v>
      </c>
    </row>
    <row r="15" spans="1:8" ht="279" customHeight="1" x14ac:dyDescent="0.25">
      <c r="A15" s="904" t="s">
        <v>649</v>
      </c>
      <c r="B15" s="904"/>
      <c r="C15" s="904"/>
      <c r="D15" s="904"/>
      <c r="E15" s="904"/>
      <c r="F15" s="904"/>
      <c r="G15" s="904"/>
      <c r="H15" s="900"/>
    </row>
    <row r="16" spans="1:8" x14ac:dyDescent="0.25">
      <c r="A16" s="904"/>
      <c r="B16" s="904"/>
      <c r="C16" s="904"/>
      <c r="D16" s="904"/>
      <c r="E16" s="904"/>
      <c r="F16" s="904"/>
      <c r="G16" s="904"/>
    </row>
    <row r="17" spans="1:8" ht="47.25" customHeight="1" x14ac:dyDescent="0.25">
      <c r="A17" s="904" t="s">
        <v>650</v>
      </c>
      <c r="B17" s="904"/>
      <c r="C17" s="904"/>
      <c r="D17" s="904"/>
      <c r="E17" s="904"/>
      <c r="F17" s="904"/>
      <c r="G17" s="904"/>
      <c r="H17" s="875" t="s">
        <v>704</v>
      </c>
    </row>
    <row r="18" spans="1:8" x14ac:dyDescent="0.25">
      <c r="A18" s="904"/>
      <c r="B18" s="904"/>
      <c r="C18" s="904"/>
      <c r="D18" s="904"/>
      <c r="E18" s="904"/>
      <c r="F18" s="904"/>
      <c r="G18" s="904"/>
    </row>
    <row r="19" spans="1:8" ht="232.5" customHeight="1" x14ac:dyDescent="0.25">
      <c r="A19" s="904" t="s">
        <v>651</v>
      </c>
      <c r="B19" s="904"/>
      <c r="C19" s="904"/>
      <c r="D19" s="904"/>
      <c r="E19" s="904"/>
      <c r="F19" s="904"/>
      <c r="G19" s="904"/>
      <c r="H19" s="876" t="s">
        <v>704</v>
      </c>
    </row>
    <row r="20" spans="1:8" x14ac:dyDescent="0.25">
      <c r="A20" s="904"/>
      <c r="B20" s="904"/>
      <c r="C20" s="904"/>
      <c r="D20" s="904"/>
      <c r="E20" s="904"/>
      <c r="F20" s="904"/>
      <c r="G20" s="904"/>
    </row>
    <row r="21" spans="1:8" ht="364.5" customHeight="1" x14ac:dyDescent="0.25">
      <c r="A21" s="904" t="s">
        <v>652</v>
      </c>
      <c r="B21" s="905"/>
      <c r="C21" s="905"/>
      <c r="D21" s="905"/>
      <c r="E21" s="905"/>
      <c r="F21" s="905"/>
      <c r="G21" s="905"/>
      <c r="H21" s="900" t="s">
        <v>704</v>
      </c>
    </row>
    <row r="22" spans="1:8" ht="375.75" customHeight="1" x14ac:dyDescent="0.25">
      <c r="A22" s="904" t="s">
        <v>653</v>
      </c>
      <c r="B22" s="905"/>
      <c r="C22" s="905"/>
      <c r="D22" s="905"/>
      <c r="E22" s="905"/>
      <c r="F22" s="905"/>
      <c r="G22" s="905"/>
      <c r="H22" s="900"/>
    </row>
    <row r="23" spans="1:8" ht="147.75" customHeight="1" x14ac:dyDescent="0.25">
      <c r="A23" s="904" t="s">
        <v>654</v>
      </c>
      <c r="B23" s="905"/>
      <c r="C23" s="905"/>
      <c r="D23" s="905"/>
      <c r="E23" s="905"/>
      <c r="F23" s="905"/>
      <c r="G23" s="905"/>
      <c r="H23" s="900"/>
    </row>
    <row r="24" spans="1:8" ht="41.4" x14ac:dyDescent="0.25">
      <c r="A24" s="873"/>
      <c r="B24" s="906"/>
      <c r="C24" s="907"/>
      <c r="D24" s="907"/>
      <c r="E24" s="857" t="s">
        <v>655</v>
      </c>
      <c r="F24" s="857" t="s">
        <v>656</v>
      </c>
      <c r="H24" s="900"/>
    </row>
    <row r="25" spans="1:8" x14ac:dyDescent="0.25">
      <c r="A25" s="873"/>
      <c r="B25" s="894" t="s">
        <v>450</v>
      </c>
      <c r="C25" s="895"/>
      <c r="D25" s="895"/>
      <c r="E25" s="857" t="s">
        <v>657</v>
      </c>
      <c r="F25" s="857" t="s">
        <v>658</v>
      </c>
      <c r="H25" s="900"/>
    </row>
    <row r="26" spans="1:8" x14ac:dyDescent="0.25">
      <c r="A26" s="873"/>
      <c r="B26" s="894" t="s">
        <v>119</v>
      </c>
      <c r="C26" s="895"/>
      <c r="D26" s="895"/>
      <c r="E26" s="857" t="s">
        <v>657</v>
      </c>
      <c r="F26" s="857" t="s">
        <v>658</v>
      </c>
      <c r="H26" s="900"/>
    </row>
    <row r="27" spans="1:8" x14ac:dyDescent="0.25">
      <c r="A27" s="873"/>
      <c r="B27" s="894" t="s">
        <v>605</v>
      </c>
      <c r="C27" s="895"/>
      <c r="D27" s="895"/>
      <c r="E27" s="857" t="s">
        <v>657</v>
      </c>
      <c r="F27" s="857" t="s">
        <v>659</v>
      </c>
      <c r="H27" s="900"/>
    </row>
    <row r="28" spans="1:8" x14ac:dyDescent="0.25">
      <c r="A28" s="873"/>
      <c r="B28" s="894" t="s">
        <v>60</v>
      </c>
      <c r="C28" s="895"/>
      <c r="D28" s="895"/>
      <c r="E28" s="857" t="s">
        <v>657</v>
      </c>
      <c r="F28" s="857" t="s">
        <v>658</v>
      </c>
      <c r="H28" s="900"/>
    </row>
    <row r="29" spans="1:8" x14ac:dyDescent="0.25">
      <c r="A29" s="873"/>
      <c r="B29" s="894" t="s">
        <v>30</v>
      </c>
      <c r="C29" s="895"/>
      <c r="D29" s="895"/>
      <c r="E29" s="857" t="s">
        <v>657</v>
      </c>
      <c r="F29" s="857" t="s">
        <v>658</v>
      </c>
      <c r="H29" s="900"/>
    </row>
    <row r="30" spans="1:8" x14ac:dyDescent="0.25">
      <c r="A30" s="873"/>
      <c r="B30" s="894" t="s">
        <v>31</v>
      </c>
      <c r="C30" s="895"/>
      <c r="D30" s="895"/>
      <c r="E30" s="857" t="s">
        <v>657</v>
      </c>
      <c r="F30" s="857" t="s">
        <v>658</v>
      </c>
      <c r="H30" s="900"/>
    </row>
    <row r="31" spans="1:8" x14ac:dyDescent="0.25">
      <c r="A31" s="873"/>
      <c r="B31" s="894" t="s">
        <v>660</v>
      </c>
      <c r="C31" s="895"/>
      <c r="D31" s="895"/>
      <c r="E31" s="857" t="s">
        <v>661</v>
      </c>
      <c r="F31" s="857" t="s">
        <v>661</v>
      </c>
      <c r="H31" s="900"/>
    </row>
    <row r="32" spans="1:8" ht="38.25" customHeight="1" x14ac:dyDescent="0.25">
      <c r="A32" s="873"/>
      <c r="B32" s="894" t="s">
        <v>662</v>
      </c>
      <c r="C32" s="895"/>
      <c r="D32" s="895"/>
      <c r="E32" s="857" t="s">
        <v>657</v>
      </c>
      <c r="F32" s="857" t="s">
        <v>658</v>
      </c>
      <c r="H32" s="900"/>
    </row>
    <row r="33" spans="1:8" ht="105" customHeight="1" x14ac:dyDescent="0.25">
      <c r="A33" s="904" t="s">
        <v>663</v>
      </c>
      <c r="B33" s="905"/>
      <c r="C33" s="905"/>
      <c r="D33" s="905"/>
      <c r="E33" s="905"/>
      <c r="F33" s="905"/>
      <c r="G33" s="905"/>
      <c r="H33" s="900"/>
    </row>
    <row r="34" spans="1:8" ht="27" customHeight="1" x14ac:dyDescent="0.25">
      <c r="A34" s="873"/>
      <c r="B34" s="894" t="s">
        <v>664</v>
      </c>
      <c r="C34" s="894"/>
      <c r="D34" s="895"/>
      <c r="E34" s="895"/>
      <c r="F34" s="895"/>
      <c r="H34" s="900"/>
    </row>
    <row r="35" spans="1:8" ht="36.75" customHeight="1" x14ac:dyDescent="0.25">
      <c r="A35" s="873"/>
      <c r="B35" s="894" t="s">
        <v>665</v>
      </c>
      <c r="C35" s="895"/>
      <c r="D35" s="895"/>
      <c r="E35" s="895"/>
      <c r="F35" s="857" t="s">
        <v>666</v>
      </c>
      <c r="H35" s="900"/>
    </row>
    <row r="36" spans="1:8" ht="38.25" customHeight="1" x14ac:dyDescent="0.25">
      <c r="A36" s="873"/>
      <c r="B36" s="894" t="s">
        <v>667</v>
      </c>
      <c r="C36" s="894"/>
      <c r="D36" s="894"/>
      <c r="E36" s="894"/>
      <c r="F36" s="857" t="s">
        <v>668</v>
      </c>
      <c r="H36" s="900"/>
    </row>
    <row r="37" spans="1:8" ht="39" customHeight="1" x14ac:dyDescent="0.25">
      <c r="B37" s="894" t="s">
        <v>669</v>
      </c>
      <c r="C37" s="894"/>
      <c r="D37" s="894"/>
      <c r="E37" s="894"/>
      <c r="F37" s="857" t="s">
        <v>670</v>
      </c>
      <c r="H37" s="900"/>
    </row>
    <row r="38" spans="1:8" x14ac:dyDescent="0.25">
      <c r="B38" s="908"/>
      <c r="C38" s="908"/>
      <c r="D38" s="895"/>
      <c r="E38" s="895"/>
      <c r="F38" s="895"/>
      <c r="H38" s="900"/>
    </row>
    <row r="39" spans="1:8" ht="65.25" customHeight="1" x14ac:dyDescent="0.25">
      <c r="B39" s="909" t="s">
        <v>671</v>
      </c>
      <c r="C39" s="894"/>
      <c r="D39" s="895"/>
      <c r="E39" s="895"/>
      <c r="F39" s="895"/>
      <c r="H39" s="900"/>
    </row>
    <row r="40" spans="1:8" ht="33" customHeight="1" x14ac:dyDescent="0.25">
      <c r="B40" s="894" t="s">
        <v>672</v>
      </c>
      <c r="C40" s="895"/>
      <c r="D40" s="895"/>
      <c r="E40" s="895"/>
      <c r="F40" s="858">
        <v>0.23</v>
      </c>
      <c r="H40" s="900"/>
    </row>
    <row r="41" spans="1:8" ht="36.75" customHeight="1" x14ac:dyDescent="0.25">
      <c r="B41" s="894" t="s">
        <v>673</v>
      </c>
      <c r="C41" s="895"/>
      <c r="D41" s="895"/>
      <c r="E41" s="895"/>
      <c r="F41" s="858">
        <v>0.3</v>
      </c>
      <c r="H41" s="900"/>
    </row>
    <row r="42" spans="1:8" ht="37.5" customHeight="1" x14ac:dyDescent="0.25">
      <c r="B42" s="894" t="s">
        <v>674</v>
      </c>
      <c r="C42" s="895"/>
      <c r="D42" s="895"/>
      <c r="E42" s="895"/>
      <c r="F42" s="858">
        <v>0.35</v>
      </c>
      <c r="H42" s="900"/>
    </row>
    <row r="43" spans="1:8" ht="39.75" customHeight="1" x14ac:dyDescent="0.25">
      <c r="B43" s="894" t="s">
        <v>675</v>
      </c>
      <c r="C43" s="895"/>
      <c r="D43" s="895"/>
      <c r="E43" s="895"/>
      <c r="F43" s="858">
        <v>1.33</v>
      </c>
      <c r="H43" s="900"/>
    </row>
    <row r="44" spans="1:8" ht="11.25" customHeight="1" x14ac:dyDescent="0.25">
      <c r="B44" s="878"/>
      <c r="F44" s="880"/>
      <c r="H44" s="900"/>
    </row>
    <row r="45" spans="1:8" ht="177.75" customHeight="1" x14ac:dyDescent="0.25">
      <c r="A45" s="904" t="s">
        <v>676</v>
      </c>
      <c r="B45" s="905"/>
      <c r="C45" s="905"/>
      <c r="D45" s="905"/>
      <c r="E45" s="905"/>
      <c r="F45" s="905"/>
      <c r="G45" s="905"/>
      <c r="H45" s="900"/>
    </row>
    <row r="47" spans="1:8" ht="55.5" customHeight="1" x14ac:dyDescent="0.25">
      <c r="A47" s="904" t="s">
        <v>677</v>
      </c>
      <c r="B47" s="905"/>
      <c r="C47" s="905"/>
      <c r="D47" s="905"/>
      <c r="E47" s="905"/>
      <c r="F47" s="905"/>
      <c r="G47" s="905"/>
      <c r="H47" s="875" t="s">
        <v>704</v>
      </c>
    </row>
    <row r="49" spans="1:8" ht="150.75" customHeight="1" x14ac:dyDescent="0.25">
      <c r="A49" s="904" t="s">
        <v>692</v>
      </c>
      <c r="B49" s="905"/>
      <c r="C49" s="905"/>
      <c r="D49" s="905"/>
      <c r="E49" s="905"/>
      <c r="F49" s="905"/>
      <c r="G49" s="905"/>
      <c r="H49" s="896" t="s">
        <v>704</v>
      </c>
    </row>
    <row r="50" spans="1:8" ht="13.5" customHeight="1" x14ac:dyDescent="0.25">
      <c r="A50" s="871"/>
      <c r="B50" s="877"/>
      <c r="C50" s="877"/>
      <c r="D50" s="877"/>
      <c r="E50" s="877"/>
      <c r="F50" s="877"/>
      <c r="G50" s="877"/>
      <c r="H50" s="897"/>
    </row>
    <row r="51" spans="1:8" x14ac:dyDescent="0.25">
      <c r="B51" s="911" t="s">
        <v>678</v>
      </c>
      <c r="C51" s="911"/>
      <c r="D51" s="911"/>
      <c r="E51" s="911"/>
      <c r="F51" s="911"/>
      <c r="G51" s="911"/>
      <c r="H51" s="898"/>
    </row>
    <row r="52" spans="1:8" x14ac:dyDescent="0.25">
      <c r="B52" s="857" t="s">
        <v>679</v>
      </c>
      <c r="C52" s="857">
        <v>0.78</v>
      </c>
      <c r="D52" s="860">
        <v>1</v>
      </c>
      <c r="E52" s="857">
        <v>1.2</v>
      </c>
      <c r="F52" s="857">
        <v>1.4</v>
      </c>
      <c r="G52" s="857">
        <v>1.5</v>
      </c>
      <c r="H52" s="898"/>
    </row>
    <row r="53" spans="1:8" x14ac:dyDescent="0.25">
      <c r="B53" s="857" t="s">
        <v>680</v>
      </c>
      <c r="C53" s="857"/>
      <c r="D53" s="859">
        <v>0.28210000000000002</v>
      </c>
      <c r="E53" s="859">
        <v>0.2</v>
      </c>
      <c r="F53" s="859">
        <v>0.16669999999999999</v>
      </c>
      <c r="G53" s="859">
        <v>7.1400000000000005E-2</v>
      </c>
      <c r="H53" s="898"/>
    </row>
    <row r="54" spans="1:8" x14ac:dyDescent="0.25">
      <c r="G54" s="17"/>
      <c r="H54" s="898"/>
    </row>
    <row r="55" spans="1:8" x14ac:dyDescent="0.25">
      <c r="A55" s="912" t="s">
        <v>681</v>
      </c>
      <c r="B55" s="913"/>
      <c r="C55" s="913"/>
      <c r="D55" s="913"/>
      <c r="E55" s="913"/>
      <c r="F55" s="913"/>
      <c r="G55" s="914"/>
      <c r="H55" s="898"/>
    </row>
    <row r="56" spans="1:8" ht="8.25" customHeight="1" x14ac:dyDescent="0.25">
      <c r="A56" s="874"/>
      <c r="B56" s="879"/>
      <c r="C56" s="879"/>
      <c r="D56" s="879"/>
      <c r="E56" s="879"/>
      <c r="F56" s="879"/>
      <c r="G56" s="867"/>
      <c r="H56" s="898"/>
    </row>
    <row r="57" spans="1:8" x14ac:dyDescent="0.25">
      <c r="B57" s="901" t="s">
        <v>682</v>
      </c>
      <c r="C57" s="902"/>
      <c r="D57" s="902"/>
      <c r="E57" s="902"/>
      <c r="F57" s="902"/>
      <c r="G57" s="903"/>
      <c r="H57" s="898"/>
    </row>
    <row r="58" spans="1:8" x14ac:dyDescent="0.25">
      <c r="B58" s="856"/>
      <c r="C58" s="864" t="s">
        <v>166</v>
      </c>
      <c r="D58" s="864" t="s">
        <v>170</v>
      </c>
      <c r="E58" s="864" t="s">
        <v>169</v>
      </c>
      <c r="F58" s="864" t="s">
        <v>168</v>
      </c>
      <c r="G58" s="864" t="s">
        <v>167</v>
      </c>
      <c r="H58" s="898"/>
    </row>
    <row r="59" spans="1:8" x14ac:dyDescent="0.25">
      <c r="B59" s="856" t="s">
        <v>299</v>
      </c>
      <c r="C59" s="861">
        <v>0</v>
      </c>
      <c r="D59" s="862" t="s">
        <v>683</v>
      </c>
      <c r="E59" s="862" t="s">
        <v>683</v>
      </c>
      <c r="F59" s="862" t="s">
        <v>683</v>
      </c>
      <c r="G59" s="861">
        <v>0</v>
      </c>
      <c r="H59" s="898"/>
    </row>
    <row r="60" spans="1:8" x14ac:dyDescent="0.25">
      <c r="B60" s="894" t="s">
        <v>684</v>
      </c>
      <c r="C60" s="865" t="s">
        <v>698</v>
      </c>
      <c r="D60" s="910" t="s">
        <v>699</v>
      </c>
      <c r="E60" s="910" t="s">
        <v>700</v>
      </c>
      <c r="F60" s="910" t="s">
        <v>701</v>
      </c>
      <c r="G60" s="865" t="s">
        <v>702</v>
      </c>
      <c r="H60" s="898"/>
    </row>
    <row r="61" spans="1:8" x14ac:dyDescent="0.25">
      <c r="B61" s="894"/>
      <c r="C61" s="866">
        <f xml:space="preserve"> 5.128</f>
        <v>5.1280000000000001</v>
      </c>
      <c r="D61" s="910"/>
      <c r="E61" s="910"/>
      <c r="F61" s="910"/>
      <c r="G61" s="866">
        <f xml:space="preserve"> 2.24</f>
        <v>2.2400000000000002</v>
      </c>
      <c r="H61" s="898"/>
    </row>
    <row r="62" spans="1:8" x14ac:dyDescent="0.25">
      <c r="B62" s="856" t="s">
        <v>685</v>
      </c>
      <c r="C62" s="857">
        <v>0.78</v>
      </c>
      <c r="D62" s="860">
        <v>1</v>
      </c>
      <c r="E62" s="857">
        <v>1.2</v>
      </c>
      <c r="F62" s="857">
        <v>1.4</v>
      </c>
      <c r="G62" s="857">
        <v>1.5</v>
      </c>
      <c r="H62" s="898"/>
    </row>
    <row r="63" spans="1:8" x14ac:dyDescent="0.25">
      <c r="B63" s="856" t="s">
        <v>680</v>
      </c>
      <c r="C63" s="856"/>
      <c r="D63" s="859">
        <v>0.28210000000000002</v>
      </c>
      <c r="E63" s="859">
        <v>0.2</v>
      </c>
      <c r="F63" s="859">
        <v>0.16669999999999999</v>
      </c>
      <c r="G63" s="859">
        <v>7.1400000000000005E-2</v>
      </c>
      <c r="H63" s="898"/>
    </row>
    <row r="64" spans="1:8" ht="10.5" customHeight="1" x14ac:dyDescent="0.25">
      <c r="H64" s="897"/>
    </row>
    <row r="65" spans="1:8" ht="76.5" customHeight="1" x14ac:dyDescent="0.25">
      <c r="A65" s="904" t="s">
        <v>691</v>
      </c>
      <c r="B65" s="905"/>
      <c r="C65" s="905"/>
      <c r="D65" s="905"/>
      <c r="E65" s="905"/>
      <c r="F65" s="905"/>
      <c r="G65" s="905"/>
      <c r="H65" s="897"/>
    </row>
    <row r="66" spans="1:8" ht="5.25" customHeight="1" x14ac:dyDescent="0.25">
      <c r="H66" s="897"/>
    </row>
    <row r="67" spans="1:8" x14ac:dyDescent="0.25">
      <c r="B67" s="901" t="s">
        <v>682</v>
      </c>
      <c r="C67" s="902"/>
      <c r="D67" s="902"/>
      <c r="E67" s="902"/>
      <c r="F67" s="902"/>
      <c r="G67" s="903"/>
      <c r="H67" s="897"/>
    </row>
    <row r="68" spans="1:8" x14ac:dyDescent="0.25">
      <c r="B68" s="856"/>
      <c r="C68" s="857" t="s">
        <v>166</v>
      </c>
      <c r="D68" s="857" t="s">
        <v>170</v>
      </c>
      <c r="E68" s="857" t="s">
        <v>169</v>
      </c>
      <c r="F68" s="857" t="s">
        <v>168</v>
      </c>
      <c r="G68" s="857" t="s">
        <v>167</v>
      </c>
      <c r="H68" s="897"/>
    </row>
    <row r="69" spans="1:8" x14ac:dyDescent="0.25">
      <c r="B69" s="856" t="s">
        <v>299</v>
      </c>
      <c r="C69" s="857">
        <v>0</v>
      </c>
      <c r="D69" s="862" t="s">
        <v>683</v>
      </c>
      <c r="E69" s="862" t="s">
        <v>683</v>
      </c>
      <c r="F69" s="862" t="s">
        <v>683</v>
      </c>
      <c r="G69" s="857">
        <v>0</v>
      </c>
      <c r="H69" s="897"/>
    </row>
    <row r="70" spans="1:8" ht="41.4" x14ac:dyDescent="0.25">
      <c r="B70" s="856" t="s">
        <v>686</v>
      </c>
      <c r="C70" s="863" t="s">
        <v>687</v>
      </c>
      <c r="D70" s="862" t="s">
        <v>688</v>
      </c>
      <c r="E70" s="862" t="s">
        <v>688</v>
      </c>
      <c r="F70" s="862" t="s">
        <v>688</v>
      </c>
      <c r="G70" s="863" t="s">
        <v>689</v>
      </c>
      <c r="H70" s="897"/>
    </row>
    <row r="71" spans="1:8" x14ac:dyDescent="0.25">
      <c r="H71" s="897"/>
    </row>
    <row r="72" spans="1:8" ht="38.25" customHeight="1" x14ac:dyDescent="0.25">
      <c r="A72" s="904" t="s">
        <v>690</v>
      </c>
      <c r="B72" s="905"/>
      <c r="C72" s="905"/>
      <c r="D72" s="905"/>
      <c r="E72" s="905"/>
      <c r="F72" s="905"/>
      <c r="G72" s="905"/>
      <c r="H72" s="899"/>
    </row>
  </sheetData>
  <sheetProtection algorithmName="SHA-512" hashValue="rKkniz/6d0JbpXGkP5a86N7B02iiXzl2ljR4pOf6qwroNQFq0ahkhXCeBvIBwXmbSez39zRiLgKirzHqbfppEw==" saltValue="Otmh0s8BPlxy9p1c5hZXKw==" spinCount="100000" sheet="1" objects="1" scenarios="1"/>
  <mergeCells count="55">
    <mergeCell ref="A10:G10"/>
    <mergeCell ref="A11:G11"/>
    <mergeCell ref="A22:G22"/>
    <mergeCell ref="A23:G23"/>
    <mergeCell ref="B27:D27"/>
    <mergeCell ref="B26:D26"/>
    <mergeCell ref="B25:D25"/>
    <mergeCell ref="A12:G12"/>
    <mergeCell ref="B29:D29"/>
    <mergeCell ref="B28:D28"/>
    <mergeCell ref="A1:G2"/>
    <mergeCell ref="A4:G4"/>
    <mergeCell ref="A21:G21"/>
    <mergeCell ref="A14:G14"/>
    <mergeCell ref="A6:G6"/>
    <mergeCell ref="A7:G7"/>
    <mergeCell ref="A8:G8"/>
    <mergeCell ref="A15:G15"/>
    <mergeCell ref="A17:G17"/>
    <mergeCell ref="A16:G16"/>
    <mergeCell ref="A19:G19"/>
    <mergeCell ref="A18:G18"/>
    <mergeCell ref="A20:G20"/>
    <mergeCell ref="A9:G9"/>
    <mergeCell ref="B60:B61"/>
    <mergeCell ref="D60:D61"/>
    <mergeCell ref="E60:E61"/>
    <mergeCell ref="F60:F61"/>
    <mergeCell ref="A47:G47"/>
    <mergeCell ref="A49:G49"/>
    <mergeCell ref="B51:G51"/>
    <mergeCell ref="A55:G55"/>
    <mergeCell ref="B57:G57"/>
    <mergeCell ref="B40:E40"/>
    <mergeCell ref="B41:E41"/>
    <mergeCell ref="B42:E42"/>
    <mergeCell ref="B32:D32"/>
    <mergeCell ref="B31:D31"/>
    <mergeCell ref="B39:F39"/>
    <mergeCell ref="B30:D30"/>
    <mergeCell ref="H49:H72"/>
    <mergeCell ref="H21:H45"/>
    <mergeCell ref="H14:H15"/>
    <mergeCell ref="B67:G67"/>
    <mergeCell ref="A72:G72"/>
    <mergeCell ref="A65:G65"/>
    <mergeCell ref="B43:E43"/>
    <mergeCell ref="A45:G45"/>
    <mergeCell ref="B24:D24"/>
    <mergeCell ref="A33:G33"/>
    <mergeCell ref="B34:F34"/>
    <mergeCell ref="B35:E35"/>
    <mergeCell ref="B36:E36"/>
    <mergeCell ref="B37:E37"/>
    <mergeCell ref="B38:F38"/>
  </mergeCells>
  <hyperlinks>
    <hyperlink ref="H14:H15" location="B_TP_Hinweise!A6" display="zurück" xr:uid="{7B4BB854-6B78-4634-B7CA-24E9A2D16B02}"/>
    <hyperlink ref="A7:G7" location="B_TP_Hinweise!A14" display="1. Allgemeine Hinweise" xr:uid="{9F3FE8BB-A83D-4799-9174-0CCA9172D704}"/>
    <hyperlink ref="H19" location="B_TP_Hinweise!A6" display="zurück" xr:uid="{0DD3364F-767A-453F-B880-9C3EA94ACF8A}"/>
    <hyperlink ref="H17" location="B_TP_Hinweise!A6" display="zurück" xr:uid="{C0CFBAF1-1BA7-47FE-97DB-ED148F290FEA}"/>
    <hyperlink ref="A8:G8" location="B_TP_Hinweise!A17" display="2. Aufforderungsunterlagen" xr:uid="{0B748BE7-1AD6-4FD7-B836-A4B4F5F2E806}"/>
    <hyperlink ref="A9:G9" location="B_TP_Hinweise!A19" display="2.1. Allgemeine Angabe" xr:uid="{EA088269-8199-465E-83B4-9A37037E4398}"/>
    <hyperlink ref="H21:H45" location="B_TP_Hinweise!A6" display="zurück" xr:uid="{5A055F37-3A06-4C6B-87F5-20AF99FD4266}"/>
    <hyperlink ref="A10:G10" location="B_TP_Hinweise!A21" display="2.2. Kalkulation" xr:uid="{6BF4C885-DC5D-4865-BA02-5FFA068384BB}"/>
    <hyperlink ref="H47" location="B_TP_Hinweise!A6" display="zurück" xr:uid="{2F24AA0B-2A66-4ED8-B5E0-3F7E540DDC48}"/>
    <hyperlink ref="A11:G11" location="B_TP_Hinweise!A47" display="2.3. Ergebnis" xr:uid="{63D273DF-B9B2-4079-9FA5-8A9751C7A38A}"/>
    <hyperlink ref="H49:H72" location="B_TP_Hinweise!A6" display="zurück" xr:uid="{2AB5552A-CC48-4B7E-A75F-2AA47C07C993}"/>
    <hyperlink ref="A12:G12" location="B_TP_Hinweise!A49" display="2.4. Gesamtkalkulation" xr:uid="{9B16E83E-DAEB-43F8-A481-BC905683169F}"/>
  </hyperlinks>
  <printOptions horizontalCentered="1"/>
  <pageMargins left="0.70866141732283472" right="0.70866141732283472" top="0.78740157480314965" bottom="0.78740157480314965" header="0.31496062992125984" footer="0.31496062992125984"/>
  <pageSetup paperSize="9" scale="75" orientation="portrait"/>
  <headerFooter>
    <oddHeader>&amp;C&amp;9&amp;A Seite &amp;P</oddHeader>
    <oddFooter>&amp;L&amp;8Version: 21.10.2026&amp;C&amp;8Verhandlungsunterlagen SGB XI (vereinfacht B_TP)&amp;R&amp;8PSK-Beschluss vom 08.10.2026</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rgb="FFFF0000"/>
    <pageSetUpPr fitToPage="1"/>
  </sheetPr>
  <dimension ref="A1:O82"/>
  <sheetViews>
    <sheetView showGridLines="0" zoomScaleNormal="100" workbookViewId="0">
      <selection activeCell="D16" sqref="D16:H16"/>
    </sheetView>
  </sheetViews>
  <sheetFormatPr baseColWidth="10" defaultRowHeight="13.8" x14ac:dyDescent="0.25"/>
  <cols>
    <col min="1" max="1" width="4.59765625" style="3" customWidth="1"/>
    <col min="2" max="2" width="2.3984375" style="3" customWidth="1"/>
    <col min="3" max="3" width="14.19921875" style="3" customWidth="1"/>
    <col min="4" max="4" width="10.59765625" style="3" customWidth="1"/>
    <col min="5" max="7" width="3.09765625" style="3" customWidth="1"/>
    <col min="8" max="8" width="11" style="3"/>
    <col min="9" max="10" width="2.3984375" style="3" customWidth="1"/>
    <col min="11" max="11" width="12.59765625" style="3" customWidth="1"/>
    <col min="12" max="13" width="7.59765625" style="3" customWidth="1"/>
    <col min="14" max="14" width="5.09765625" style="3" customWidth="1"/>
    <col min="15" max="21" width="11" customWidth="1"/>
  </cols>
  <sheetData>
    <row r="1" spans="1:14" ht="39.75" customHeight="1" x14ac:dyDescent="0.25">
      <c r="A1" s="970" t="s">
        <v>705</v>
      </c>
      <c r="B1" s="971"/>
      <c r="C1" s="971"/>
      <c r="D1" s="971"/>
      <c r="E1" s="971"/>
      <c r="F1" s="971"/>
      <c r="G1" s="971"/>
      <c r="H1" s="971"/>
      <c r="I1" s="971"/>
      <c r="J1" s="971"/>
      <c r="K1" s="971"/>
      <c r="L1" s="971"/>
      <c r="M1" s="971"/>
      <c r="N1" s="972"/>
    </row>
    <row r="2" spans="1:14" ht="15" customHeight="1" x14ac:dyDescent="0.25">
      <c r="A2" s="974" t="s">
        <v>0</v>
      </c>
      <c r="B2" s="975"/>
      <c r="C2" s="975"/>
      <c r="D2" s="975"/>
      <c r="E2" s="975"/>
      <c r="F2" s="975"/>
      <c r="G2" s="975"/>
      <c r="H2" s="975"/>
      <c r="I2" s="975"/>
      <c r="J2" s="975"/>
      <c r="K2" s="975"/>
      <c r="L2" s="975"/>
      <c r="M2" s="975"/>
      <c r="N2" s="976"/>
    </row>
    <row r="3" spans="1:14" x14ac:dyDescent="0.25">
      <c r="A3" s="974" t="str">
        <f>IF(D12&gt;0,CONCATENATE(D12,", ",D16," ",J16),"")</f>
        <v/>
      </c>
      <c r="B3" s="975"/>
      <c r="C3" s="975"/>
      <c r="D3" s="975"/>
      <c r="E3" s="975"/>
      <c r="F3" s="975"/>
      <c r="G3" s="975"/>
      <c r="H3" s="975"/>
      <c r="I3" s="975"/>
      <c r="J3" s="975"/>
      <c r="K3" s="975"/>
      <c r="L3" s="975"/>
      <c r="M3" s="975"/>
      <c r="N3" s="976"/>
    </row>
    <row r="4" spans="1:14" x14ac:dyDescent="0.25">
      <c r="A4" s="131" t="str">
        <f>IF(L6&gt;0,CONCATENATE("IK"," ",L6),"")</f>
        <v/>
      </c>
      <c r="B4" s="122"/>
      <c r="C4" s="122"/>
      <c r="D4" s="122"/>
      <c r="E4" s="122"/>
      <c r="F4" s="122"/>
      <c r="G4" s="122"/>
      <c r="H4" s="122"/>
      <c r="I4" s="122"/>
      <c r="J4" s="122"/>
      <c r="K4" s="299" t="s">
        <v>327</v>
      </c>
      <c r="L4" s="982"/>
      <c r="M4" s="983"/>
      <c r="N4" s="123"/>
    </row>
    <row r="5" spans="1:14" ht="9.75" customHeight="1" thickBot="1" x14ac:dyDescent="0.3">
      <c r="A5" s="855" t="s">
        <v>718</v>
      </c>
      <c r="B5" s="672"/>
      <c r="C5" s="53"/>
      <c r="N5" s="4"/>
    </row>
    <row r="6" spans="1:14" ht="14.4" thickBot="1" x14ac:dyDescent="0.3">
      <c r="A6" s="2"/>
      <c r="B6" s="5" t="s">
        <v>1</v>
      </c>
      <c r="D6" s="977" t="s">
        <v>112</v>
      </c>
      <c r="E6" s="978"/>
      <c r="F6" s="978"/>
      <c r="G6" s="979"/>
      <c r="I6" s="5"/>
      <c r="J6" s="5"/>
      <c r="K6" s="6" t="s">
        <v>432</v>
      </c>
      <c r="L6" s="980"/>
      <c r="M6" s="981"/>
      <c r="N6" s="4"/>
    </row>
    <row r="7" spans="1:14" ht="6.9" customHeight="1" x14ac:dyDescent="0.25">
      <c r="A7" s="2"/>
      <c r="B7" s="7"/>
      <c r="C7" s="8"/>
      <c r="D7" s="458" t="s">
        <v>644</v>
      </c>
      <c r="E7" s="57" t="str">
        <f>IF(D6&gt;0,IF(D6="Wohnpflegeheim","WPH",""))</f>
        <v/>
      </c>
      <c r="F7" s="57" t="str">
        <f>IF(D6="4. Generation","4.","")</f>
        <v/>
      </c>
      <c r="N7" s="4"/>
    </row>
    <row r="8" spans="1:14" ht="12.75" customHeight="1" x14ac:dyDescent="0.25">
      <c r="A8" s="2"/>
      <c r="B8" s="7"/>
      <c r="C8" s="8"/>
      <c r="D8" s="850"/>
      <c r="E8" s="57"/>
      <c r="F8" s="57"/>
      <c r="H8" s="973"/>
      <c r="I8" s="973"/>
      <c r="J8" s="973"/>
      <c r="K8" s="973"/>
      <c r="N8" s="4"/>
    </row>
    <row r="9" spans="1:14" ht="12.75" customHeight="1" x14ac:dyDescent="0.25">
      <c r="A9" s="2"/>
      <c r="B9" s="7"/>
      <c r="C9" s="8"/>
      <c r="D9" s="468"/>
      <c r="E9" s="468"/>
      <c r="F9" s="57"/>
      <c r="J9" s="836"/>
      <c r="N9" s="4"/>
    </row>
    <row r="10" spans="1:14" x14ac:dyDescent="0.25">
      <c r="A10" s="2"/>
      <c r="B10" s="38" t="s">
        <v>2</v>
      </c>
      <c r="C10" s="37"/>
      <c r="D10" s="37"/>
      <c r="E10" s="37"/>
      <c r="F10" s="37"/>
      <c r="G10" s="37"/>
      <c r="H10" s="37"/>
      <c r="I10" s="37"/>
      <c r="J10" s="37"/>
      <c r="K10" s="37"/>
      <c r="L10" s="37"/>
      <c r="M10" s="37"/>
      <c r="N10" s="4"/>
    </row>
    <row r="11" spans="1:14" ht="12.75" customHeight="1" x14ac:dyDescent="0.25">
      <c r="A11" s="2"/>
      <c r="D11" s="459" t="str">
        <f>IF(AND(D6=0,D12&lt;&gt;0),"bitte wählen Sie noch die Art der Einrichtung aus","")</f>
        <v/>
      </c>
      <c r="N11" s="4"/>
    </row>
    <row r="12" spans="1:14" x14ac:dyDescent="0.25">
      <c r="A12" s="2"/>
      <c r="B12" s="9" t="s">
        <v>114</v>
      </c>
      <c r="D12" s="984"/>
      <c r="E12" s="985"/>
      <c r="F12" s="985"/>
      <c r="G12" s="985"/>
      <c r="H12" s="985"/>
      <c r="I12" s="985"/>
      <c r="J12" s="985"/>
      <c r="K12" s="985"/>
      <c r="L12" s="985"/>
      <c r="M12" s="985"/>
      <c r="N12" s="10"/>
    </row>
    <row r="13" spans="1:14" x14ac:dyDescent="0.25">
      <c r="A13" s="2"/>
      <c r="D13" s="11" t="s">
        <v>3</v>
      </c>
      <c r="E13" s="11"/>
      <c r="J13" s="11"/>
      <c r="K13" s="11"/>
      <c r="L13" s="11"/>
      <c r="M13" s="11"/>
      <c r="N13" s="12"/>
    </row>
    <row r="14" spans="1:14" x14ac:dyDescent="0.25">
      <c r="A14" s="2"/>
      <c r="D14" s="984"/>
      <c r="E14" s="985"/>
      <c r="F14" s="985"/>
      <c r="G14" s="985"/>
      <c r="H14" s="985"/>
      <c r="I14" s="985"/>
      <c r="J14" s="985"/>
      <c r="K14" s="985"/>
      <c r="L14" s="985"/>
      <c r="M14" s="985"/>
      <c r="N14" s="4"/>
    </row>
    <row r="15" spans="1:14" x14ac:dyDescent="0.25">
      <c r="A15" s="2"/>
      <c r="D15" s="11" t="s">
        <v>4</v>
      </c>
      <c r="E15" s="11"/>
      <c r="N15" s="4"/>
    </row>
    <row r="16" spans="1:14" x14ac:dyDescent="0.25">
      <c r="A16" s="2"/>
      <c r="D16" s="1001"/>
      <c r="E16" s="992"/>
      <c r="F16" s="992"/>
      <c r="G16" s="992"/>
      <c r="H16" s="992"/>
      <c r="I16"/>
      <c r="J16" s="1003"/>
      <c r="K16" s="1004"/>
      <c r="L16" s="1004"/>
      <c r="M16" s="1004"/>
      <c r="N16" s="4"/>
    </row>
    <row r="17" spans="1:14" x14ac:dyDescent="0.25">
      <c r="A17" s="2"/>
      <c r="D17" s="11" t="s">
        <v>632</v>
      </c>
      <c r="E17" s="11"/>
      <c r="J17" s="791" t="s">
        <v>633</v>
      </c>
      <c r="N17" s="4"/>
    </row>
    <row r="18" spans="1:14" x14ac:dyDescent="0.25">
      <c r="A18" s="2"/>
      <c r="D18" s="1001"/>
      <c r="E18" s="992"/>
      <c r="F18" s="992"/>
      <c r="G18" s="992"/>
      <c r="H18" s="985"/>
      <c r="J18" s="1002"/>
      <c r="K18" s="994"/>
      <c r="L18" s="994"/>
      <c r="M18" s="994"/>
      <c r="N18" s="4"/>
    </row>
    <row r="19" spans="1:14" x14ac:dyDescent="0.25">
      <c r="A19" s="2"/>
      <c r="D19" s="11" t="s">
        <v>5</v>
      </c>
      <c r="E19" s="11"/>
      <c r="J19" s="11" t="s">
        <v>6</v>
      </c>
      <c r="K19" s="11"/>
      <c r="L19" s="11"/>
      <c r="N19" s="4"/>
    </row>
    <row r="20" spans="1:14" x14ac:dyDescent="0.25">
      <c r="A20" s="2"/>
      <c r="D20" s="991"/>
      <c r="E20" s="992"/>
      <c r="F20" s="992"/>
      <c r="G20" s="992"/>
      <c r="H20" s="985"/>
      <c r="J20" s="993"/>
      <c r="K20" s="994"/>
      <c r="L20" s="994"/>
      <c r="M20" s="994"/>
      <c r="N20" s="4"/>
    </row>
    <row r="21" spans="1:14" x14ac:dyDescent="0.25">
      <c r="A21" s="2"/>
      <c r="D21" s="11" t="s">
        <v>7</v>
      </c>
      <c r="E21" s="11"/>
      <c r="J21" s="13" t="s">
        <v>116</v>
      </c>
      <c r="N21" s="4"/>
    </row>
    <row r="22" spans="1:14" ht="14.25" customHeight="1" x14ac:dyDescent="0.25">
      <c r="A22" s="2"/>
      <c r="D22" s="1001"/>
      <c r="E22" s="992"/>
      <c r="F22" s="992"/>
      <c r="G22" s="992"/>
      <c r="H22" s="985"/>
      <c r="J22" s="1002"/>
      <c r="K22" s="994"/>
      <c r="L22" s="994"/>
      <c r="M22" s="994"/>
      <c r="N22" s="4"/>
    </row>
    <row r="23" spans="1:14" x14ac:dyDescent="0.25">
      <c r="A23" s="2"/>
      <c r="D23" s="11" t="s">
        <v>115</v>
      </c>
      <c r="E23" s="11"/>
      <c r="J23" s="11" t="s">
        <v>8</v>
      </c>
      <c r="K23" s="11"/>
      <c r="L23" s="11"/>
      <c r="N23" s="4"/>
    </row>
    <row r="24" spans="1:14" ht="8.25" customHeight="1" x14ac:dyDescent="0.25">
      <c r="A24" s="2"/>
      <c r="D24" s="11"/>
      <c r="E24" s="11"/>
      <c r="J24" s="13"/>
      <c r="N24" s="4"/>
    </row>
    <row r="25" spans="1:14" ht="6" customHeight="1" x14ac:dyDescent="0.25">
      <c r="A25" s="2"/>
      <c r="D25" s="11"/>
      <c r="E25" s="11"/>
      <c r="N25" s="4"/>
    </row>
    <row r="26" spans="1:14" x14ac:dyDescent="0.25">
      <c r="A26" s="2"/>
      <c r="B26" s="9" t="s">
        <v>9</v>
      </c>
      <c r="D26" s="984"/>
      <c r="E26" s="984"/>
      <c r="F26" s="984"/>
      <c r="G26" s="984"/>
      <c r="H26" s="984"/>
      <c r="I26" s="984"/>
      <c r="J26" s="984"/>
      <c r="K26" s="984"/>
      <c r="L26" s="984"/>
      <c r="M26" s="984"/>
      <c r="N26" s="4"/>
    </row>
    <row r="27" spans="1:14" x14ac:dyDescent="0.25">
      <c r="A27" s="2"/>
      <c r="D27" s="11" t="s">
        <v>10</v>
      </c>
      <c r="E27" s="11"/>
      <c r="N27" s="4"/>
    </row>
    <row r="28" spans="1:14" x14ac:dyDescent="0.25">
      <c r="A28" s="2"/>
      <c r="D28" s="984"/>
      <c r="E28" s="985"/>
      <c r="F28" s="985"/>
      <c r="G28" s="985"/>
      <c r="H28" s="985"/>
      <c r="I28" s="985"/>
      <c r="J28" s="985"/>
      <c r="K28" s="985"/>
      <c r="L28" s="985"/>
      <c r="M28" s="985"/>
      <c r="N28" s="4"/>
    </row>
    <row r="29" spans="1:14" ht="14.25" customHeight="1" x14ac:dyDescent="0.25">
      <c r="A29" s="2"/>
      <c r="D29" s="11" t="s">
        <v>4</v>
      </c>
      <c r="E29" s="11"/>
      <c r="N29" s="4"/>
    </row>
    <row r="30" spans="1:14" x14ac:dyDescent="0.25">
      <c r="A30" s="2"/>
      <c r="D30" s="1001"/>
      <c r="E30" s="992"/>
      <c r="F30" s="992"/>
      <c r="G30" s="992"/>
      <c r="H30" s="992"/>
      <c r="I30"/>
      <c r="J30" s="1005"/>
      <c r="K30" s="1004"/>
      <c r="L30" s="1004"/>
      <c r="M30" s="1004"/>
      <c r="N30" s="4"/>
    </row>
    <row r="31" spans="1:14" x14ac:dyDescent="0.25">
      <c r="A31" s="2"/>
      <c r="D31" s="11" t="s">
        <v>632</v>
      </c>
      <c r="E31" s="11"/>
      <c r="J31" s="791" t="s">
        <v>633</v>
      </c>
      <c r="N31" s="4"/>
    </row>
    <row r="32" spans="1:14" x14ac:dyDescent="0.25">
      <c r="A32" s="2"/>
      <c r="D32" s="1001"/>
      <c r="E32" s="992"/>
      <c r="F32" s="992"/>
      <c r="G32" s="992"/>
      <c r="H32" s="985"/>
      <c r="J32" s="1002"/>
      <c r="K32" s="994"/>
      <c r="L32" s="994"/>
      <c r="M32" s="994"/>
      <c r="N32" s="4"/>
    </row>
    <row r="33" spans="1:14" x14ac:dyDescent="0.25">
      <c r="A33" s="2"/>
      <c r="D33" s="11" t="s">
        <v>5</v>
      </c>
      <c r="E33" s="11"/>
      <c r="J33" s="11" t="s">
        <v>6</v>
      </c>
      <c r="K33" s="11"/>
      <c r="L33" s="11"/>
      <c r="M33" s="11"/>
      <c r="N33" s="12"/>
    </row>
    <row r="34" spans="1:14" x14ac:dyDescent="0.25">
      <c r="A34" s="2"/>
      <c r="D34" s="991"/>
      <c r="E34" s="992"/>
      <c r="F34" s="992"/>
      <c r="G34" s="992"/>
      <c r="H34" s="985"/>
      <c r="J34" s="993"/>
      <c r="K34" s="994"/>
      <c r="L34" s="994"/>
      <c r="M34" s="994"/>
      <c r="N34" s="4"/>
    </row>
    <row r="35" spans="1:14" x14ac:dyDescent="0.25">
      <c r="A35" s="2"/>
      <c r="D35" s="11" t="s">
        <v>7</v>
      </c>
      <c r="E35" s="11"/>
      <c r="J35" s="13" t="s">
        <v>116</v>
      </c>
      <c r="N35" s="4"/>
    </row>
    <row r="36" spans="1:14" x14ac:dyDescent="0.25">
      <c r="A36" s="2"/>
      <c r="D36" s="984"/>
      <c r="E36" s="985"/>
      <c r="F36" s="985"/>
      <c r="G36" s="985"/>
      <c r="H36" s="985"/>
      <c r="I36" s="985"/>
      <c r="J36" s="985"/>
      <c r="K36" s="985"/>
      <c r="L36" s="985"/>
      <c r="M36" s="985"/>
      <c r="N36" s="4"/>
    </row>
    <row r="37" spans="1:14" x14ac:dyDescent="0.25">
      <c r="A37" s="2"/>
      <c r="D37" s="11" t="s">
        <v>215</v>
      </c>
      <c r="E37" s="11"/>
      <c r="J37" s="13"/>
      <c r="N37" s="4"/>
    </row>
    <row r="38" spans="1:14" ht="6.9" customHeight="1" x14ac:dyDescent="0.25">
      <c r="A38" s="2"/>
      <c r="D38" s="11"/>
      <c r="E38" s="11"/>
      <c r="N38" s="4"/>
    </row>
    <row r="39" spans="1:14" x14ac:dyDescent="0.25">
      <c r="A39" s="2"/>
      <c r="B39" s="38" t="s">
        <v>11</v>
      </c>
      <c r="C39" s="37"/>
      <c r="D39" s="49"/>
      <c r="E39" s="49"/>
      <c r="F39" s="37"/>
      <c r="G39" s="37"/>
      <c r="H39" s="37"/>
      <c r="I39" s="37"/>
      <c r="J39" s="37"/>
      <c r="K39" s="37"/>
      <c r="L39" s="37"/>
      <c r="M39" s="37"/>
      <c r="N39" s="4"/>
    </row>
    <row r="40" spans="1:14" ht="6" customHeight="1" x14ac:dyDescent="0.25">
      <c r="A40" s="2"/>
      <c r="D40" s="11"/>
      <c r="E40" s="11"/>
      <c r="N40" s="4"/>
    </row>
    <row r="41" spans="1:14" x14ac:dyDescent="0.25">
      <c r="A41" s="2"/>
      <c r="C41" s="435"/>
      <c r="E41" s="9"/>
      <c r="G41" s="15" t="s">
        <v>12</v>
      </c>
      <c r="H41" s="986"/>
      <c r="I41" s="985"/>
      <c r="J41" s="985"/>
      <c r="K41" s="985"/>
      <c r="L41" s="985"/>
      <c r="M41" s="985"/>
      <c r="N41" s="4"/>
    </row>
    <row r="42" spans="1:14" ht="6" customHeight="1" x14ac:dyDescent="0.25">
      <c r="A42" s="2"/>
      <c r="D42" s="11"/>
      <c r="E42" s="11"/>
      <c r="N42" s="4"/>
    </row>
    <row r="43" spans="1:14" s="3" customFormat="1" ht="12.75" customHeight="1" x14ac:dyDescent="0.25">
      <c r="A43" s="2"/>
      <c r="B43" s="9" t="s">
        <v>13</v>
      </c>
      <c r="D43" s="11"/>
      <c r="E43" s="11"/>
      <c r="I43" s="267"/>
      <c r="N43" s="4"/>
    </row>
    <row r="44" spans="1:14" ht="9" customHeight="1" x14ac:dyDescent="0.25">
      <c r="A44" s="2"/>
      <c r="D44" s="11"/>
      <c r="E44" s="11"/>
      <c r="N44" s="4"/>
    </row>
    <row r="45" spans="1:14" ht="12.75" customHeight="1" x14ac:dyDescent="0.25">
      <c r="A45" s="2"/>
      <c r="B45" s="14" t="s">
        <v>333</v>
      </c>
      <c r="D45" s="11"/>
      <c r="E45" s="11"/>
      <c r="H45" s="460"/>
      <c r="K45" s="503">
        <f>DATEDIF(H45,H52,"m")</f>
        <v>0</v>
      </c>
      <c r="N45" s="4"/>
    </row>
    <row r="46" spans="1:14" ht="12.75" customHeight="1" thickBot="1" x14ac:dyDescent="0.3">
      <c r="A46" s="2"/>
      <c r="D46" s="11"/>
      <c r="E46" s="11"/>
      <c r="K46" s="462" t="str">
        <f>IF(AND(H45="",H52&lt;&gt;""),"Bitte Erfassung des Zulassungsdatums!","")</f>
        <v/>
      </c>
      <c r="N46" s="4"/>
    </row>
    <row r="47" spans="1:14" ht="14.4" thickBot="1" x14ac:dyDescent="0.3">
      <c r="A47" s="2"/>
      <c r="B47" s="14" t="s">
        <v>14</v>
      </c>
      <c r="L47" s="436"/>
      <c r="N47" s="4"/>
    </row>
    <row r="48" spans="1:14" ht="5.0999999999999996" customHeight="1" x14ac:dyDescent="0.25">
      <c r="A48" s="2"/>
      <c r="B48" s="14"/>
      <c r="N48" s="4"/>
    </row>
    <row r="49" spans="1:15" ht="6.9" customHeight="1" x14ac:dyDescent="0.25">
      <c r="A49" s="2"/>
      <c r="B49" s="14"/>
      <c r="H49" s="671"/>
      <c r="L49" s="175"/>
      <c r="N49" s="4"/>
    </row>
    <row r="50" spans="1:15" ht="12.75" customHeight="1" x14ac:dyDescent="0.25">
      <c r="A50" s="268"/>
      <c r="B50" s="269" t="s">
        <v>15</v>
      </c>
      <c r="C50" s="16"/>
      <c r="D50" s="16"/>
      <c r="E50" s="270"/>
      <c r="F50" s="271"/>
      <c r="G50" s="271"/>
      <c r="H50" s="437"/>
      <c r="L50" s="15" t="s">
        <v>16</v>
      </c>
      <c r="M50" s="440"/>
      <c r="N50" s="17"/>
    </row>
    <row r="51" spans="1:15" ht="8.25" customHeight="1" thickBot="1" x14ac:dyDescent="0.3">
      <c r="A51" s="2"/>
      <c r="B51" s="14"/>
      <c r="N51" s="4"/>
    </row>
    <row r="52" spans="1:15" s="273" customFormat="1" thickBot="1" x14ac:dyDescent="0.3">
      <c r="A52" s="272"/>
      <c r="B52" s="269" t="s">
        <v>484</v>
      </c>
      <c r="E52" s="274"/>
      <c r="F52" s="987" t="s">
        <v>17</v>
      </c>
      <c r="G52" s="987"/>
      <c r="H52" s="438"/>
      <c r="I52" s="275"/>
      <c r="J52" s="276" t="s">
        <v>18</v>
      </c>
      <c r="K52" s="439"/>
      <c r="N52" s="277"/>
      <c r="O52" s="296"/>
    </row>
    <row r="53" spans="1:15" s="273" customFormat="1" ht="7.5" customHeight="1" x14ac:dyDescent="0.25">
      <c r="A53" s="272"/>
      <c r="B53" s="269"/>
      <c r="E53" s="274"/>
      <c r="F53" s="300"/>
      <c r="G53" s="300"/>
      <c r="H53" s="433"/>
      <c r="I53" s="297"/>
      <c r="J53" s="298"/>
      <c r="K53" s="434"/>
      <c r="N53" s="277"/>
      <c r="O53" s="296"/>
    </row>
    <row r="54" spans="1:15" s="273" customFormat="1" ht="13.2" x14ac:dyDescent="0.25">
      <c r="A54" s="272"/>
      <c r="B54" s="269" t="s">
        <v>326</v>
      </c>
      <c r="E54" s="274"/>
      <c r="F54" s="987" t="s">
        <v>17</v>
      </c>
      <c r="G54" s="987"/>
      <c r="H54" s="437"/>
      <c r="I54" s="275"/>
      <c r="J54" s="276" t="s">
        <v>18</v>
      </c>
      <c r="K54" s="437"/>
      <c r="N54" s="277"/>
      <c r="O54" s="296"/>
    </row>
    <row r="55" spans="1:15" s="273" customFormat="1" ht="9" customHeight="1" x14ac:dyDescent="0.25">
      <c r="A55" s="272"/>
      <c r="B55" s="269"/>
      <c r="E55" s="274"/>
      <c r="F55" s="300"/>
      <c r="G55" s="300"/>
      <c r="H55" s="504"/>
      <c r="I55" s="297"/>
      <c r="J55" s="298"/>
      <c r="K55" s="504"/>
      <c r="N55" s="277"/>
      <c r="O55" s="296"/>
    </row>
    <row r="56" spans="1:15" s="273" customFormat="1" ht="13.2" x14ac:dyDescent="0.25">
      <c r="A56" s="272"/>
      <c r="B56" s="269" t="s">
        <v>359</v>
      </c>
      <c r="E56" s="274"/>
      <c r="F56" s="300"/>
      <c r="G56" s="300"/>
      <c r="H56" s="669"/>
      <c r="I56" s="275"/>
      <c r="J56" s="276"/>
      <c r="N56" s="277"/>
      <c r="O56" s="296"/>
    </row>
    <row r="57" spans="1:15" s="273" customFormat="1" ht="13.2" x14ac:dyDescent="0.25">
      <c r="A57" s="272"/>
      <c r="B57" s="269"/>
      <c r="E57" s="274"/>
      <c r="F57" s="300"/>
      <c r="G57" s="300"/>
      <c r="H57" s="998"/>
      <c r="I57" s="999"/>
      <c r="J57" s="1000"/>
      <c r="N57" s="277"/>
      <c r="O57" s="296"/>
    </row>
    <row r="58" spans="1:15" s="273" customFormat="1" ht="13.2" x14ac:dyDescent="0.25">
      <c r="A58" s="272"/>
      <c r="B58" s="269" t="s">
        <v>358</v>
      </c>
      <c r="E58" s="274"/>
      <c r="F58" s="300"/>
      <c r="G58" s="300"/>
      <c r="H58" s="995"/>
      <c r="I58" s="996"/>
      <c r="J58" s="996"/>
      <c r="K58" s="996"/>
      <c r="L58" s="996"/>
      <c r="M58" s="997"/>
      <c r="N58" s="277"/>
      <c r="O58" s="296"/>
    </row>
    <row r="59" spans="1:15" s="273" customFormat="1" ht="13.2" x14ac:dyDescent="0.25">
      <c r="A59" s="272"/>
      <c r="B59" s="269" t="s">
        <v>360</v>
      </c>
      <c r="E59" s="274"/>
      <c r="F59" s="300"/>
      <c r="G59" s="300"/>
      <c r="H59" s="474"/>
      <c r="I59" s="505"/>
      <c r="J59" s="505"/>
      <c r="K59" s="476" t="str">
        <f>IF(H58="","Bitte Angaben zum Tarif / AVR vornehmen.","")</f>
        <v>Bitte Angaben zum Tarif / AVR vornehmen.</v>
      </c>
      <c r="L59" s="505"/>
      <c r="M59" s="505"/>
      <c r="N59" s="277"/>
      <c r="O59" s="296"/>
    </row>
    <row r="60" spans="1:15" ht="9" customHeight="1" x14ac:dyDescent="0.25">
      <c r="A60" s="2"/>
      <c r="B60" s="14"/>
      <c r="N60" s="4"/>
    </row>
    <row r="61" spans="1:15" ht="12.75" customHeight="1" x14ac:dyDescent="0.25">
      <c r="A61" s="18"/>
      <c r="B61" s="279" t="s">
        <v>134</v>
      </c>
      <c r="C61" s="197"/>
      <c r="D61" s="197"/>
      <c r="E61" s="197"/>
      <c r="F61" s="197"/>
      <c r="G61" s="197"/>
      <c r="H61" s="197"/>
      <c r="I61" s="197"/>
      <c r="J61" s="197"/>
      <c r="K61" s="197"/>
      <c r="L61" s="197"/>
      <c r="M61" s="197"/>
      <c r="N61" s="17"/>
    </row>
    <row r="62" spans="1:15" ht="6.75" customHeight="1" x14ac:dyDescent="0.25">
      <c r="A62" s="18"/>
      <c r="B62" s="269"/>
      <c r="C62"/>
      <c r="D62"/>
      <c r="E62"/>
      <c r="F62"/>
      <c r="G62"/>
      <c r="H62"/>
      <c r="I62"/>
      <c r="J62"/>
      <c r="K62"/>
      <c r="L62"/>
      <c r="M62"/>
      <c r="N62" s="17"/>
    </row>
    <row r="63" spans="1:15" ht="15" customHeight="1" x14ac:dyDescent="0.25">
      <c r="A63" s="18"/>
      <c r="B63"/>
      <c r="C63" s="133" t="s">
        <v>717</v>
      </c>
      <c r="D63" s="19"/>
      <c r="E63" s="280"/>
      <c r="F63" s="280"/>
      <c r="G63" s="54"/>
      <c r="H63" s="20"/>
      <c r="I63" s="281"/>
      <c r="J63" s="282"/>
      <c r="K63" s="125"/>
      <c r="L63" s="19"/>
      <c r="M63" s="125"/>
      <c r="N63" s="4"/>
    </row>
    <row r="64" spans="1:15" s="273" customFormat="1" ht="14.25" customHeight="1" x14ac:dyDescent="0.25">
      <c r="A64" s="272"/>
      <c r="C64" s="284" t="s">
        <v>19</v>
      </c>
      <c r="D64" s="285"/>
      <c r="E64" s="285"/>
      <c r="F64" s="285"/>
      <c r="G64" s="285"/>
      <c r="H64" s="52" t="s">
        <v>135</v>
      </c>
      <c r="I64" s="285"/>
      <c r="J64" s="285"/>
      <c r="K64" s="441"/>
      <c r="M64" s="277"/>
      <c r="N64" s="277"/>
    </row>
    <row r="65" spans="1:14" s="273" customFormat="1" ht="14.25" customHeight="1" x14ac:dyDescent="0.25">
      <c r="A65" s="272"/>
      <c r="C65" s="284" t="s">
        <v>20</v>
      </c>
      <c r="D65" s="285"/>
      <c r="E65" s="285"/>
      <c r="F65" s="285"/>
      <c r="G65" s="285"/>
      <c r="H65" s="52" t="s">
        <v>135</v>
      </c>
      <c r="I65" s="285"/>
      <c r="J65" s="285"/>
      <c r="K65" s="442"/>
      <c r="L65" s="286"/>
      <c r="M65" s="287"/>
      <c r="N65" s="277"/>
    </row>
    <row r="66" spans="1:14" s="273" customFormat="1" ht="14.25" customHeight="1" x14ac:dyDescent="0.25">
      <c r="A66" s="272"/>
      <c r="C66" s="284" t="s">
        <v>21</v>
      </c>
      <c r="D66" s="285"/>
      <c r="E66" s="285"/>
      <c r="F66" s="285"/>
      <c r="G66" s="285"/>
      <c r="H66" s="52" t="s">
        <v>135</v>
      </c>
      <c r="I66" s="285"/>
      <c r="J66" s="285"/>
      <c r="K66" s="442"/>
      <c r="L66" s="286"/>
      <c r="M66" s="287"/>
      <c r="N66" s="277"/>
    </row>
    <row r="67" spans="1:14" s="273" customFormat="1" ht="14.25" customHeight="1" x14ac:dyDescent="0.25">
      <c r="A67" s="272"/>
      <c r="C67" s="284" t="s">
        <v>22</v>
      </c>
      <c r="D67" s="285"/>
      <c r="E67" s="285"/>
      <c r="F67" s="285"/>
      <c r="G67" s="285"/>
      <c r="H67" s="52" t="s">
        <v>135</v>
      </c>
      <c r="I67" s="285"/>
      <c r="J67" s="285"/>
      <c r="K67" s="441"/>
      <c r="L67" s="286"/>
      <c r="M67" s="287"/>
      <c r="N67" s="277"/>
    </row>
    <row r="68" spans="1:14" s="273" customFormat="1" ht="14.25" customHeight="1" x14ac:dyDescent="0.25">
      <c r="A68" s="272"/>
      <c r="C68" s="284" t="s">
        <v>23</v>
      </c>
      <c r="D68" s="285"/>
      <c r="E68" s="285"/>
      <c r="F68" s="285"/>
      <c r="G68" s="285"/>
      <c r="H68" s="52" t="s">
        <v>135</v>
      </c>
      <c r="I68" s="285"/>
      <c r="J68" s="285"/>
      <c r="K68" s="441"/>
      <c r="L68" s="286"/>
      <c r="M68" s="287"/>
      <c r="N68" s="277"/>
    </row>
    <row r="69" spans="1:14" s="273" customFormat="1" ht="14.25" customHeight="1" x14ac:dyDescent="0.25">
      <c r="A69" s="272"/>
      <c r="C69" s="284" t="s">
        <v>24</v>
      </c>
      <c r="D69" s="285"/>
      <c r="E69" s="285"/>
      <c r="F69" s="285"/>
      <c r="G69" s="285"/>
      <c r="H69" s="52" t="s">
        <v>135</v>
      </c>
      <c r="I69" s="285"/>
      <c r="J69" s="285"/>
      <c r="K69" s="441"/>
      <c r="L69" s="286"/>
      <c r="M69" s="287"/>
      <c r="N69" s="277"/>
    </row>
    <row r="70" spans="1:14" s="273" customFormat="1" ht="14.25" customHeight="1" x14ac:dyDescent="0.25">
      <c r="A70" s="272"/>
      <c r="C70" s="21" t="s">
        <v>25</v>
      </c>
      <c r="D70" s="22"/>
      <c r="E70" s="22"/>
      <c r="F70" s="22"/>
      <c r="G70" s="288"/>
      <c r="H70" s="26" t="s">
        <v>135</v>
      </c>
      <c r="I70" s="289"/>
      <c r="J70" s="289"/>
      <c r="K70" s="441"/>
      <c r="L70" s="286"/>
      <c r="M70" s="287"/>
      <c r="N70" s="277"/>
    </row>
    <row r="71" spans="1:14" s="273" customFormat="1" ht="13.95" customHeight="1" x14ac:dyDescent="0.25">
      <c r="A71" s="272"/>
      <c r="C71" s="23"/>
      <c r="D71" s="9"/>
      <c r="E71" s="9"/>
      <c r="F71" s="9"/>
      <c r="H71" s="9"/>
      <c r="I71" s="9"/>
      <c r="J71" s="9"/>
      <c r="K71" s="670" t="str">
        <f>IF(OR(SUM(K64:K70)&lt;100,SUM(K64:K70)&gt;100),"Anteil der Kostenträger entspricht nicht 100%.","")</f>
        <v>Anteil der Kostenträger entspricht nicht 100%.</v>
      </c>
      <c r="M71" s="277"/>
      <c r="N71" s="277"/>
    </row>
    <row r="72" spans="1:14" s="273" customFormat="1" ht="12.75" customHeight="1" x14ac:dyDescent="0.25">
      <c r="A72" s="272"/>
      <c r="C72" s="21"/>
      <c r="D72" s="22"/>
      <c r="E72" s="24"/>
      <c r="F72" s="24"/>
      <c r="G72" s="288"/>
      <c r="H72" s="25" t="s">
        <v>133</v>
      </c>
      <c r="I72" s="288"/>
      <c r="J72" s="26"/>
      <c r="K72" s="443"/>
      <c r="L72" s="290"/>
      <c r="M72" s="291"/>
      <c r="N72" s="277"/>
    </row>
    <row r="73" spans="1:14" s="273" customFormat="1" ht="12.75" customHeight="1" x14ac:dyDescent="0.25">
      <c r="A73" s="272"/>
      <c r="C73" s="9"/>
      <c r="D73" s="9"/>
      <c r="E73" s="27"/>
      <c r="F73" s="27"/>
      <c r="G73" s="27"/>
      <c r="H73" s="27"/>
      <c r="I73" s="27"/>
      <c r="J73" s="27"/>
      <c r="K73" s="467" t="str">
        <f>IF(AND(H52&gt;0,K72&lt;5),"Mappe 'Allgemeine Angaben' und Mappe 'Forderung' an den KSV senden!","")</f>
        <v/>
      </c>
      <c r="L73" s="27"/>
      <c r="M73" s="9"/>
      <c r="N73" s="28"/>
    </row>
    <row r="74" spans="1:14" s="32" customFormat="1" ht="14.25" customHeight="1" x14ac:dyDescent="0.25">
      <c r="A74" s="29"/>
      <c r="B74" s="50" t="s">
        <v>221</v>
      </c>
      <c r="C74" s="50"/>
      <c r="D74" s="50"/>
      <c r="E74" s="50"/>
      <c r="F74" s="50"/>
      <c r="G74" s="50"/>
      <c r="H74" s="50"/>
      <c r="I74" s="50"/>
      <c r="J74" s="50"/>
      <c r="K74" s="50"/>
      <c r="L74" s="50"/>
      <c r="M74" s="50"/>
      <c r="N74" s="31"/>
    </row>
    <row r="75" spans="1:14" s="273" customFormat="1" ht="3" customHeight="1" x14ac:dyDescent="0.25">
      <c r="A75" s="272"/>
      <c r="C75" s="9"/>
      <c r="D75" s="9"/>
      <c r="E75" s="27"/>
      <c r="F75" s="27"/>
      <c r="G75" s="27"/>
      <c r="H75" s="27"/>
      <c r="I75" s="27"/>
      <c r="J75" s="27"/>
      <c r="K75" s="27"/>
      <c r="L75" s="27"/>
      <c r="M75" s="9"/>
      <c r="N75" s="28"/>
    </row>
    <row r="76" spans="1:14" s="32" customFormat="1" ht="14.25" customHeight="1" x14ac:dyDescent="0.25">
      <c r="A76" s="29"/>
      <c r="B76" s="461" t="s">
        <v>334</v>
      </c>
      <c r="E76" s="30"/>
      <c r="F76" s="30"/>
      <c r="G76" s="30"/>
      <c r="H76" s="30"/>
      <c r="I76" s="30"/>
      <c r="J76" s="30"/>
      <c r="K76" s="30"/>
      <c r="L76" s="444"/>
      <c r="M76" s="47"/>
      <c r="N76" s="31"/>
    </row>
    <row r="77" spans="1:14" s="273" customFormat="1" ht="3" hidden="1" customHeight="1" x14ac:dyDescent="0.25">
      <c r="A77" s="272"/>
      <c r="C77" s="9"/>
      <c r="D77" s="9"/>
      <c r="E77" s="9"/>
      <c r="F77" s="9"/>
      <c r="G77" s="9"/>
      <c r="H77" s="9"/>
      <c r="I77" s="9"/>
      <c r="J77" s="9"/>
      <c r="K77" s="9"/>
      <c r="M77" s="48"/>
      <c r="N77" s="28"/>
    </row>
    <row r="78" spans="1:14" s="32" customFormat="1" ht="14.25" hidden="1" customHeight="1" x14ac:dyDescent="0.25">
      <c r="A78" s="29"/>
      <c r="B78" s="124" t="s">
        <v>222</v>
      </c>
      <c r="E78" s="30"/>
      <c r="F78" s="30"/>
      <c r="G78" s="30"/>
      <c r="H78" s="30"/>
      <c r="I78" s="30"/>
      <c r="J78" s="30"/>
      <c r="K78" s="30"/>
      <c r="L78" s="444"/>
      <c r="M78" s="47"/>
      <c r="N78" s="31"/>
    </row>
    <row r="79" spans="1:14" ht="12.75" customHeight="1" x14ac:dyDescent="0.25">
      <c r="A79" s="33"/>
      <c r="B79" s="34"/>
      <c r="C79" s="34"/>
      <c r="D79" s="34"/>
      <c r="E79" s="34"/>
      <c r="F79" s="34"/>
      <c r="G79" s="34"/>
      <c r="H79" s="34"/>
      <c r="I79" s="34"/>
      <c r="J79" s="34"/>
      <c r="K79" s="34"/>
      <c r="L79" s="34"/>
      <c r="M79" s="34"/>
      <c r="N79" s="35"/>
    </row>
    <row r="80" spans="1:14" ht="14.4" thickBot="1" x14ac:dyDescent="0.3"/>
    <row r="81" spans="4:11" ht="14.4" thickBot="1" x14ac:dyDescent="0.3">
      <c r="D81" s="988" t="s">
        <v>637</v>
      </c>
      <c r="E81" s="989"/>
      <c r="F81" s="989"/>
      <c r="G81" s="989"/>
      <c r="H81" s="989"/>
      <c r="I81" s="989"/>
      <c r="J81" s="990"/>
      <c r="K81" s="881"/>
    </row>
    <row r="82" spans="4:11" x14ac:dyDescent="0.25">
      <c r="J82" s="881"/>
    </row>
  </sheetData>
  <sheetProtection algorithmName="SHA-512" hashValue="VPORxzZ5K4W3nudtKJYmLLptEGzMQjN6fyuVUZl4k5Ab6Eoz7qoeSkLTvZCAjcNrB8WFYdhTOICFJIHh0m17BQ==" saltValue="A0XhobVfM3NQ0uYC54MCDQ==" spinCount="100000" sheet="1" selectLockedCells="1"/>
  <mergeCells count="32">
    <mergeCell ref="D32:H32"/>
    <mergeCell ref="J32:M32"/>
    <mergeCell ref="D12:M12"/>
    <mergeCell ref="D14:M14"/>
    <mergeCell ref="D18:H18"/>
    <mergeCell ref="J18:M18"/>
    <mergeCell ref="D20:H20"/>
    <mergeCell ref="J20:M20"/>
    <mergeCell ref="D22:H22"/>
    <mergeCell ref="J22:M22"/>
    <mergeCell ref="D26:M26"/>
    <mergeCell ref="D28:M28"/>
    <mergeCell ref="D16:H16"/>
    <mergeCell ref="J16:M16"/>
    <mergeCell ref="D30:H30"/>
    <mergeCell ref="J30:M30"/>
    <mergeCell ref="D36:M36"/>
    <mergeCell ref="H41:M41"/>
    <mergeCell ref="F52:G52"/>
    <mergeCell ref="D81:J81"/>
    <mergeCell ref="D34:H34"/>
    <mergeCell ref="J34:M34"/>
    <mergeCell ref="F54:G54"/>
    <mergeCell ref="H58:M58"/>
    <mergeCell ref="H57:J57"/>
    <mergeCell ref="A1:N1"/>
    <mergeCell ref="H8:K8"/>
    <mergeCell ref="A2:N2"/>
    <mergeCell ref="A3:N3"/>
    <mergeCell ref="D6:G6"/>
    <mergeCell ref="L6:M6"/>
    <mergeCell ref="L4:M4"/>
  </mergeCells>
  <conditionalFormatting sqref="H57:J57">
    <cfRule type="expression" dxfId="47" priority="2">
      <formula>$H$56="ja"</formula>
    </cfRule>
    <cfRule type="expression" dxfId="46" priority="3">
      <formula>$Q$12="ja"</formula>
    </cfRule>
  </conditionalFormatting>
  <conditionalFormatting sqref="L41">
    <cfRule type="expression" dxfId="45" priority="7">
      <formula>Wennoder($L$48&lt;0,$L$48=0,"")</formula>
    </cfRule>
  </conditionalFormatting>
  <dataValidations xWindow="346" yWindow="397" count="8">
    <dataValidation type="date" errorStyle="warning" operator="greaterThan" allowBlank="1" showInputMessage="1" showErrorMessage="1" errorTitle="Laufzeitbeginn im Jahr 2017" error="Laufzeitbeginn ab 01.01.2017 möglich" sqref="H53:H55" xr:uid="{00000000-0002-0000-0100-000000000000}">
      <formula1>42735</formula1>
    </dataValidation>
    <dataValidation allowBlank="1" showInputMessage="1" showErrorMessage="1" promptTitle="Quorum" prompt="Bitte Hinweise zur Berechnung des Anteils beachten!" sqref="K72" xr:uid="{00000000-0002-0000-0100-000001000000}"/>
    <dataValidation type="list" allowBlank="1" showInputMessage="1" showErrorMessage="1" sqref="L76 L78 H56" xr:uid="{00000000-0002-0000-0100-000003000000}">
      <formula1>"ja,nein"</formula1>
    </dataValidation>
    <dataValidation errorStyle="warning" operator="greaterThan" allowBlank="1" showInputMessage="1" sqref="I58:M59 H58" xr:uid="{00000000-0002-0000-0100-000005000000}"/>
    <dataValidation type="date" errorStyle="warning" operator="greaterThan" allowBlank="1" showInputMessage="1" sqref="H59" xr:uid="{00000000-0002-0000-0100-000006000000}">
      <formula1>43831</formula1>
    </dataValidation>
    <dataValidation type="date" operator="greaterThan" allowBlank="1" showInputMessage="1" showErrorMessage="1" errorTitle="Laufzeitbeginn im Jahr 2027" error="Laufzeitbeginn ab 01.01.2027 möglich" sqref="H52" xr:uid="{18780B1F-9AEC-4E31-B0F8-37EC3AA47D09}">
      <formula1>46387</formula1>
    </dataValidation>
    <dataValidation type="list" allowBlank="1" showInputMessage="1" showErrorMessage="1" sqref="H57:J57" xr:uid="{D51769DE-2B4B-4B01-B21E-D7D77DBAEBBB}">
      <formula1>"rüE, Tarifanlehnung"</formula1>
    </dataValidation>
    <dataValidation allowBlank="1" showInputMessage="1" showErrorMessage="1" errorTitle="Einrichtungsart" error="bitte aus Liste auswählen" promptTitle="Auswahlmöglichkeit" prompt="teilstationäre Pflege_x000a__x000a_" sqref="D6:G6" xr:uid="{00000000-0002-0000-0100-000008000000}"/>
  </dataValidations>
  <hyperlinks>
    <hyperlink ref="D81" location="'Anlage 1'!A1" display="Anlage 1" xr:uid="{00000000-0004-0000-0100-000000000000}"/>
    <hyperlink ref="D81:J81" location="B_TP_Kalkulation!A1" display="gehe weiter zu B_TP_Kalkulation" xr:uid="{00000000-0004-0000-0100-000001000000}"/>
  </hyperlinks>
  <pageMargins left="0.70866141732283472" right="0.70866141732283472" top="0.78740157480314965" bottom="0.78740157480314965" header="0.31496062992125984" footer="0.31496062992125984"/>
  <pageSetup paperSize="9" scale="76" orientation="portrait"/>
  <headerFooter>
    <oddHeader>&amp;C&amp;9&amp;A</oddHeader>
    <oddFooter>&amp;L&amp;8Version: 21.10.2026&amp;C&amp;8Verhandlungsunterlagen SGB XI (vereinfacht B_TP)&amp;R&amp;8PSK-Beschluss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7</xdr:col>
                    <xdr:colOff>830580</xdr:colOff>
                    <xdr:row>41</xdr:row>
                    <xdr:rowOff>38100</xdr:rowOff>
                  </from>
                  <to>
                    <xdr:col>9</xdr:col>
                    <xdr:colOff>68580</xdr:colOff>
                    <xdr:row>43</xdr:row>
                    <xdr:rowOff>68580</xdr:rowOff>
                  </to>
                </anchor>
              </controlPr>
            </control>
          </mc:Choice>
        </mc:AlternateContent>
        <mc:AlternateContent xmlns:mc="http://schemas.openxmlformats.org/markup-compatibility/2006">
          <mc:Choice Requires="x14">
            <control shapeId="1026" r:id="rId4" name="Check Box 2">
              <controlPr defaultSize="0" autoFill="0" autoLine="0" autoPict="0">
                <anchor moveWithCells="1">
                  <from>
                    <xdr:col>12</xdr:col>
                    <xdr:colOff>266700</xdr:colOff>
                    <xdr:row>48</xdr:row>
                    <xdr:rowOff>137160</xdr:rowOff>
                  </from>
                  <to>
                    <xdr:col>12</xdr:col>
                    <xdr:colOff>487680</xdr:colOff>
                    <xdr:row>50</xdr:row>
                    <xdr:rowOff>68580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C4D7608D-49E3-4DA1-B1CA-EA39632099B2}">
            <xm:f>KAT!$A$108="nein"</xm:f>
            <x14:dxf>
              <fill>
                <patternFill>
                  <bgColor theme="0"/>
                </patternFill>
              </fill>
            </x14:dxf>
          </x14:cfRule>
          <xm:sqref>D7 D11 K45:K46 K59 K71 K73</xm:sqref>
        </x14:conditionalFormatting>
      </x14:conditionalFormattings>
    </ext>
    <ext xmlns:x14="http://schemas.microsoft.com/office/spreadsheetml/2009/9/main" uri="{CCE6A557-97BC-4b89-ADB6-D9C93CAAB3DF}">
      <x14:dataValidations xmlns:xm="http://schemas.microsoft.com/office/excel/2006/main" xWindow="346" yWindow="397" count="1">
        <x14:dataValidation type="list" allowBlank="1" showInputMessage="1" showErrorMessage="1" errorTitle="Auswahlmöglichkeit" error="Bitte aus Liste wählen!" xr:uid="{00000000-0002-0000-0100-000009000000}">
          <x14:formula1>
            <xm:f>KAT!$F$2:$F$4</xm:f>
          </x14:formula1>
          <xm:sqref>C41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R71"/>
  <sheetViews>
    <sheetView showGridLines="0" zoomScaleNormal="100" workbookViewId="0">
      <selection activeCell="D6" sqref="D6"/>
    </sheetView>
  </sheetViews>
  <sheetFormatPr baseColWidth="10" defaultRowHeight="13.8" x14ac:dyDescent="0.25"/>
  <cols>
    <col min="1" max="1" width="4.3984375" customWidth="1"/>
    <col min="2" max="2" width="21.8984375" customWidth="1"/>
    <col min="3" max="3" width="21.19921875" customWidth="1"/>
    <col min="4" max="4" width="17.59765625" customWidth="1"/>
    <col min="5" max="5" width="20.59765625" customWidth="1"/>
    <col min="6" max="6" width="17.59765625" customWidth="1"/>
    <col min="7" max="7" width="2.3984375" customWidth="1"/>
    <col min="8" max="8" width="21.59765625" customWidth="1"/>
    <col min="9" max="10" width="17.59765625" customWidth="1"/>
    <col min="11" max="11" width="20.59765625" customWidth="1"/>
    <col min="12" max="12" width="17.59765625" customWidth="1"/>
    <col min="13" max="13" width="23.8984375" customWidth="1"/>
    <col min="14" max="14" width="5" customWidth="1"/>
    <col min="15" max="18" width="12.59765625" customWidth="1"/>
    <col min="19" max="24" width="11" customWidth="1"/>
  </cols>
  <sheetData>
    <row r="1" spans="1:18" x14ac:dyDescent="0.25">
      <c r="A1" s="1006" t="str">
        <f>'B_TP_Allgemeine Angaben'!A1:N1</f>
        <v>Vereinfachtes Verfahren der Aufforderung zum Abschluss einer Pflegesatzvereinbarung 
gemäß § 84, 85 SGB XI - teilstationäre Pflegeeinrichtungen</v>
      </c>
      <c r="B1" s="1006"/>
      <c r="C1" s="1006"/>
      <c r="D1" s="1006"/>
      <c r="E1" s="1006"/>
      <c r="F1" s="1006"/>
      <c r="G1" s="1006"/>
      <c r="H1" s="1006"/>
      <c r="I1" s="1006"/>
      <c r="J1" s="1006"/>
      <c r="K1" s="1006"/>
      <c r="L1" s="1006"/>
      <c r="M1" s="1006"/>
      <c r="N1" s="1006"/>
      <c r="O1" s="1006"/>
      <c r="P1" s="1006"/>
      <c r="Q1" s="197"/>
      <c r="R1" s="197"/>
    </row>
    <row r="2" spans="1:18" x14ac:dyDescent="0.25">
      <c r="A2" s="1006" t="s">
        <v>314</v>
      </c>
      <c r="B2" s="1006"/>
      <c r="C2" s="1006"/>
      <c r="D2" s="1006"/>
      <c r="E2" s="1006"/>
      <c r="F2" s="1006"/>
      <c r="G2" s="1006"/>
      <c r="H2" s="1006"/>
      <c r="I2" s="1006"/>
      <c r="J2" s="1006"/>
      <c r="K2" s="1006"/>
      <c r="L2" s="1006"/>
      <c r="M2" s="1006"/>
      <c r="N2" s="1006"/>
      <c r="O2" s="1006"/>
      <c r="P2" s="1006"/>
      <c r="Q2" s="197"/>
      <c r="R2" s="197"/>
    </row>
    <row r="3" spans="1:18" x14ac:dyDescent="0.25">
      <c r="A3" s="197" t="str">
        <f>'B_TP_Allgemeine Angaben'!A3</f>
        <v/>
      </c>
      <c r="B3" s="197"/>
      <c r="C3" s="197"/>
      <c r="D3" s="197"/>
      <c r="E3" s="197"/>
      <c r="F3" s="197"/>
      <c r="G3" s="197"/>
      <c r="H3" s="197"/>
      <c r="I3" s="197"/>
      <c r="J3" s="197"/>
      <c r="K3" s="197"/>
      <c r="L3" s="197"/>
      <c r="M3" s="197"/>
      <c r="N3" s="197"/>
      <c r="O3" s="197"/>
      <c r="P3" s="197"/>
      <c r="Q3" s="197"/>
      <c r="R3" s="197"/>
    </row>
    <row r="4" spans="1:18" x14ac:dyDescent="0.25">
      <c r="A4" s="198" t="str">
        <f>'B_TP_Allgemeine Angaben'!A4</f>
        <v/>
      </c>
      <c r="B4" s="199"/>
      <c r="C4" s="197"/>
      <c r="D4" s="197"/>
      <c r="E4" s="197"/>
      <c r="F4" s="197"/>
      <c r="G4" s="197"/>
      <c r="H4" s="197"/>
      <c r="I4" s="197"/>
      <c r="J4" s="197"/>
      <c r="K4" s="197"/>
      <c r="L4" s="197"/>
      <c r="M4" s="197"/>
      <c r="N4" s="197"/>
      <c r="O4" s="197"/>
      <c r="P4" s="197"/>
      <c r="Q4" s="197"/>
      <c r="R4" s="197"/>
    </row>
    <row r="5" spans="1:18" ht="9" customHeight="1" x14ac:dyDescent="0.25">
      <c r="A5" s="881"/>
    </row>
    <row r="6" spans="1:18" x14ac:dyDescent="0.25">
      <c r="B6" s="189" t="s">
        <v>136</v>
      </c>
      <c r="D6" s="445"/>
      <c r="E6" s="457"/>
      <c r="F6" s="457"/>
      <c r="H6" s="189" t="s">
        <v>26</v>
      </c>
      <c r="I6" s="446"/>
      <c r="K6" s="189" t="s">
        <v>1</v>
      </c>
      <c r="L6" s="184" t="str">
        <f>IF('B_TP_Allgemeine Angaben'!D6&gt;0,'B_TP_Allgemeine Angaben'!D6,"")</f>
        <v>teilstationäre Pflege</v>
      </c>
      <c r="M6" s="234"/>
    </row>
    <row r="7" spans="1:18" ht="14.25" customHeight="1" x14ac:dyDescent="0.25">
      <c r="B7" s="189"/>
      <c r="C7" s="684"/>
      <c r="D7" s="844"/>
      <c r="E7" s="421"/>
      <c r="F7" s="685"/>
    </row>
    <row r="8" spans="1:18" x14ac:dyDescent="0.25">
      <c r="B8" s="42" t="s">
        <v>223</v>
      </c>
      <c r="H8" s="201" t="s">
        <v>235</v>
      </c>
      <c r="I8" s="19"/>
      <c r="J8" s="19"/>
      <c r="K8" s="19"/>
      <c r="L8" s="19"/>
      <c r="M8" s="19"/>
      <c r="N8" s="19"/>
      <c r="O8" s="19"/>
      <c r="P8" s="19"/>
      <c r="Q8" s="19"/>
      <c r="R8" s="125"/>
    </row>
    <row r="9" spans="1:18" ht="5.25" customHeight="1" x14ac:dyDescent="0.25">
      <c r="D9" s="200"/>
      <c r="H9" s="18"/>
      <c r="J9" s="200"/>
      <c r="R9" s="17"/>
    </row>
    <row r="10" spans="1:18" x14ac:dyDescent="0.25">
      <c r="B10" t="s">
        <v>271</v>
      </c>
      <c r="C10" s="190" t="s">
        <v>224</v>
      </c>
      <c r="D10" s="469" t="str">
        <f>IF('B_TP_Allgemeine Angaben'!H54=0,"",'B_TP_Allgemeine Angaben'!H54)</f>
        <v/>
      </c>
      <c r="E10" s="190" t="s">
        <v>117</v>
      </c>
      <c r="F10" s="469" t="str">
        <f>IF('B_TP_Allgemeine Angaben'!K54=0,"",'B_TP_Allgemeine Angaben'!K54)</f>
        <v/>
      </c>
      <c r="H10" s="18" t="s">
        <v>271</v>
      </c>
      <c r="I10" s="190" t="s">
        <v>224</v>
      </c>
      <c r="J10" s="202" t="str">
        <f>IF('B_TP_Allgemeine Angaben'!H52=0,"",'B_TP_Allgemeine Angaben'!H52)</f>
        <v/>
      </c>
      <c r="K10" s="190" t="s">
        <v>117</v>
      </c>
      <c r="L10" s="202" t="str">
        <f>IF('B_TP_Allgemeine Angaben'!K52=0,"",'B_TP_Allgemeine Angaben'!K52)</f>
        <v/>
      </c>
      <c r="R10" s="17"/>
    </row>
    <row r="11" spans="1:18" ht="9.9" customHeight="1" x14ac:dyDescent="0.25">
      <c r="A11" s="191"/>
      <c r="B11" s="191"/>
      <c r="C11" s="191"/>
      <c r="D11" s="191"/>
      <c r="E11" s="191"/>
      <c r="F11" s="192"/>
      <c r="G11" s="191"/>
      <c r="H11" s="193"/>
      <c r="I11" s="191"/>
      <c r="J11" s="191"/>
      <c r="K11" s="191"/>
      <c r="L11" s="191"/>
      <c r="R11" s="17"/>
    </row>
    <row r="12" spans="1:18" x14ac:dyDescent="0.25">
      <c r="A12" s="191"/>
      <c r="B12" s="185" t="s">
        <v>226</v>
      </c>
      <c r="C12" s="186"/>
      <c r="D12" s="186"/>
      <c r="E12" s="139" t="s">
        <v>239</v>
      </c>
      <c r="F12" s="184">
        <f>SUM(B14:F14)</f>
        <v>0</v>
      </c>
      <c r="G12" s="18"/>
      <c r="H12" s="185" t="s">
        <v>226</v>
      </c>
      <c r="I12" s="186"/>
      <c r="J12" s="186"/>
      <c r="K12" s="139" t="s">
        <v>239</v>
      </c>
      <c r="L12" s="139">
        <f>SUM(H14:L14)</f>
        <v>0</v>
      </c>
      <c r="M12" s="194"/>
      <c r="N12" s="704" t="s">
        <v>346</v>
      </c>
      <c r="O12" s="205"/>
      <c r="P12" s="705"/>
      <c r="R12" s="17"/>
    </row>
    <row r="13" spans="1:18" x14ac:dyDescent="0.25">
      <c r="A13" s="191"/>
      <c r="B13" s="187" t="s">
        <v>55</v>
      </c>
      <c r="C13" s="187" t="s">
        <v>56</v>
      </c>
      <c r="D13" s="187" t="s">
        <v>57</v>
      </c>
      <c r="E13" s="187" t="s">
        <v>58</v>
      </c>
      <c r="F13" s="188" t="s">
        <v>59</v>
      </c>
      <c r="G13" s="18"/>
      <c r="H13" s="187" t="s">
        <v>55</v>
      </c>
      <c r="I13" s="187" t="s">
        <v>56</v>
      </c>
      <c r="J13" s="187" t="s">
        <v>57</v>
      </c>
      <c r="K13" s="187" t="s">
        <v>58</v>
      </c>
      <c r="L13" s="187" t="s">
        <v>59</v>
      </c>
      <c r="R13" s="17"/>
    </row>
    <row r="14" spans="1:18" x14ac:dyDescent="0.25">
      <c r="A14" s="191"/>
      <c r="B14" s="446"/>
      <c r="C14" s="446"/>
      <c r="D14" s="446"/>
      <c r="E14" s="446"/>
      <c r="F14" s="447"/>
      <c r="G14" s="18"/>
      <c r="H14" s="132">
        <f>B14</f>
        <v>0</v>
      </c>
      <c r="I14" s="132">
        <f t="shared" ref="I14:L14" si="0">C14</f>
        <v>0</v>
      </c>
      <c r="J14" s="132">
        <f t="shared" si="0"/>
        <v>0</v>
      </c>
      <c r="K14" s="132">
        <f t="shared" si="0"/>
        <v>0</v>
      </c>
      <c r="L14" s="132">
        <f t="shared" si="0"/>
        <v>0</v>
      </c>
      <c r="R14" s="137"/>
    </row>
    <row r="15" spans="1:18" ht="27.6" customHeight="1" thickBot="1" x14ac:dyDescent="0.3">
      <c r="A15" s="191"/>
      <c r="B15" s="851" t="str">
        <f>IF(F12&lt;&gt;'B_TP_Allgemeine Angaben'!L47,"Platzzahl entspricht nicht Versorgungsvertrag!","")</f>
        <v/>
      </c>
      <c r="C15" s="852" t="str">
        <f>IF(C14=0,"Belegung fehlt!","")</f>
        <v>Belegung fehlt!</v>
      </c>
      <c r="D15" s="852" t="str">
        <f t="shared" ref="D15:E15" si="1">IF(D14=0,"Belegung fehlt!","")</f>
        <v>Belegung fehlt!</v>
      </c>
      <c r="E15" s="852" t="str">
        <f t="shared" si="1"/>
        <v>Belegung fehlt!</v>
      </c>
      <c r="G15" s="18"/>
      <c r="H15" s="18"/>
      <c r="M15" s="178" t="s">
        <v>238</v>
      </c>
      <c r="O15" s="1032" t="s">
        <v>420</v>
      </c>
      <c r="P15" s="1033"/>
      <c r="Q15" s="1033"/>
      <c r="R15" s="1034"/>
    </row>
    <row r="16" spans="1:18" ht="14.4" thickBot="1" x14ac:dyDescent="0.3">
      <c r="A16" s="191"/>
      <c r="B16" s="178" t="s">
        <v>241</v>
      </c>
      <c r="C16" s="179" t="s">
        <v>225</v>
      </c>
      <c r="D16" s="180" t="s">
        <v>240</v>
      </c>
      <c r="E16" s="181" t="s">
        <v>268</v>
      </c>
      <c r="F16" s="570"/>
      <c r="H16" s="178" t="s">
        <v>241</v>
      </c>
      <c r="I16" s="179" t="s">
        <v>225</v>
      </c>
      <c r="J16" s="180" t="s">
        <v>240</v>
      </c>
      <c r="K16" s="615" t="s">
        <v>498</v>
      </c>
      <c r="L16" s="846" t="str">
        <f>KAT!L94</f>
        <v/>
      </c>
      <c r="M16" s="845"/>
      <c r="N16" s="687"/>
      <c r="O16" s="1012" t="s">
        <v>421</v>
      </c>
      <c r="P16" s="1013"/>
      <c r="Q16" s="1013"/>
      <c r="R16" s="1014"/>
    </row>
    <row r="17" spans="1:18" x14ac:dyDescent="0.25">
      <c r="A17" s="191"/>
      <c r="B17" s="176" t="s">
        <v>55</v>
      </c>
      <c r="C17" s="448"/>
      <c r="D17" s="255" t="str">
        <f>IFERROR(ROUND(B14/C17,3),"")</f>
        <v/>
      </c>
      <c r="G17" s="18"/>
      <c r="H17" s="176" t="s">
        <v>55</v>
      </c>
      <c r="I17" s="448"/>
      <c r="J17" s="255" t="str">
        <f>IFERROR(ROUND(H14/I17,3),"")</f>
        <v/>
      </c>
      <c r="L17" s="510" t="str">
        <f>IF(M16&lt;&gt;0,KAT!N94,"")</f>
        <v/>
      </c>
      <c r="M17" s="293"/>
      <c r="N17" s="688"/>
      <c r="O17" s="1015"/>
      <c r="P17" s="1016"/>
      <c r="Q17" s="1016"/>
      <c r="R17" s="1017"/>
    </row>
    <row r="18" spans="1:18" x14ac:dyDescent="0.25">
      <c r="A18" s="191"/>
      <c r="B18" s="176" t="s">
        <v>56</v>
      </c>
      <c r="C18" s="448"/>
      <c r="D18" s="255" t="str">
        <f>IFERROR(ROUND(C14/C18,3),"")</f>
        <v/>
      </c>
      <c r="G18" s="18"/>
      <c r="H18" s="176" t="s">
        <v>56</v>
      </c>
      <c r="I18" s="448"/>
      <c r="J18" s="255" t="str">
        <f>IFERROR(ROUND(I14/I18,3),"")</f>
        <v/>
      </c>
      <c r="N18" s="293"/>
      <c r="O18" s="1018"/>
      <c r="P18" s="1019"/>
      <c r="Q18" s="1019"/>
      <c r="R18" s="1020"/>
    </row>
    <row r="19" spans="1:18" x14ac:dyDescent="0.25">
      <c r="A19" s="191"/>
      <c r="B19" s="176" t="s">
        <v>57</v>
      </c>
      <c r="C19" s="448"/>
      <c r="D19" s="255" t="str">
        <f>IFERROR(ROUND(D14/C19,3),"")</f>
        <v/>
      </c>
      <c r="G19" s="18"/>
      <c r="H19" s="176" t="s">
        <v>57</v>
      </c>
      <c r="I19" s="448"/>
      <c r="J19" s="255" t="str">
        <f>IFERROR(ROUND(J14/I19,3),"")</f>
        <v/>
      </c>
      <c r="K19" s="256"/>
      <c r="L19" s="256"/>
      <c r="M19" s="1038" t="s">
        <v>238</v>
      </c>
      <c r="N19" s="293"/>
      <c r="O19" s="1018"/>
      <c r="P19" s="1019"/>
      <c r="Q19" s="1019"/>
      <c r="R19" s="1020"/>
    </row>
    <row r="20" spans="1:18" x14ac:dyDescent="0.25">
      <c r="A20" s="191"/>
      <c r="B20" s="176" t="s">
        <v>58</v>
      </c>
      <c r="C20" s="448"/>
      <c r="D20" s="162" t="str">
        <f>IFERROR(ROUND(E14/C20,3),"")</f>
        <v/>
      </c>
      <c r="E20" s="182" t="s">
        <v>233</v>
      </c>
      <c r="G20" s="18"/>
      <c r="H20" s="176" t="s">
        <v>58</v>
      </c>
      <c r="I20" s="448"/>
      <c r="J20" s="255" t="str">
        <f>IFERROR(ROUND(K14/I20,3),"")</f>
        <v/>
      </c>
      <c r="K20" s="682" t="s">
        <v>233</v>
      </c>
      <c r="L20" s="683"/>
      <c r="M20" s="1039"/>
      <c r="N20" s="506"/>
      <c r="O20" s="1018"/>
      <c r="P20" s="1019"/>
      <c r="Q20" s="1019"/>
      <c r="R20" s="1020"/>
    </row>
    <row r="21" spans="1:18" ht="14.4" customHeight="1" x14ac:dyDescent="0.25">
      <c r="A21" s="191"/>
      <c r="B21" s="176" t="s">
        <v>59</v>
      </c>
      <c r="C21" s="448"/>
      <c r="D21" s="162" t="str">
        <f>IFERROR(ROUND(F14/C21,3),"")</f>
        <v/>
      </c>
      <c r="E21" s="183" t="s">
        <v>237</v>
      </c>
      <c r="F21" s="184" t="s">
        <v>244</v>
      </c>
      <c r="G21" s="235"/>
      <c r="H21" s="176" t="s">
        <v>59</v>
      </c>
      <c r="I21" s="448"/>
      <c r="J21" s="162" t="str">
        <f>IFERROR(ROUND(L14/I21,3),"")</f>
        <v/>
      </c>
      <c r="K21" s="139" t="s">
        <v>237</v>
      </c>
      <c r="L21" s="139" t="s">
        <v>244</v>
      </c>
      <c r="M21" s="616" t="s">
        <v>419</v>
      </c>
      <c r="N21" s="617"/>
      <c r="O21" s="1018"/>
      <c r="P21" s="1019"/>
      <c r="Q21" s="1019"/>
      <c r="R21" s="1020"/>
    </row>
    <row r="22" spans="1:18" ht="29.25" customHeight="1" thickBot="1" x14ac:dyDescent="0.3">
      <c r="A22" s="191"/>
      <c r="B22" s="177" t="s">
        <v>227</v>
      </c>
      <c r="C22" s="449"/>
      <c r="D22" s="163">
        <f>SUM(D17:D21)</f>
        <v>0</v>
      </c>
      <c r="E22" s="164" t="s">
        <v>236</v>
      </c>
      <c r="F22" s="451"/>
      <c r="G22" s="236"/>
      <c r="H22" s="177" t="s">
        <v>227</v>
      </c>
      <c r="I22" s="449"/>
      <c r="J22" s="163">
        <f>IF('B_TP_Allgemeine Angaben'!D7&lt;&gt;"vst",SUM(J17:J21),SUM(J17:J21))</f>
        <v>0</v>
      </c>
      <c r="K22" s="164" t="s">
        <v>236</v>
      </c>
      <c r="L22" s="294">
        <f>IFERROR(ROUND(F22*(1+$M22),2),"")</f>
        <v>0</v>
      </c>
      <c r="M22" s="508"/>
      <c r="N22" s="566"/>
      <c r="O22" s="1018"/>
      <c r="P22" s="1019"/>
      <c r="Q22" s="1019"/>
      <c r="R22" s="1020"/>
    </row>
    <row r="23" spans="1:18" ht="15" customHeight="1" thickTop="1" x14ac:dyDescent="0.25">
      <c r="A23" s="191"/>
      <c r="B23" s="176" t="s">
        <v>228</v>
      </c>
      <c r="C23" s="448"/>
      <c r="D23" s="162">
        <f>IFERROR(ROUND($F$12/C23,3),0)</f>
        <v>0</v>
      </c>
      <c r="E23" s="164" t="str">
        <f t="shared" ref="E23:E26" si="2">B23</f>
        <v>Betreuung:</v>
      </c>
      <c r="F23" s="451"/>
      <c r="G23" s="236"/>
      <c r="H23" s="176" t="s">
        <v>228</v>
      </c>
      <c r="I23" s="448"/>
      <c r="J23" s="162">
        <f>IFERROR(ROUND($L$12/I23,3),0)</f>
        <v>0</v>
      </c>
      <c r="K23" s="164" t="str">
        <f t="shared" ref="K23:K26" si="3">H23</f>
        <v>Betreuung:</v>
      </c>
      <c r="L23" s="294">
        <f t="shared" ref="L23:L29" si="4">IFERROR(ROUND(F23*(1+$M23),2),"")</f>
        <v>0</v>
      </c>
      <c r="M23" s="508"/>
      <c r="N23" s="293"/>
      <c r="O23" s="1018"/>
      <c r="P23" s="1019"/>
      <c r="Q23" s="1019"/>
      <c r="R23" s="1020"/>
    </row>
    <row r="24" spans="1:18" ht="14.25" customHeight="1" x14ac:dyDescent="0.25">
      <c r="A24" s="191"/>
      <c r="B24" s="176" t="s">
        <v>229</v>
      </c>
      <c r="C24" s="448"/>
      <c r="D24" s="162">
        <f>IFERROR(ROUND($F$12/C24,3),0)</f>
        <v>0</v>
      </c>
      <c r="E24" s="164" t="str">
        <f t="shared" si="2"/>
        <v>Leitung/Verwaltung:</v>
      </c>
      <c r="F24" s="451"/>
      <c r="G24" s="236"/>
      <c r="H24" s="176" t="s">
        <v>229</v>
      </c>
      <c r="I24" s="168">
        <f>C24</f>
        <v>0</v>
      </c>
      <c r="J24" s="162">
        <f t="shared" ref="J24:J27" si="5">IFERROR(ROUND($L$12/I24,3),0)</f>
        <v>0</v>
      </c>
      <c r="K24" s="164" t="str">
        <f t="shared" si="3"/>
        <v>Leitung/Verwaltung:</v>
      </c>
      <c r="L24" s="294">
        <f t="shared" si="4"/>
        <v>0</v>
      </c>
      <c r="M24" s="508"/>
      <c r="N24" s="293"/>
      <c r="O24" s="1018"/>
      <c r="P24" s="1019"/>
      <c r="Q24" s="1019"/>
      <c r="R24" s="1020"/>
    </row>
    <row r="25" spans="1:18" ht="14.25" customHeight="1" x14ac:dyDescent="0.25">
      <c r="A25" s="191"/>
      <c r="B25" s="176" t="s">
        <v>230</v>
      </c>
      <c r="C25" s="448"/>
      <c r="D25" s="162">
        <f>IFERROR(ROUND($F$12/C25,3),0)</f>
        <v>0</v>
      </c>
      <c r="E25" s="164" t="str">
        <f t="shared" si="2"/>
        <v>Hauswirtschaft:</v>
      </c>
      <c r="F25" s="451"/>
      <c r="G25" s="236"/>
      <c r="H25" s="176" t="s">
        <v>230</v>
      </c>
      <c r="I25" s="168">
        <f t="shared" ref="I25:I27" si="6">C25</f>
        <v>0</v>
      </c>
      <c r="J25" s="162">
        <f t="shared" si="5"/>
        <v>0</v>
      </c>
      <c r="K25" s="164" t="str">
        <f t="shared" si="3"/>
        <v>Hauswirtschaft:</v>
      </c>
      <c r="L25" s="294">
        <f t="shared" si="4"/>
        <v>0</v>
      </c>
      <c r="M25" s="508"/>
      <c r="N25" s="293"/>
      <c r="O25" s="1018"/>
      <c r="P25" s="1019"/>
      <c r="Q25" s="1019"/>
      <c r="R25" s="1020"/>
    </row>
    <row r="26" spans="1:18" ht="14.25" customHeight="1" x14ac:dyDescent="0.25">
      <c r="A26" s="191"/>
      <c r="B26" s="176" t="s">
        <v>231</v>
      </c>
      <c r="C26" s="448"/>
      <c r="D26" s="162">
        <f>IFERROR(ROUND($F$12/C26,3),0)</f>
        <v>0</v>
      </c>
      <c r="E26" s="164" t="str">
        <f t="shared" si="2"/>
        <v>Küche:</v>
      </c>
      <c r="F26" s="451"/>
      <c r="G26" s="236"/>
      <c r="H26" s="176" t="s">
        <v>231</v>
      </c>
      <c r="I26" s="168">
        <f t="shared" si="6"/>
        <v>0</v>
      </c>
      <c r="J26" s="162">
        <f t="shared" si="5"/>
        <v>0</v>
      </c>
      <c r="K26" s="164" t="str">
        <f t="shared" si="3"/>
        <v>Küche:</v>
      </c>
      <c r="L26" s="294">
        <f t="shared" si="4"/>
        <v>0</v>
      </c>
      <c r="M26" s="508"/>
      <c r="N26" s="293"/>
      <c r="O26" s="1018"/>
      <c r="P26" s="1019"/>
      <c r="Q26" s="1019"/>
      <c r="R26" s="1020"/>
    </row>
    <row r="27" spans="1:18" ht="14.25" customHeight="1" x14ac:dyDescent="0.25">
      <c r="A27" s="191"/>
      <c r="B27" s="176" t="s">
        <v>232</v>
      </c>
      <c r="C27" s="448"/>
      <c r="D27" s="162">
        <f>IFERROR(ROUND($F$12/C27,3),0)</f>
        <v>0</v>
      </c>
      <c r="E27" s="165" t="str">
        <f>B27</f>
        <v>Haustechnik:</v>
      </c>
      <c r="F27" s="451"/>
      <c r="G27" s="236"/>
      <c r="H27" s="176" t="s">
        <v>232</v>
      </c>
      <c r="I27" s="168">
        <f t="shared" si="6"/>
        <v>0</v>
      </c>
      <c r="J27" s="162">
        <f t="shared" si="5"/>
        <v>0</v>
      </c>
      <c r="K27" s="165" t="str">
        <f>H27</f>
        <v>Haustechnik:</v>
      </c>
      <c r="L27" s="294">
        <f t="shared" si="4"/>
        <v>0</v>
      </c>
      <c r="M27" s="508"/>
      <c r="N27" s="293"/>
      <c r="O27" s="1018"/>
      <c r="P27" s="1019"/>
      <c r="Q27" s="1019"/>
      <c r="R27" s="1020"/>
    </row>
    <row r="28" spans="1:18" ht="29.25" customHeight="1" x14ac:dyDescent="0.25">
      <c r="A28" s="191"/>
      <c r="B28" s="1009" t="s">
        <v>243</v>
      </c>
      <c r="C28" s="1010"/>
      <c r="D28" s="450"/>
      <c r="E28" s="165" t="str">
        <f>B28</f>
        <v>Freiwillige Dienste/ FSJ Einsatz:</v>
      </c>
      <c r="F28" s="451"/>
      <c r="G28" s="236"/>
      <c r="H28" s="1009" t="s">
        <v>242</v>
      </c>
      <c r="I28" s="1010"/>
      <c r="J28" s="450"/>
      <c r="K28" s="165" t="str">
        <f>H28</f>
        <v>Freiwillige Dienste/FSJ Einsatz:</v>
      </c>
      <c r="L28" s="295">
        <f>IFERROR(ROUND(F28*(1+M28),2),"")</f>
        <v>0</v>
      </c>
      <c r="M28" s="508"/>
      <c r="N28" s="567"/>
      <c r="O28" s="1018"/>
      <c r="P28" s="1019"/>
      <c r="Q28" s="1019"/>
      <c r="R28" s="1020"/>
    </row>
    <row r="29" spans="1:18" ht="42.75" customHeight="1" x14ac:dyDescent="0.25">
      <c r="A29" s="191"/>
      <c r="B29" s="177" t="s">
        <v>390</v>
      </c>
      <c r="C29" s="168">
        <v>20</v>
      </c>
      <c r="D29" s="162">
        <f>$F$12/C29</f>
        <v>0</v>
      </c>
      <c r="E29" s="165" t="s">
        <v>234</v>
      </c>
      <c r="F29" s="451"/>
      <c r="G29" s="236"/>
      <c r="H29" s="177" t="s">
        <v>390</v>
      </c>
      <c r="I29" s="168">
        <v>20</v>
      </c>
      <c r="J29" s="169">
        <f>IFERROR(ROUND($L$12/I29,3),"")</f>
        <v>0</v>
      </c>
      <c r="K29" s="165" t="s">
        <v>234</v>
      </c>
      <c r="L29" s="294">
        <f t="shared" si="4"/>
        <v>0</v>
      </c>
      <c r="M29" s="509"/>
      <c r="N29" s="293"/>
      <c r="O29" s="1021"/>
      <c r="P29" s="1022"/>
      <c r="Q29" s="1022"/>
      <c r="R29" s="1023"/>
    </row>
    <row r="30" spans="1:18" ht="3" customHeight="1" x14ac:dyDescent="0.25">
      <c r="A30" s="191"/>
      <c r="B30" s="134"/>
      <c r="H30" s="18"/>
      <c r="M30" s="203"/>
      <c r="N30" s="568"/>
      <c r="R30" s="17"/>
    </row>
    <row r="31" spans="1:18" x14ac:dyDescent="0.25">
      <c r="A31" s="189"/>
      <c r="B31" s="204" t="s">
        <v>92</v>
      </c>
      <c r="C31" s="205"/>
      <c r="D31" s="205"/>
      <c r="E31" s="205"/>
      <c r="F31" s="196"/>
      <c r="H31" s="229" t="s">
        <v>92</v>
      </c>
      <c r="I31" s="195"/>
      <c r="J31" s="195"/>
      <c r="K31" s="195"/>
      <c r="L31" s="196"/>
      <c r="M31" s="509"/>
      <c r="N31" s="42"/>
      <c r="O31" s="1035" t="s">
        <v>422</v>
      </c>
      <c r="P31" s="1036"/>
      <c r="Q31" s="1036"/>
      <c r="R31" s="1037"/>
    </row>
    <row r="32" spans="1:18" x14ac:dyDescent="0.25">
      <c r="A32" s="212"/>
      <c r="B32" s="206" t="s">
        <v>248</v>
      </c>
      <c r="C32" s="134" t="s">
        <v>36</v>
      </c>
      <c r="D32" s="126"/>
      <c r="E32" s="135"/>
      <c r="F32" s="452"/>
      <c r="G32" s="18"/>
      <c r="H32" s="511" t="s">
        <v>248</v>
      </c>
      <c r="I32" s="136" t="s">
        <v>36</v>
      </c>
      <c r="K32" s="17"/>
      <c r="L32" s="507">
        <f>IFERROR(ROUND(F32*(100+$M$31*100)%,2),"")</f>
        <v>0</v>
      </c>
      <c r="M32" s="512" t="str">
        <f>IFERROR(L32/B_TP_Gesamtkalkulation!$N$6,"")</f>
        <v/>
      </c>
      <c r="N32" s="567"/>
      <c r="O32" s="1011"/>
      <c r="P32" s="1011"/>
      <c r="Q32" s="1011"/>
      <c r="R32" s="1011"/>
    </row>
    <row r="33" spans="1:18" x14ac:dyDescent="0.25">
      <c r="A33" s="213"/>
      <c r="B33" s="207" t="s">
        <v>249</v>
      </c>
      <c r="C33" s="134" t="s">
        <v>245</v>
      </c>
      <c r="D33" s="126"/>
      <c r="E33" s="135"/>
      <c r="F33" s="452"/>
      <c r="G33" s="18"/>
      <c r="H33" s="209" t="s">
        <v>249</v>
      </c>
      <c r="I33" s="134" t="s">
        <v>245</v>
      </c>
      <c r="J33" s="126"/>
      <c r="K33" s="135"/>
      <c r="L33" s="507">
        <f t="shared" ref="L33:L40" si="7">IFERROR(ROUND(F33*(100+$M$31*100)%,2),"")</f>
        <v>0</v>
      </c>
      <c r="M33" s="512" t="str">
        <f>IFERROR(L33/B_TP_Gesamtkalkulation!$N$6,"")</f>
        <v/>
      </c>
      <c r="N33" s="567"/>
      <c r="O33" s="1011"/>
      <c r="P33" s="1011"/>
      <c r="Q33" s="1011"/>
      <c r="R33" s="1011"/>
    </row>
    <row r="34" spans="1:18" x14ac:dyDescent="0.25">
      <c r="A34" s="213"/>
      <c r="B34" s="207" t="s">
        <v>250</v>
      </c>
      <c r="C34" s="134" t="s">
        <v>246</v>
      </c>
      <c r="D34" s="126"/>
      <c r="E34" s="135"/>
      <c r="F34" s="452"/>
      <c r="G34" s="18"/>
      <c r="H34" s="210" t="s">
        <v>250</v>
      </c>
      <c r="I34" s="134" t="s">
        <v>246</v>
      </c>
      <c r="J34" s="126"/>
      <c r="K34" s="135"/>
      <c r="L34" s="507">
        <f t="shared" si="7"/>
        <v>0</v>
      </c>
      <c r="M34" s="512" t="str">
        <f>IFERROR(L34/B_TP_Gesamtkalkulation!$N$6,"")</f>
        <v/>
      </c>
      <c r="N34" s="567"/>
      <c r="O34" s="1011"/>
      <c r="P34" s="1011"/>
      <c r="Q34" s="1011"/>
      <c r="R34" s="1011"/>
    </row>
    <row r="35" spans="1:18" x14ac:dyDescent="0.25">
      <c r="A35" s="213"/>
      <c r="B35" s="208" t="s">
        <v>251</v>
      </c>
      <c r="C35" s="18" t="s">
        <v>41</v>
      </c>
      <c r="E35" s="17"/>
      <c r="F35" s="452"/>
      <c r="G35" s="18"/>
      <c r="H35" s="210" t="s">
        <v>251</v>
      </c>
      <c r="I35" s="134" t="s">
        <v>41</v>
      </c>
      <c r="J35" s="126"/>
      <c r="K35" s="135"/>
      <c r="L35" s="507">
        <f t="shared" si="7"/>
        <v>0</v>
      </c>
      <c r="M35" s="512" t="str">
        <f>IFERROR(L35/B_TP_Gesamtkalkulation!$N$6,"")</f>
        <v/>
      </c>
      <c r="N35" s="567"/>
      <c r="O35" s="1011"/>
      <c r="P35" s="1011"/>
      <c r="Q35" s="1011"/>
      <c r="R35" s="1011"/>
    </row>
    <row r="36" spans="1:18" x14ac:dyDescent="0.25">
      <c r="A36" s="213"/>
      <c r="B36" s="207" t="s">
        <v>252</v>
      </c>
      <c r="C36" s="134" t="s">
        <v>43</v>
      </c>
      <c r="D36" s="126"/>
      <c r="E36" s="135"/>
      <c r="F36" s="452"/>
      <c r="G36" s="18"/>
      <c r="H36" s="211" t="s">
        <v>252</v>
      </c>
      <c r="I36" s="18" t="s">
        <v>43</v>
      </c>
      <c r="K36" s="17"/>
      <c r="L36" s="507">
        <f t="shared" si="7"/>
        <v>0</v>
      </c>
      <c r="M36" s="512" t="str">
        <f>IFERROR(L36/B_TP_Gesamtkalkulation!$N$6,"")</f>
        <v/>
      </c>
      <c r="N36" s="567"/>
      <c r="O36" s="1011"/>
      <c r="P36" s="1011"/>
      <c r="Q36" s="1011"/>
      <c r="R36" s="1011"/>
    </row>
    <row r="37" spans="1:18" x14ac:dyDescent="0.25">
      <c r="A37" s="213"/>
      <c r="B37" s="208" t="s">
        <v>253</v>
      </c>
      <c r="C37" s="18" t="s">
        <v>45</v>
      </c>
      <c r="E37" s="17"/>
      <c r="F37" s="452"/>
      <c r="G37" s="18"/>
      <c r="H37" s="210" t="s">
        <v>253</v>
      </c>
      <c r="I37" s="134" t="s">
        <v>45</v>
      </c>
      <c r="J37" s="126"/>
      <c r="K37" s="135"/>
      <c r="L37" s="507">
        <f t="shared" si="7"/>
        <v>0</v>
      </c>
      <c r="M37" s="512" t="str">
        <f>IFERROR(L37/B_TP_Gesamtkalkulation!$N$6,"")</f>
        <v/>
      </c>
      <c r="N37" s="567"/>
      <c r="O37" s="1011"/>
      <c r="P37" s="1011"/>
      <c r="Q37" s="1011"/>
      <c r="R37" s="1011"/>
    </row>
    <row r="38" spans="1:18" x14ac:dyDescent="0.25">
      <c r="A38" s="213"/>
      <c r="B38" s="207" t="s">
        <v>254</v>
      </c>
      <c r="C38" s="134" t="s">
        <v>47</v>
      </c>
      <c r="D38" s="126"/>
      <c r="E38" s="135"/>
      <c r="F38" s="452"/>
      <c r="G38" s="18"/>
      <c r="H38" s="211" t="s">
        <v>254</v>
      </c>
      <c r="I38" s="18" t="s">
        <v>47</v>
      </c>
      <c r="K38" s="17"/>
      <c r="L38" s="507">
        <f t="shared" si="7"/>
        <v>0</v>
      </c>
      <c r="M38" s="512" t="str">
        <f>IFERROR(L38/B_TP_Gesamtkalkulation!$N$6,"")</f>
        <v/>
      </c>
      <c r="N38" s="567"/>
      <c r="O38" s="1011"/>
      <c r="P38" s="1011"/>
      <c r="Q38" s="1011"/>
      <c r="R38" s="1011"/>
    </row>
    <row r="39" spans="1:18" x14ac:dyDescent="0.25">
      <c r="A39" s="213"/>
      <c r="B39" s="208" t="s">
        <v>255</v>
      </c>
      <c r="C39" s="18" t="s">
        <v>49</v>
      </c>
      <c r="E39" s="17"/>
      <c r="F39" s="452"/>
      <c r="G39" s="18"/>
      <c r="H39" s="210" t="s">
        <v>255</v>
      </c>
      <c r="I39" s="134" t="s">
        <v>49</v>
      </c>
      <c r="J39" s="126"/>
      <c r="K39" s="135"/>
      <c r="L39" s="507">
        <f t="shared" si="7"/>
        <v>0</v>
      </c>
      <c r="M39" s="512" t="str">
        <f>IFERROR(L39/B_TP_Gesamtkalkulation!$N$6,"")</f>
        <v/>
      </c>
      <c r="N39" s="567"/>
      <c r="O39" s="1011"/>
      <c r="P39" s="1011"/>
      <c r="Q39" s="1011"/>
      <c r="R39" s="1011"/>
    </row>
    <row r="40" spans="1:18" x14ac:dyDescent="0.25">
      <c r="A40" s="213"/>
      <c r="B40" s="207" t="s">
        <v>256</v>
      </c>
      <c r="C40" s="134" t="s">
        <v>51</v>
      </c>
      <c r="D40" s="126"/>
      <c r="E40" s="135"/>
      <c r="F40" s="452"/>
      <c r="G40" s="18"/>
      <c r="H40" s="211" t="s">
        <v>256</v>
      </c>
      <c r="I40" s="18" t="s">
        <v>51</v>
      </c>
      <c r="K40" s="17"/>
      <c r="L40" s="507">
        <f t="shared" si="7"/>
        <v>0</v>
      </c>
      <c r="M40" s="512" t="str">
        <f>IFERROR(L40/B_TP_Gesamtkalkulation!$N$6,"")</f>
        <v/>
      </c>
      <c r="N40" s="567"/>
      <c r="O40" s="1011"/>
      <c r="P40" s="1011"/>
      <c r="Q40" s="1011"/>
      <c r="R40" s="1011"/>
    </row>
    <row r="41" spans="1:18" x14ac:dyDescent="0.25">
      <c r="A41" s="213"/>
      <c r="B41" s="208" t="s">
        <v>257</v>
      </c>
      <c r="C41" s="136" t="s">
        <v>53</v>
      </c>
      <c r="E41" s="17"/>
      <c r="F41" s="452"/>
      <c r="G41" s="18"/>
      <c r="H41" s="210" t="s">
        <v>257</v>
      </c>
      <c r="I41" s="134" t="s">
        <v>53</v>
      </c>
      <c r="J41" s="126"/>
      <c r="K41" s="135"/>
      <c r="L41" s="507">
        <f>IFERROR(ROUND(F41*(100+$M$31*100)%,2),"")</f>
        <v>0</v>
      </c>
      <c r="M41" s="512" t="str">
        <f>IFERROR(L41/B_TP_Gesamtkalkulation!$N$6,"")</f>
        <v/>
      </c>
      <c r="N41" s="567"/>
      <c r="O41" s="1011"/>
      <c r="P41" s="1011"/>
      <c r="Q41" s="1011"/>
      <c r="R41" s="1011"/>
    </row>
    <row r="42" spans="1:18" x14ac:dyDescent="0.25">
      <c r="A42" s="213"/>
      <c r="B42" s="134"/>
      <c r="C42" s="126" t="s">
        <v>247</v>
      </c>
      <c r="D42" s="126"/>
      <c r="E42" s="135"/>
      <c r="F42" s="171">
        <f>SUM(F32:F41)</f>
        <v>0</v>
      </c>
      <c r="G42" s="18"/>
      <c r="H42" s="136"/>
      <c r="I42" s="56" t="s">
        <v>247</v>
      </c>
      <c r="J42" s="56"/>
      <c r="K42" s="137"/>
      <c r="L42" s="167">
        <f>SUM(L32:L41)</f>
        <v>0</v>
      </c>
      <c r="M42" s="513">
        <f>SUM(M32:M41)</f>
        <v>0</v>
      </c>
      <c r="N42" s="567"/>
      <c r="O42" s="1011"/>
      <c r="P42" s="1011"/>
      <c r="Q42" s="1011"/>
      <c r="R42" s="1011"/>
    </row>
    <row r="43" spans="1:18" ht="3" customHeight="1" x14ac:dyDescent="0.25">
      <c r="A43" s="191"/>
      <c r="H43" s="18"/>
      <c r="R43" s="17"/>
    </row>
    <row r="44" spans="1:18" x14ac:dyDescent="0.25">
      <c r="A44" s="191"/>
      <c r="B44" s="229" t="s">
        <v>258</v>
      </c>
      <c r="C44" s="195"/>
      <c r="D44" s="195"/>
      <c r="E44" s="195"/>
      <c r="F44" s="196"/>
      <c r="H44" s="229" t="s">
        <v>258</v>
      </c>
      <c r="I44" s="195"/>
      <c r="J44" s="195"/>
      <c r="K44" s="195"/>
      <c r="L44" s="196"/>
      <c r="M44" s="509"/>
      <c r="O44" s="1035" t="s">
        <v>423</v>
      </c>
      <c r="P44" s="1036"/>
      <c r="Q44" s="1036"/>
      <c r="R44" s="1037"/>
    </row>
    <row r="45" spans="1:18" x14ac:dyDescent="0.25">
      <c r="A45" s="214"/>
      <c r="B45" s="230" t="s">
        <v>259</v>
      </c>
      <c r="C45" t="s">
        <v>30</v>
      </c>
      <c r="E45" s="17"/>
      <c r="F45" s="453"/>
      <c r="G45" s="18"/>
      <c r="H45" s="230" t="s">
        <v>259</v>
      </c>
      <c r="I45" t="s">
        <v>30</v>
      </c>
      <c r="K45" s="233"/>
      <c r="L45" s="166">
        <f>IFERROR(ROUND(F45*(100+$M$44*100)%,2),"")</f>
        <v>0</v>
      </c>
      <c r="M45" s="512" t="str">
        <f>IFERROR(L45/B_TP_Gesamtkalkulation!$N$6,"")</f>
        <v/>
      </c>
      <c r="N45" s="567"/>
      <c r="O45" s="1011"/>
      <c r="P45" s="1011"/>
      <c r="Q45" s="1011"/>
      <c r="R45" s="1011"/>
    </row>
    <row r="46" spans="1:18" x14ac:dyDescent="0.25">
      <c r="A46" s="214"/>
      <c r="B46" s="231" t="s">
        <v>260</v>
      </c>
      <c r="C46" s="126" t="s">
        <v>32</v>
      </c>
      <c r="D46" s="126"/>
      <c r="E46" s="135"/>
      <c r="F46" s="161"/>
      <c r="G46" s="18"/>
      <c r="H46" s="231" t="s">
        <v>260</v>
      </c>
      <c r="I46" s="126" t="s">
        <v>32</v>
      </c>
      <c r="J46" s="126"/>
      <c r="K46" s="232"/>
      <c r="L46" s="166">
        <f>IFERROR(ROUND(F46*(100+$M$44*100)%,2),"")</f>
        <v>0</v>
      </c>
      <c r="M46" s="512" t="str">
        <f>IFERROR(L46/B_TP_Gesamtkalkulation!$N$6,"")</f>
        <v/>
      </c>
      <c r="N46" s="567"/>
      <c r="O46" s="1011"/>
      <c r="P46" s="1011"/>
      <c r="Q46" s="1011"/>
      <c r="R46" s="1011"/>
    </row>
    <row r="47" spans="1:18" x14ac:dyDescent="0.25">
      <c r="A47" s="214"/>
      <c r="B47" s="231" t="s">
        <v>261</v>
      </c>
      <c r="C47" t="s">
        <v>33</v>
      </c>
      <c r="D47" s="126"/>
      <c r="E47" s="135"/>
      <c r="F47" s="453"/>
      <c r="G47" s="18"/>
      <c r="H47" s="230" t="s">
        <v>261</v>
      </c>
      <c r="I47" t="s">
        <v>33</v>
      </c>
      <c r="K47" s="233"/>
      <c r="L47" s="166">
        <f>IFERROR(ROUND(F47*(100+$M$44*100)%,2),"")</f>
        <v>0</v>
      </c>
      <c r="M47" s="706" t="str">
        <f>IFERROR(L47/B_TP_Gesamtkalkulation!$N$6,"")</f>
        <v/>
      </c>
      <c r="N47" s="567"/>
      <c r="O47" s="1011"/>
      <c r="P47" s="1011"/>
      <c r="Q47" s="1011"/>
      <c r="R47" s="1011"/>
    </row>
    <row r="48" spans="1:18" x14ac:dyDescent="0.25">
      <c r="A48" s="214"/>
      <c r="B48" s="231" t="s">
        <v>262</v>
      </c>
      <c r="C48" s="126" t="s">
        <v>34</v>
      </c>
      <c r="D48" s="126"/>
      <c r="E48" s="135"/>
      <c r="F48" s="161"/>
      <c r="G48" s="18"/>
      <c r="H48" s="231" t="s">
        <v>262</v>
      </c>
      <c r="I48" s="126" t="s">
        <v>34</v>
      </c>
      <c r="J48" s="126"/>
      <c r="K48" s="232"/>
      <c r="L48" s="166">
        <f>IFERROR(ROUND(F48*(100+$M$44*100)%,2),"")</f>
        <v>0</v>
      </c>
      <c r="M48" s="512" t="str">
        <f>IFERROR(L48/B_TP_Gesamtkalkulation!$N$6,"")</f>
        <v/>
      </c>
      <c r="N48" s="567"/>
      <c r="O48" s="1011"/>
      <c r="P48" s="1011"/>
      <c r="Q48" s="1011"/>
      <c r="R48" s="1011"/>
    </row>
    <row r="49" spans="1:18" x14ac:dyDescent="0.25">
      <c r="A49" s="214"/>
      <c r="B49" s="230" t="s">
        <v>263</v>
      </c>
      <c r="C49" t="s">
        <v>31</v>
      </c>
      <c r="E49" s="17"/>
      <c r="F49" s="453"/>
      <c r="G49" s="18"/>
      <c r="H49" s="230" t="s">
        <v>263</v>
      </c>
      <c r="I49" t="s">
        <v>31</v>
      </c>
      <c r="K49" s="233"/>
      <c r="L49" s="166">
        <f t="shared" ref="L49:L51" si="8">IFERROR(ROUND(F49*(100+$M$44*100)%,2),"")</f>
        <v>0</v>
      </c>
      <c r="M49" s="512" t="str">
        <f>IFERROR(L49/B_TP_Gesamtkalkulation!$N$6,"")</f>
        <v/>
      </c>
      <c r="N49" s="567"/>
      <c r="O49" s="1011"/>
      <c r="P49" s="1011"/>
      <c r="Q49" s="1011"/>
      <c r="R49" s="1011"/>
    </row>
    <row r="50" spans="1:18" x14ac:dyDescent="0.25">
      <c r="A50" s="214"/>
      <c r="B50" s="231" t="s">
        <v>264</v>
      </c>
      <c r="C50" s="1026"/>
      <c r="D50" s="1027"/>
      <c r="E50" s="1028"/>
      <c r="F50" s="161"/>
      <c r="G50" s="18"/>
      <c r="H50" s="231" t="s">
        <v>264</v>
      </c>
      <c r="I50" s="134" t="str">
        <f>IF(C50&lt;&gt;"",C50,"")</f>
        <v/>
      </c>
      <c r="J50" s="126"/>
      <c r="K50" s="232"/>
      <c r="L50" s="166">
        <f t="shared" si="8"/>
        <v>0</v>
      </c>
      <c r="M50" s="512" t="str">
        <f>IFERROR(L50/B_TP_Gesamtkalkulation!$N$6,"")</f>
        <v/>
      </c>
      <c r="N50" s="567"/>
      <c r="O50" s="1011"/>
      <c r="P50" s="1011"/>
      <c r="Q50" s="1011"/>
      <c r="R50" s="1011"/>
    </row>
    <row r="51" spans="1:18" x14ac:dyDescent="0.25">
      <c r="A51" s="214"/>
      <c r="B51" s="230" t="s">
        <v>265</v>
      </c>
      <c r="C51" s="1029"/>
      <c r="D51" s="1030"/>
      <c r="E51" s="1031"/>
      <c r="F51" s="453"/>
      <c r="G51" s="18"/>
      <c r="H51" s="230" t="s">
        <v>265</v>
      </c>
      <c r="I51" s="134" t="str">
        <f>IF(C51&lt;&gt;"",C51,"")</f>
        <v/>
      </c>
      <c r="K51" s="233"/>
      <c r="L51" s="166">
        <f t="shared" si="8"/>
        <v>0</v>
      </c>
      <c r="M51" s="512" t="str">
        <f>IFERROR(L51/B_TP_Gesamtkalkulation!$N$6,"")</f>
        <v/>
      </c>
      <c r="N51" s="567"/>
      <c r="O51" s="1011"/>
      <c r="P51" s="1011"/>
      <c r="Q51" s="1011"/>
      <c r="R51" s="1011"/>
    </row>
    <row r="52" spans="1:18" x14ac:dyDescent="0.25">
      <c r="A52" s="213"/>
      <c r="B52" s="132"/>
      <c r="C52" s="126" t="s">
        <v>247</v>
      </c>
      <c r="D52" s="126"/>
      <c r="E52" s="135"/>
      <c r="F52" s="170">
        <f>SUM(F45:F51)</f>
        <v>0</v>
      </c>
      <c r="G52" s="136"/>
      <c r="H52" s="134"/>
      <c r="I52" s="134" t="s">
        <v>247</v>
      </c>
      <c r="J52" s="126"/>
      <c r="K52" s="135"/>
      <c r="L52" s="167">
        <f>SUM(L45:L51)</f>
        <v>0</v>
      </c>
      <c r="M52" s="513">
        <f>SUM(M45:M51)</f>
        <v>0</v>
      </c>
      <c r="N52" s="567"/>
      <c r="O52" s="1011"/>
      <c r="P52" s="1011"/>
      <c r="Q52" s="1011"/>
      <c r="R52" s="1011"/>
    </row>
    <row r="53" spans="1:18" ht="9" customHeight="1" x14ac:dyDescent="0.25">
      <c r="A53" s="17"/>
      <c r="F53" s="19"/>
      <c r="R53" s="125"/>
    </row>
    <row r="54" spans="1:18" s="215" customFormat="1" ht="14.4" thickBot="1" x14ac:dyDescent="0.3">
      <c r="B54" s="700" t="s">
        <v>591</v>
      </c>
      <c r="C54"/>
      <c r="D54"/>
      <c r="E54"/>
      <c r="F54"/>
      <c r="G54"/>
      <c r="H54" s="189" t="s">
        <v>235</v>
      </c>
      <c r="R54" s="221"/>
    </row>
    <row r="55" spans="1:18" s="215" customFormat="1" ht="13.2" customHeight="1" x14ac:dyDescent="0.25">
      <c r="B55" s="689" t="s">
        <v>459</v>
      </c>
      <c r="C55" s="690"/>
      <c r="D55" s="690"/>
      <c r="E55" s="690"/>
      <c r="F55" s="691"/>
      <c r="G55" s="175"/>
      <c r="H55" s="226" t="s">
        <v>459</v>
      </c>
      <c r="I55" s="227"/>
      <c r="J55" s="227"/>
      <c r="K55" s="227"/>
      <c r="L55" s="228"/>
      <c r="M55" s="222"/>
      <c r="R55" s="221"/>
    </row>
    <row r="56" spans="1:18" x14ac:dyDescent="0.25">
      <c r="B56" s="223" t="s">
        <v>55</v>
      </c>
      <c r="C56" s="224" t="s">
        <v>56</v>
      </c>
      <c r="D56" s="224" t="s">
        <v>57</v>
      </c>
      <c r="E56" s="224" t="s">
        <v>58</v>
      </c>
      <c r="F56" s="225" t="s">
        <v>59</v>
      </c>
      <c r="G56" s="175"/>
      <c r="H56" s="223" t="s">
        <v>55</v>
      </c>
      <c r="I56" s="224" t="s">
        <v>56</v>
      </c>
      <c r="J56" s="224" t="s">
        <v>57</v>
      </c>
      <c r="K56" s="224" t="s">
        <v>58</v>
      </c>
      <c r="L56" s="225" t="s">
        <v>59</v>
      </c>
      <c r="R56" s="17"/>
    </row>
    <row r="57" spans="1:18" s="216" customFormat="1" ht="13.2" customHeight="1" thickBot="1" x14ac:dyDescent="0.3">
      <c r="B57" s="692"/>
      <c r="C57" s="693"/>
      <c r="D57" s="693"/>
      <c r="E57" s="693"/>
      <c r="F57" s="694"/>
      <c r="G57" s="175"/>
      <c r="H57" s="172">
        <f>B_TP_Gesamtkalkulation!H51</f>
        <v>0</v>
      </c>
      <c r="I57" s="173">
        <f>B_TP_Gesamtkalkulation!J51</f>
        <v>0</v>
      </c>
      <c r="J57" s="173">
        <f>B_TP_Gesamtkalkulation!L51</f>
        <v>0</v>
      </c>
      <c r="K57" s="173">
        <f>B_TP_Gesamtkalkulation!N51</f>
        <v>0</v>
      </c>
      <c r="L57" s="174">
        <f>B_TP_Gesamtkalkulation!P51</f>
        <v>0</v>
      </c>
      <c r="R57" s="217"/>
    </row>
    <row r="58" spans="1:18" s="216" customFormat="1" ht="13.2" customHeight="1" thickBot="1" x14ac:dyDescent="0.3">
      <c r="B58" s="701"/>
      <c r="C58"/>
      <c r="D58"/>
      <c r="E58"/>
      <c r="F58"/>
      <c r="G58" s="175"/>
      <c r="R58" s="217"/>
    </row>
    <row r="59" spans="1:18" s="216" customFormat="1" ht="13.2" customHeight="1" x14ac:dyDescent="0.25">
      <c r="B59" s="1024" t="s">
        <v>269</v>
      </c>
      <c r="C59" s="1025"/>
      <c r="D59" s="1025"/>
      <c r="E59" s="686"/>
      <c r="F59"/>
      <c r="G59" s="175"/>
      <c r="H59" s="1007" t="s">
        <v>269</v>
      </c>
      <c r="I59" s="1008"/>
      <c r="J59" s="1008"/>
      <c r="K59" s="686"/>
      <c r="R59" s="217"/>
    </row>
    <row r="60" spans="1:18" s="216" customFormat="1" ht="26.4" customHeight="1" x14ac:dyDescent="0.25">
      <c r="B60" s="698" t="s">
        <v>266</v>
      </c>
      <c r="C60" s="696" t="s">
        <v>454</v>
      </c>
      <c r="D60" s="697" t="s">
        <v>592</v>
      </c>
      <c r="E60" s="843" t="s">
        <v>639</v>
      </c>
      <c r="F60"/>
      <c r="G60" s="175"/>
      <c r="H60" s="698" t="s">
        <v>266</v>
      </c>
      <c r="I60" s="696" t="s">
        <v>99</v>
      </c>
      <c r="J60" s="696" t="s">
        <v>267</v>
      </c>
      <c r="K60" s="618" t="str">
        <f>IF(KAT!J94=1,"Fahrtkosten - Beförderung intern","Fahrtkosten - Beförderung extern")</f>
        <v>Fahrtkosten - Beförderung extern</v>
      </c>
      <c r="R60" s="217"/>
    </row>
    <row r="61" spans="1:18" ht="14.4" thickBot="1" x14ac:dyDescent="0.3">
      <c r="B61" s="692"/>
      <c r="C61" s="693"/>
      <c r="D61" s="695"/>
      <c r="E61" s="853">
        <f>F16</f>
        <v>0</v>
      </c>
      <c r="G61" s="175"/>
      <c r="H61" s="172">
        <f>IFERROR(B_TP_Gesamtkalkulation!R51,0)</f>
        <v>0</v>
      </c>
      <c r="I61" s="173">
        <f>IFERROR(B_TP_Gesamtkalkulation!T51,0)</f>
        <v>0</v>
      </c>
      <c r="J61" s="173">
        <f>IFERROR(B_TP_Gesamtkalkulation!V51,0)</f>
        <v>0</v>
      </c>
      <c r="K61" s="174" t="str">
        <f>L16</f>
        <v/>
      </c>
      <c r="L61" s="216"/>
      <c r="R61" s="17"/>
    </row>
    <row r="62" spans="1:18" x14ac:dyDescent="0.25">
      <c r="B62" s="702"/>
      <c r="C62" s="699"/>
      <c r="D62" s="699"/>
      <c r="E62" s="699"/>
      <c r="F62" s="699"/>
      <c r="G62" s="175"/>
      <c r="H62" s="699"/>
      <c r="I62" s="699"/>
      <c r="J62" s="699"/>
      <c r="K62" s="699"/>
      <c r="R62" s="17"/>
    </row>
    <row r="63" spans="1:18" x14ac:dyDescent="0.25">
      <c r="B63" s="703" t="s">
        <v>66</v>
      </c>
      <c r="C63" s="681"/>
      <c r="D63" s="681"/>
      <c r="E63" s="681"/>
      <c r="F63" s="681"/>
      <c r="G63" s="175"/>
      <c r="R63" s="17"/>
    </row>
    <row r="64" spans="1:18" ht="7.5" customHeight="1" x14ac:dyDescent="0.25">
      <c r="A64" s="17"/>
      <c r="R64" s="17"/>
    </row>
    <row r="65" spans="1:18" x14ac:dyDescent="0.25">
      <c r="A65" s="17"/>
      <c r="R65" s="17"/>
    </row>
    <row r="66" spans="1:18" s="216" customFormat="1" x14ac:dyDescent="0.25">
      <c r="A66" s="217"/>
      <c r="B66" s="56"/>
      <c r="C66" s="237"/>
      <c r="H66" s="56"/>
      <c r="I66" s="237"/>
      <c r="J66" s="237"/>
      <c r="K66" s="237"/>
      <c r="L66" s="237"/>
      <c r="R66" s="217"/>
    </row>
    <row r="67" spans="1:18" x14ac:dyDescent="0.25">
      <c r="A67" s="17"/>
      <c r="B67" t="s">
        <v>270</v>
      </c>
      <c r="H67" t="s">
        <v>643</v>
      </c>
      <c r="R67" s="17"/>
    </row>
    <row r="68" spans="1:18" s="239" customFormat="1" ht="11.4" x14ac:dyDescent="0.2">
      <c r="A68" s="218"/>
      <c r="B68" s="219"/>
      <c r="C68" s="219"/>
      <c r="D68" s="219"/>
      <c r="E68" s="219"/>
      <c r="F68" s="219"/>
      <c r="G68" s="219"/>
      <c r="H68" s="219"/>
      <c r="I68" s="219"/>
      <c r="J68" s="219"/>
      <c r="K68" s="219"/>
      <c r="L68" s="219"/>
      <c r="M68" s="219"/>
      <c r="N68" s="219"/>
      <c r="O68" s="219"/>
      <c r="P68" s="219"/>
      <c r="Q68" s="219"/>
      <c r="R68" s="220"/>
    </row>
    <row r="69" spans="1:18" ht="14.4" thickBot="1" x14ac:dyDescent="0.3"/>
    <row r="70" spans="1:18" ht="14.4" thickBot="1" x14ac:dyDescent="0.3">
      <c r="G70" s="881"/>
      <c r="H70" s="1040" t="s">
        <v>638</v>
      </c>
      <c r="I70" s="1041"/>
      <c r="J70" s="1041"/>
      <c r="K70" s="1041"/>
      <c r="L70" s="1041"/>
      <c r="M70" s="1041"/>
      <c r="N70" s="1042"/>
      <c r="O70" s="881"/>
    </row>
    <row r="71" spans="1:18" x14ac:dyDescent="0.25">
      <c r="N71" s="881"/>
    </row>
  </sheetData>
  <sheetProtection algorithmName="SHA-512" hashValue="NPXzaenSamFWfX7BmSbrgBXOl4XLJ8CJ5j3/qU7aFi+cA2KVYuxrEKL6lHPFSgmXjiWfyBPjYQ7gFyCuh6notw==" saltValue="g5QCj9yEi58hqdgXemtecg==" spinCount="100000" sheet="1" selectLockedCells="1"/>
  <mergeCells count="17">
    <mergeCell ref="H70:N70"/>
    <mergeCell ref="A1:P1"/>
    <mergeCell ref="A2:P2"/>
    <mergeCell ref="H59:J59"/>
    <mergeCell ref="B28:C28"/>
    <mergeCell ref="H28:I28"/>
    <mergeCell ref="O45:R52"/>
    <mergeCell ref="O32:R42"/>
    <mergeCell ref="O16:R16"/>
    <mergeCell ref="O17:R29"/>
    <mergeCell ref="B59:D59"/>
    <mergeCell ref="C50:E50"/>
    <mergeCell ref="C51:E51"/>
    <mergeCell ref="O15:R15"/>
    <mergeCell ref="O31:R31"/>
    <mergeCell ref="M19:M20"/>
    <mergeCell ref="O44:R44"/>
  </mergeCells>
  <conditionalFormatting sqref="M21">
    <cfRule type="expression" dxfId="35" priority="5">
      <formula>$N$21="nein"</formula>
    </cfRule>
  </conditionalFormatting>
  <dataValidations count="8">
    <dataValidation type="whole" allowBlank="1" showInputMessage="1" showErrorMessage="1" error="ganze Zahlen ab 85 bis 100_x000a_" prompt="85% bis 100%" sqref="D6" xr:uid="{00000000-0002-0000-0200-000000000000}">
      <formula1>85</formula1>
      <formula2>100</formula2>
    </dataValidation>
    <dataValidation type="list" allowBlank="1" showInputMessage="1" showErrorMessage="1" promptTitle="je nach Einrichtungsart wählen" prompt="teilstationär: Mo-Fr. 250 Tage/Jahr_x000a_teilstationär: Mo-Sa 312 Tage/Jahr_x000a_teilstationär: Mo-So 365 Tage/Jahr" sqref="I6" xr:uid="{00000000-0002-0000-0200-000001000000}">
      <formula1>"250,312,365"</formula1>
    </dataValidation>
    <dataValidation allowBlank="1" showErrorMessage="1" sqref="L16" xr:uid="{00000000-0002-0000-0200-000002000000}"/>
    <dataValidation operator="lessThan" allowBlank="1" showInputMessage="1" showErrorMessage="1" error="Forderung liegt über max. Wert (17,00 €)" sqref="L17" xr:uid="{00000000-0002-0000-0200-000003000000}"/>
    <dataValidation type="custom" allowBlank="1" showInputMessage="1" showErrorMessage="1" error="Maximal bisher vereinbarter Wert _x000a_     und_x000a_maximal 2 Nachkommastellen" sqref="I23 I17:I21" xr:uid="{B44F8719-0EB4-4950-8548-9E85FDF0E757}">
      <formula1>AND(I17&gt;=C17,IFERROR((LEN(I17)-FIND(",",I17)),0)&lt;=2)</formula1>
    </dataValidation>
    <dataValidation type="whole" allowBlank="1" showInputMessage="1" showErrorMessage="1" sqref="J28" xr:uid="{52307878-F5C0-411F-934D-DE63EF297025}">
      <formula1>0</formula1>
      <formula2>10</formula2>
    </dataValidation>
    <dataValidation type="custom" allowBlank="1" showInputMessage="1" showErrorMessage="1" error="maximal 2 Nachkommastellen" sqref="I22 C22" xr:uid="{21FBA574-DB7E-4CF1-B1F1-E832BFC6E69C}">
      <formula1>(IFERROR((LEN(C22)-FIND(",",C22)),0)&lt;=4)</formula1>
    </dataValidation>
    <dataValidation type="custom" allowBlank="1" showInputMessage="1" showErrorMessage="1" error="Maximal 2 Nachkommastellen." promptTitle="Eingabe " prompt="mit max. 2 Nachkomma-stellen" sqref="C17:C21 C23:C27" xr:uid="{CCE877A2-07FA-46BD-84EC-E24B34D2A3C2}">
      <formula1>IFERROR((LEN(C17)-FIND(",",C17)),0)&lt;=2</formula1>
    </dataValidation>
  </dataValidations>
  <hyperlinks>
    <hyperlink ref="H70" location="'Anlage 1'!A1" display="Anlage 1" xr:uid="{00000000-0004-0000-0200-000000000000}"/>
    <hyperlink ref="H70:N70" location="B_TP_Ergebnis!A1" display="gehe weiter zu B_TP_Ergebnis" xr:uid="{00000000-0004-0000-0200-000001000000}"/>
  </hyperlinks>
  <pageMargins left="0.39370078740157483" right="0.39370078740157483" top="0.78740157480314965" bottom="0.78740157480314965" header="0.31496062992125984" footer="0.31496062992125984"/>
  <pageSetup paperSize="9" scale="45" orientation="landscape"/>
  <headerFooter>
    <oddHeader>&amp;C&amp;9&amp;A</oddHeader>
    <oddFooter>&amp;LVersion: 21.10.2026&amp;CVerhandlungsunterlagen SGB XI (vereinfacht B_TP)&amp;RPSK-Beschluss vom 08.10.2026</oddFooter>
  </headerFooter>
  <extLst>
    <ext xmlns:x14="http://schemas.microsoft.com/office/spreadsheetml/2009/9/main" uri="{78C0D931-6437-407d-A8EE-F0AAD7539E65}">
      <x14:conditionalFormattings>
        <x14:conditionalFormatting xmlns:xm="http://schemas.microsoft.com/office/excel/2006/main">
          <x14:cfRule type="expression" priority="3" id="{78F0AE0F-F81A-4F21-9E34-4B4DDE4A05F4}">
            <xm:f>KAT!$A$108="nein"</xm:f>
            <x14:dxf>
              <fill>
                <patternFill>
                  <bgColor theme="0"/>
                </patternFill>
              </fill>
            </x14:dxf>
          </x14:cfRule>
          <xm:sqref>B15:E15</xm:sqref>
        </x14:conditionalFormatting>
        <x14:conditionalFormatting xmlns:xm="http://schemas.microsoft.com/office/excel/2006/main">
          <x14:cfRule type="expression" priority="31" id="{7EED9CB8-E343-4D34-A76E-0D149CBE2CEA}">
            <xm:f>'B_TP_Allgemeine Angaben'!$D$7&lt;&gt;"tst"</xm:f>
            <x14:dxf>
              <font>
                <color theme="0"/>
              </font>
              <fill>
                <patternFill>
                  <fgColor theme="0"/>
                  <bgColor theme="0"/>
                </patternFill>
              </fill>
              <border>
                <left style="thin">
                  <color auto="1"/>
                </left>
                <right/>
                <top/>
                <bottom/>
                <vertical/>
                <horizontal/>
              </border>
            </x14:dxf>
          </x14:cfRule>
          <xm:sqref>E16</xm:sqref>
        </x14:conditionalFormatting>
        <x14:conditionalFormatting xmlns:xm="http://schemas.microsoft.com/office/excel/2006/main">
          <x14:cfRule type="expression" priority="1" id="{BDD99B15-3501-4193-B352-71C63DD2F984}">
            <xm:f>'B_TP_Allgemeine Angaben'!$D$7&lt;&gt;"tst"</xm:f>
            <x14:dxf>
              <font>
                <color theme="0"/>
              </font>
              <fill>
                <patternFill>
                  <fgColor theme="0"/>
                  <bgColor theme="0"/>
                </patternFill>
              </fill>
              <border>
                <left style="thin">
                  <color auto="1"/>
                </left>
                <right/>
                <top/>
                <bottom/>
                <vertical/>
                <horizontal/>
              </border>
            </x14:dxf>
          </x14:cfRule>
          <xm:sqref>E59:E60</xm:sqref>
        </x14:conditionalFormatting>
        <x14:conditionalFormatting xmlns:xm="http://schemas.microsoft.com/office/excel/2006/main">
          <x14:cfRule type="expression" priority="30" id="{E3BB435D-9F54-4BF1-BD4F-B6C588E2BF09}">
            <xm:f>'B_TP_Allgemeine Angaben'!$D$7&lt;&gt;"tst"</xm:f>
            <x14:dxf>
              <font>
                <color theme="0"/>
              </font>
              <fill>
                <patternFill>
                  <fgColor theme="0"/>
                  <bgColor theme="0"/>
                </patternFill>
              </fill>
              <border>
                <left/>
                <right style="thin">
                  <color auto="1"/>
                </right>
                <top/>
                <bottom/>
                <vertical/>
                <horizontal/>
              </border>
            </x14:dxf>
          </x14:cfRule>
          <xm:sqref>F16</xm:sqref>
        </x14:conditionalFormatting>
        <x14:conditionalFormatting xmlns:xm="http://schemas.microsoft.com/office/excel/2006/main">
          <x14:cfRule type="expression" priority="37" id="{78C4B612-6B76-487F-BE2D-B3E1E1E97178}">
            <xm:f>'B_TP_Allgemeine Angaben'!$D$7&lt;&gt;"tst"</xm:f>
            <x14:dxf>
              <font>
                <color theme="0"/>
              </font>
              <fill>
                <patternFill>
                  <fgColor theme="0"/>
                  <bgColor theme="0"/>
                </patternFill>
              </fill>
              <border>
                <left style="thin">
                  <color auto="1"/>
                </left>
                <right/>
                <top/>
                <bottom/>
                <vertical/>
                <horizontal/>
              </border>
            </x14:dxf>
          </x14:cfRule>
          <xm:sqref>K16</xm:sqref>
        </x14:conditionalFormatting>
        <x14:conditionalFormatting xmlns:xm="http://schemas.microsoft.com/office/excel/2006/main">
          <x14:cfRule type="expression" priority="28" id="{64370A19-8E96-4201-94FE-8286514C14FD}">
            <xm:f>'B_TP_Allgemeine Angaben'!$D$7&lt;&gt;"tst"</xm:f>
            <x14:dxf>
              <font>
                <color theme="0"/>
              </font>
              <fill>
                <patternFill>
                  <fgColor theme="0"/>
                  <bgColor theme="0"/>
                </patternFill>
              </fill>
              <border>
                <left style="thin">
                  <color auto="1"/>
                </left>
                <right/>
                <top/>
                <bottom/>
                <vertical/>
                <horizontal/>
              </border>
            </x14:dxf>
          </x14:cfRule>
          <xm:sqref>K59:K61</xm:sqref>
        </x14:conditionalFormatting>
        <x14:conditionalFormatting xmlns:xm="http://schemas.microsoft.com/office/excel/2006/main">
          <x14:cfRule type="expression" priority="2" id="{15FD42FB-B033-4D61-BDC7-36879DA7ABBC}">
            <xm:f>'B_TP_Allgemeine Angaben'!$D$7&lt;&gt;"tst"</xm:f>
            <x14:dxf>
              <font>
                <color theme="0"/>
              </font>
              <fill>
                <patternFill>
                  <fgColor theme="0"/>
                  <bgColor theme="0"/>
                </patternFill>
              </fill>
              <border>
                <left/>
                <right/>
                <top/>
                <bottom/>
                <vertical/>
                <horizontal/>
              </border>
            </x14:dxf>
          </x14:cfRule>
          <xm:sqref>L16:L17</xm:sqref>
        </x14:conditionalFormatting>
        <x14:conditionalFormatting xmlns:xm="http://schemas.microsoft.com/office/excel/2006/main">
          <x14:cfRule type="expression" priority="36" id="{72732832-7619-45CA-A5F0-E061E8020663}">
            <xm:f>KAT!$A$108="nein"</xm:f>
            <x14:dxf>
              <fill>
                <patternFill>
                  <bgColor theme="0"/>
                </patternFill>
              </fill>
            </x14:dxf>
          </x14:cfRule>
          <xm:sqref>L17</xm:sqref>
        </x14:conditionalFormatting>
        <x14:conditionalFormatting xmlns:xm="http://schemas.microsoft.com/office/excel/2006/main">
          <x14:cfRule type="expression" priority="4" id="{794F7443-878B-4AEC-980E-50D5B8604E39}">
            <xm:f>'B_TP_Allgemeine Angaben'!$D$7&lt;&gt;"tst"</xm:f>
            <x14:dxf>
              <font>
                <color theme="0"/>
              </font>
              <fill>
                <patternFill>
                  <bgColor theme="0"/>
                </patternFill>
              </fill>
              <border>
                <left/>
                <right/>
                <top/>
                <bottom/>
                <vertical/>
                <horizontal/>
              </border>
            </x14:dxf>
          </x14:cfRule>
          <xm:sqref>M15:M16</xm:sqref>
        </x14:conditionalFormatting>
        <x14:conditionalFormatting xmlns:xm="http://schemas.microsoft.com/office/excel/2006/main">
          <x14:cfRule type="expression" priority="25" id="{DD4E3F39-5DD2-4A86-AEB9-523660A58C13}">
            <xm:f>'B_TP_Allgemeine Angaben'!$L$48=0</xm:f>
            <x14:dxf>
              <font>
                <color theme="0"/>
              </font>
              <fill>
                <patternFill>
                  <fgColor theme="0"/>
                  <bgColor theme="0"/>
                </patternFill>
              </fill>
              <border>
                <left/>
                <right/>
                <top/>
                <bottom/>
                <vertical/>
                <horizontal/>
              </border>
            </x14:dxf>
          </x14:cfRule>
          <xm:sqref>N12</xm:sqref>
        </x14:conditionalFormatting>
        <x14:conditionalFormatting xmlns:xm="http://schemas.microsoft.com/office/excel/2006/main">
          <x14:cfRule type="expression" priority="43" id="{C4AB7C6D-D296-4EA2-9602-FDDCE07E9A56}">
            <xm:f>'B_TP_Allgemeine Angaben'!$L$48=0</xm:f>
            <x14:dxf>
              <font>
                <color theme="0"/>
              </font>
              <fill>
                <patternFill>
                  <bgColor theme="0"/>
                </patternFill>
              </fill>
              <border>
                <left/>
                <right/>
                <top/>
                <bottom/>
                <vertical/>
                <horizontal/>
              </border>
            </x14:dxf>
          </x14:cfRule>
          <xm:sqref>O12:P12</xm:sqref>
        </x14:conditionalFormatting>
      </x14:conditionalFormattings>
    </ext>
    <ext xmlns:x14="http://schemas.microsoft.com/office/spreadsheetml/2009/9/main" uri="{CCE6A557-97BC-4b89-ADB6-D9C93CAAB3DF}">
      <x14:dataValidations xmlns:xm="http://schemas.microsoft.com/office/excel/2006/main" count="10">
        <x14:dataValidation type="list" allowBlank="1" showInputMessage="1" showErrorMessage="1" xr:uid="{00000000-0002-0000-0200-000007000000}">
          <x14:formula1>
            <xm:f>KAT!$A$101:$A$103</xm:f>
          </x14:formula1>
          <xm:sqref>K16</xm:sqref>
        </x14:dataValidation>
        <x14:dataValidation type="custom" allowBlank="1" showInputMessage="1" showErrorMessage="1" error="Forderung liegt über max. Steigerungsrate (9,10%)" xr:uid="{00000000-0002-0000-0200-000009000000}">
          <x14:formula1>
            <xm:f>L44&lt;KAT!E99+0.0001%</xm:f>
          </x14:formula1>
          <xm:sqref>L44</xm:sqref>
        </x14:dataValidation>
        <x14:dataValidation type="custom" allowBlank="1" showInputMessage="1" showErrorMessage="1" error="Forderung liegt über max. Steigerungsrate (3,00%)._x000a_" xr:uid="{00000000-0002-0000-0200-00000A000000}">
          <x14:formula1>
            <xm:f>M31&lt;=KAT!E98</xm:f>
          </x14:formula1>
          <xm:sqref>M31</xm:sqref>
        </x14:dataValidation>
        <x14:dataValidation type="custom" allowBlank="1" showInputMessage="1" showErrorMessage="1" error="Forderung liegt über max. Steigerungsrate (5,00%)." xr:uid="{00000000-0002-0000-0200-00000B000000}">
          <x14:formula1>
            <xm:f>M44&lt;=KAT!E99</xm:f>
          </x14:formula1>
          <xm:sqref>M44</xm:sqref>
        </x14:dataValidation>
        <x14:dataValidation type="custom" allowBlank="1" showInputMessage="1" showErrorMessage="1" error="Forderung liegt über max. Steigerungsrate (10%)" xr:uid="{00000000-0002-0000-0200-000008000000}">
          <x14:formula1>
            <xm:f>L20&lt;KAT!E91+0.0001%</xm:f>
          </x14:formula1>
          <xm:sqref>L20</xm:sqref>
        </x14:dataValidation>
        <x14:dataValidation type="custom" allowBlank="1" showInputMessage="1" showErrorMessage="1" error="Forderung liegt über max. Steigerungsrate:_x000a_* rüE bis 3,00% _x000a_* Tarifbindung / Tarifanlehnung bis 5,00%" promptTitle="Steigerung max. bis 10% möglich." xr:uid="{469AE698-E753-4637-BF6C-24DFB7087DD6}">
          <x14:formula1>
            <xm:f>M22&lt;=KAT!E91</xm:f>
          </x14:formula1>
          <xm:sqref>M22</xm:sqref>
        </x14:dataValidation>
        <x14:dataValidation type="custom" allowBlank="1" showInputMessage="1" showErrorMessage="1" error="Forderung liegt über max. Steigerungsrate (4,00%)." promptTitle="Steigerung max. bis 10% möglich." xr:uid="{5189EEB9-E34C-4785-8DEA-AE9778AFF895}">
          <x14:formula1>
            <xm:f>M28&lt;=KAT!E96</xm:f>
          </x14:formula1>
          <xm:sqref>M28</xm:sqref>
        </x14:dataValidation>
        <x14:dataValidation type="custom" allowBlank="1" showInputMessage="1" showErrorMessage="1" error="Forderung liegt über max. Steigerungsrate:_x000a_* rüE bis 3,00% _x000a_* Tarifbindung / Tarifanlehnung bis 5,00%" promptTitle="Steigerung max. bis 10% möglich." xr:uid="{92387ACF-EB14-4823-8FC9-96756EE53F0D}">
          <x14:formula1>
            <xm:f>M29&lt;=KAT!E91</xm:f>
          </x14:formula1>
          <xm:sqref>M29</xm:sqref>
        </x14:dataValidation>
        <x14:dataValidation type="custom" allowBlank="1" showInputMessage="1" showErrorMessage="1" error="Forderung liegt über max. Steigerungsrate:_x000a_* rüE bis 3,00% _x000a_* Tarifbindung / Tarifanlehnung bis 5,00%" promptTitle="Steigerung max. bis 10% möglich." xr:uid="{595C708F-41E6-4FCC-A8A5-CAD3AA7D9345}">
          <x14:formula1>
            <xm:f>M23&lt;=KAT!E91</xm:f>
          </x14:formula1>
          <xm:sqref>M23 M25:M27</xm:sqref>
        </x14:dataValidation>
        <x14:dataValidation type="custom" allowBlank="1" showInputMessage="1" showErrorMessage="1" error="Forderung liegt über max. Steigerungsrate:_x000a_* rüE bis 3,42% _x000a_* Tarifbindung / Tarifanlehnung bis 5,00%" promptTitle="Steigerung max. bis 10% möglich." xr:uid="{B12B7265-D119-4BAE-BDFF-60F47D4CE3B7}">
          <x14:formula1>
            <xm:f>M24&lt;=KAT!E92</xm:f>
          </x14:formula1>
          <xm:sqref>M24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CE633-E10E-434E-A9B5-76CBC1BB1FD7}">
  <dimension ref="A1:O93"/>
  <sheetViews>
    <sheetView showGridLines="0" zoomScaleNormal="100" workbookViewId="0">
      <selection activeCell="A4" sqref="A4"/>
    </sheetView>
  </sheetViews>
  <sheetFormatPr baseColWidth="10" defaultColWidth="11" defaultRowHeight="13.8" x14ac:dyDescent="0.25"/>
  <cols>
    <col min="1" max="1" width="3.8984375" style="3" customWidth="1"/>
    <col min="2" max="2" width="24.09765625" style="3" customWidth="1"/>
    <col min="3" max="3" width="13.59765625" style="3" customWidth="1"/>
    <col min="4" max="4" width="1.19921875" style="3" customWidth="1"/>
    <col min="5" max="5" width="2.3984375" style="3" customWidth="1"/>
    <col min="6" max="6" width="12.69921875" style="3" customWidth="1"/>
    <col min="7" max="7" width="2.19921875" style="3" customWidth="1"/>
    <col min="8" max="10" width="12.69921875" style="3" customWidth="1"/>
    <col min="11" max="11" width="3.19921875" style="3" customWidth="1"/>
    <col min="12" max="12" width="12.69921875" style="3" customWidth="1"/>
    <col min="13" max="13" width="2.19921875" style="3" customWidth="1"/>
    <col min="14" max="14" width="12.69921875" style="3" customWidth="1"/>
    <col min="15" max="15" width="4.69921875" style="3" customWidth="1"/>
    <col min="16" max="16384" width="11" style="3"/>
  </cols>
  <sheetData>
    <row r="1" spans="1:15" ht="26.25" customHeight="1" x14ac:dyDescent="0.25">
      <c r="A1" s="1049" t="str">
        <f>'B_TP_Allgemeine Angaben'!A1</f>
        <v>Vereinfachtes Verfahren der Aufforderung zum Abschluss einer Pflegesatzvereinbarung 
gemäß § 84, 85 SGB XI - teilstationäre Pflegeeinrichtungen</v>
      </c>
      <c r="B1" s="1050"/>
      <c r="C1" s="1050"/>
      <c r="D1" s="1050"/>
      <c r="E1" s="1050"/>
      <c r="F1" s="1050"/>
      <c r="G1" s="1050"/>
      <c r="H1" s="1050"/>
      <c r="I1" s="1050"/>
      <c r="J1" s="1050"/>
      <c r="K1" s="1050"/>
      <c r="L1" s="1050"/>
      <c r="M1" s="1050"/>
      <c r="N1" s="1050"/>
      <c r="O1" s="1051"/>
    </row>
    <row r="2" spans="1:15" ht="15" customHeight="1" x14ac:dyDescent="0.25">
      <c r="A2" s="1052" t="s">
        <v>424</v>
      </c>
      <c r="B2" s="1053"/>
      <c r="C2" s="1053"/>
      <c r="D2" s="1053"/>
      <c r="E2" s="1053"/>
      <c r="F2" s="1053"/>
      <c r="G2" s="1053"/>
      <c r="H2" s="1053"/>
      <c r="I2" s="1053"/>
      <c r="J2" s="1053"/>
      <c r="K2" s="1053"/>
      <c r="L2" s="1053"/>
      <c r="M2" s="796"/>
      <c r="N2" s="796"/>
      <c r="O2" s="762"/>
    </row>
    <row r="3" spans="1:15" ht="15" customHeight="1" x14ac:dyDescent="0.25">
      <c r="A3" s="763"/>
      <c r="B3" s="797"/>
      <c r="C3" s="797"/>
      <c r="D3" s="797"/>
      <c r="E3" s="797"/>
      <c r="F3" s="797"/>
      <c r="G3" s="797"/>
      <c r="H3" s="797"/>
      <c r="I3" s="797"/>
      <c r="J3" s="37"/>
      <c r="K3" s="37"/>
      <c r="L3" s="798" t="s">
        <v>327</v>
      </c>
      <c r="M3" s="798"/>
      <c r="N3" s="799">
        <f>'B_TP_Allgemeine Angaben'!L4</f>
        <v>0</v>
      </c>
      <c r="O3" s="762"/>
    </row>
    <row r="4" spans="1:15" ht="9.6" customHeight="1" x14ac:dyDescent="0.25">
      <c r="A4" s="882"/>
      <c r="B4" s="765"/>
      <c r="C4" s="765"/>
      <c r="D4" s="765"/>
      <c r="E4" s="765"/>
      <c r="F4" s="765"/>
      <c r="G4" s="765"/>
      <c r="H4" s="765"/>
      <c r="I4" s="765"/>
      <c r="J4" s="765"/>
      <c r="K4" s="765"/>
      <c r="L4" s="765"/>
      <c r="M4" s="765"/>
      <c r="N4" s="765"/>
      <c r="O4" s="4"/>
    </row>
    <row r="5" spans="1:15" x14ac:dyDescent="0.25">
      <c r="A5" s="764"/>
      <c r="B5" s="1054" t="s">
        <v>595</v>
      </c>
      <c r="C5" s="1054"/>
      <c r="D5" s="1054"/>
      <c r="E5" s="800"/>
      <c r="F5" s="801" t="s">
        <v>596</v>
      </c>
      <c r="G5" s="801"/>
      <c r="H5" s="801"/>
      <c r="I5" s="801"/>
      <c r="J5" s="801"/>
      <c r="K5" s="765"/>
      <c r="L5" s="765"/>
      <c r="M5" s="765"/>
      <c r="N5" s="765"/>
      <c r="O5" s="4"/>
    </row>
    <row r="6" spans="1:15" x14ac:dyDescent="0.25">
      <c r="A6" s="764"/>
      <c r="B6" s="1048" t="str">
        <f>IF('B_TP_Allgemeine Angaben'!D12&lt;&gt;"",'B_TP_Allgemeine Angaben'!D12,"")</f>
        <v/>
      </c>
      <c r="C6" s="1048"/>
      <c r="D6" s="1048"/>
      <c r="E6" s="800"/>
      <c r="F6" s="802" t="str">
        <f>IF('B_TP_Allgemeine Angaben'!D26&lt;&gt;"",'B_TP_Allgemeine Angaben'!D26,"")</f>
        <v/>
      </c>
      <c r="G6" s="802"/>
      <c r="H6" s="802"/>
      <c r="I6" s="802"/>
      <c r="J6" s="802"/>
      <c r="K6" s="765"/>
      <c r="L6" s="765"/>
      <c r="M6" s="765"/>
      <c r="N6" s="765"/>
      <c r="O6" s="4"/>
    </row>
    <row r="7" spans="1:15" x14ac:dyDescent="0.25">
      <c r="A7" s="764"/>
      <c r="B7" s="1048" t="str">
        <f>IF('B_TP_Allgemeine Angaben'!D14&lt;&gt;"",'B_TP_Allgemeine Angaben'!D14,"")</f>
        <v/>
      </c>
      <c r="C7" s="1048"/>
      <c r="D7" s="1048"/>
      <c r="E7" s="800"/>
      <c r="F7" s="802" t="str">
        <f>IF('B_TP_Allgemeine Angaben'!D28&lt;&gt;"",'B_TP_Allgemeine Angaben'!D28,"")</f>
        <v/>
      </c>
      <c r="G7" s="802"/>
      <c r="H7" s="802"/>
      <c r="I7" s="802"/>
      <c r="J7" s="802"/>
      <c r="K7" s="765"/>
      <c r="L7" s="765"/>
      <c r="M7" s="765"/>
      <c r="N7" s="765"/>
      <c r="O7" s="4"/>
    </row>
    <row r="8" spans="1:15" x14ac:dyDescent="0.25">
      <c r="A8" s="764"/>
      <c r="B8" s="1048" t="str">
        <f>IF('B_TP_Allgemeine Angaben'!D16&lt;&gt;"",'B_TP_Allgemeine Angaben'!D16,"")&amp;" "&amp;IF('B_TP_Allgemeine Angaben'!J16&lt;&gt;"",'B_TP_Allgemeine Angaben'!J16,"")</f>
        <v xml:space="preserve"> </v>
      </c>
      <c r="C8" s="1048"/>
      <c r="D8" s="1048"/>
      <c r="E8" s="800"/>
      <c r="F8" s="802" t="str">
        <f>IF('B_TP_Allgemeine Angaben'!D30&lt;&gt;"",'B_TP_Allgemeine Angaben'!D30,"")&amp;" "&amp;IF('B_TP_Allgemeine Angaben'!J30&lt;&gt;"",'B_TP_Allgemeine Angaben'!J30,"")</f>
        <v xml:space="preserve"> </v>
      </c>
      <c r="G8" s="802"/>
      <c r="H8" s="802"/>
      <c r="I8" s="802"/>
      <c r="J8" s="802"/>
      <c r="K8" s="765"/>
      <c r="L8" s="765"/>
      <c r="M8" s="765"/>
      <c r="N8" s="765"/>
      <c r="O8" s="4"/>
    </row>
    <row r="9" spans="1:15" s="765" customFormat="1" ht="14.25" customHeight="1" x14ac:dyDescent="0.25">
      <c r="A9" s="764"/>
      <c r="B9" s="800" t="s">
        <v>432</v>
      </c>
      <c r="C9" s="1043">
        <f>'B_TP_Allgemeine Angaben'!L6</f>
        <v>0</v>
      </c>
      <c r="D9" s="1043"/>
      <c r="E9" s="800"/>
      <c r="G9" s="800"/>
      <c r="O9" s="766"/>
    </row>
    <row r="10" spans="1:15" ht="10.199999999999999" customHeight="1" x14ac:dyDescent="0.25">
      <c r="A10" s="764"/>
      <c r="E10" s="800"/>
      <c r="K10" s="765"/>
      <c r="L10" s="765"/>
      <c r="M10" s="765"/>
      <c r="N10" s="765"/>
      <c r="O10" s="4"/>
    </row>
    <row r="11" spans="1:15" x14ac:dyDescent="0.25">
      <c r="A11" s="764"/>
      <c r="B11" s="5" t="s">
        <v>597</v>
      </c>
      <c r="E11" s="803"/>
      <c r="F11" s="767" t="str">
        <f>IF('B_TP_Allgemeine Angaben'!H52&gt;0,'B_TP_Allgemeine Angaben'!H52,"")</f>
        <v/>
      </c>
      <c r="H11" s="804" t="s">
        <v>598</v>
      </c>
      <c r="I11" s="767" t="str">
        <f>IF('B_TP_Allgemeine Angaben'!K52&gt;0,'B_TP_Allgemeine Angaben'!K52,"")</f>
        <v/>
      </c>
      <c r="J11" s="765"/>
      <c r="K11" s="765"/>
      <c r="L11" s="765"/>
      <c r="M11" s="765"/>
      <c r="N11" s="765"/>
      <c r="O11" s="4"/>
    </row>
    <row r="12" spans="1:15" ht="13.95" customHeight="1" x14ac:dyDescent="0.25">
      <c r="A12" s="764"/>
      <c r="B12" s="5"/>
      <c r="J12" s="765"/>
      <c r="K12" s="765"/>
      <c r="L12" s="765"/>
      <c r="M12" s="765"/>
      <c r="N12" s="765"/>
      <c r="O12" s="4"/>
    </row>
    <row r="13" spans="1:15" ht="13.95" customHeight="1" x14ac:dyDescent="0.25">
      <c r="A13" s="764"/>
      <c r="B13" s="5"/>
      <c r="F13" s="765"/>
      <c r="G13" s="805"/>
      <c r="I13" s="765"/>
      <c r="J13" s="765"/>
      <c r="M13" s="765"/>
      <c r="N13" s="765"/>
      <c r="O13" s="4"/>
    </row>
    <row r="14" spans="1:15" x14ac:dyDescent="0.25">
      <c r="A14" s="764"/>
      <c r="B14" s="806" t="s">
        <v>226</v>
      </c>
      <c r="E14" s="803"/>
      <c r="F14" s="765"/>
      <c r="G14" s="807"/>
      <c r="I14" s="765"/>
      <c r="J14" s="765"/>
      <c r="M14" s="765"/>
      <c r="N14" s="765"/>
      <c r="O14" s="4"/>
    </row>
    <row r="15" spans="1:15" ht="10.199999999999999" customHeight="1" x14ac:dyDescent="0.25">
      <c r="A15" s="764"/>
      <c r="B15" s="5"/>
      <c r="E15" s="803"/>
      <c r="F15" s="808"/>
      <c r="G15" s="765"/>
      <c r="H15" s="765"/>
      <c r="I15" s="765"/>
      <c r="J15" s="765"/>
      <c r="M15" s="765"/>
      <c r="N15" s="765"/>
      <c r="O15" s="4"/>
    </row>
    <row r="16" spans="1:15" x14ac:dyDescent="0.25">
      <c r="A16" s="764"/>
      <c r="B16" s="768" t="s">
        <v>61</v>
      </c>
      <c r="C16" s="769"/>
      <c r="E16" s="803"/>
      <c r="F16" s="770">
        <f>B_TP_Kalkulation!H14</f>
        <v>0</v>
      </c>
      <c r="G16" s="765"/>
      <c r="H16" s="765"/>
      <c r="I16" s="765"/>
      <c r="J16" s="765"/>
      <c r="M16" s="765"/>
      <c r="N16" s="765"/>
      <c r="O16" s="4"/>
    </row>
    <row r="17" spans="1:15" x14ac:dyDescent="0.25">
      <c r="A17" s="764"/>
      <c r="B17" s="768" t="s">
        <v>62</v>
      </c>
      <c r="C17" s="769"/>
      <c r="E17" s="803"/>
      <c r="F17" s="770">
        <f>B_TP_Kalkulation!I14</f>
        <v>0</v>
      </c>
      <c r="G17" s="765"/>
      <c r="H17" s="765"/>
      <c r="I17" s="765"/>
      <c r="J17" s="765"/>
      <c r="M17" s="765"/>
      <c r="N17" s="765"/>
      <c r="O17" s="4"/>
    </row>
    <row r="18" spans="1:15" x14ac:dyDescent="0.25">
      <c r="A18" s="764"/>
      <c r="B18" s="768" t="s">
        <v>63</v>
      </c>
      <c r="C18" s="769"/>
      <c r="E18" s="803"/>
      <c r="F18" s="770">
        <f>B_TP_Kalkulation!J14</f>
        <v>0</v>
      </c>
      <c r="G18" s="765"/>
      <c r="H18" s="765"/>
      <c r="I18" s="765"/>
      <c r="J18" s="765"/>
      <c r="M18" s="765"/>
      <c r="N18" s="765"/>
      <c r="O18" s="4"/>
    </row>
    <row r="19" spans="1:15" x14ac:dyDescent="0.25">
      <c r="A19" s="764"/>
      <c r="B19" s="768" t="s">
        <v>64</v>
      </c>
      <c r="C19" s="769"/>
      <c r="E19" s="803"/>
      <c r="F19" s="770">
        <f>B_TP_Kalkulation!K14</f>
        <v>0</v>
      </c>
      <c r="G19" s="765"/>
      <c r="H19" s="765"/>
      <c r="I19" s="765"/>
      <c r="J19" s="765"/>
      <c r="M19" s="765"/>
      <c r="N19" s="765"/>
      <c r="O19" s="4"/>
    </row>
    <row r="20" spans="1:15" x14ac:dyDescent="0.25">
      <c r="A20" s="764"/>
      <c r="B20" s="768" t="s">
        <v>65</v>
      </c>
      <c r="C20" s="769"/>
      <c r="E20" s="803"/>
      <c r="F20" s="770">
        <f>B_TP_Kalkulation!L14</f>
        <v>0</v>
      </c>
      <c r="G20" s="765"/>
      <c r="H20" s="765"/>
      <c r="I20" s="765"/>
      <c r="J20" s="765"/>
      <c r="M20" s="765"/>
      <c r="N20" s="765"/>
      <c r="O20" s="4"/>
    </row>
    <row r="21" spans="1:15" ht="6" customHeight="1" x14ac:dyDescent="0.25">
      <c r="A21" s="764"/>
      <c r="B21" s="809"/>
      <c r="E21" s="803"/>
      <c r="F21" s="808"/>
      <c r="G21" s="765"/>
      <c r="H21" s="765"/>
      <c r="I21" s="765"/>
      <c r="J21" s="765"/>
      <c r="M21" s="765"/>
      <c r="N21" s="765"/>
      <c r="O21" s="4"/>
    </row>
    <row r="22" spans="1:15" x14ac:dyDescent="0.25">
      <c r="A22" s="764"/>
      <c r="B22" s="768" t="s">
        <v>324</v>
      </c>
      <c r="C22" s="769"/>
      <c r="E22" s="803"/>
      <c r="F22" s="770">
        <f>B_TP_Kalkulation!L12</f>
        <v>0</v>
      </c>
      <c r="G22" s="765"/>
      <c r="H22" s="765"/>
      <c r="I22" s="765"/>
      <c r="J22" s="765"/>
      <c r="M22" s="765"/>
      <c r="N22" s="765"/>
      <c r="O22" s="4"/>
    </row>
    <row r="23" spans="1:15" x14ac:dyDescent="0.25">
      <c r="A23" s="764"/>
      <c r="B23" s="809"/>
      <c r="E23" s="803"/>
      <c r="F23" s="810"/>
      <c r="G23" s="765"/>
      <c r="H23" s="765"/>
      <c r="I23" s="765"/>
      <c r="J23" s="765"/>
      <c r="M23" s="765"/>
      <c r="N23" s="765"/>
      <c r="O23" s="4"/>
    </row>
    <row r="24" spans="1:15" x14ac:dyDescent="0.25">
      <c r="A24" s="764"/>
      <c r="B24" s="5" t="s">
        <v>599</v>
      </c>
      <c r="E24" s="803"/>
      <c r="F24" s="810"/>
      <c r="G24" s="765"/>
      <c r="H24" s="765"/>
      <c r="I24" s="765"/>
      <c r="J24" s="765"/>
      <c r="M24" s="765"/>
      <c r="N24" s="765"/>
      <c r="O24" s="4"/>
    </row>
    <row r="25" spans="1:15" ht="10.199999999999999" customHeight="1" x14ac:dyDescent="0.25">
      <c r="A25" s="764"/>
      <c r="H25" s="765"/>
      <c r="J25" s="765"/>
      <c r="K25" s="765"/>
      <c r="L25" s="765"/>
      <c r="M25" s="765"/>
      <c r="N25" s="765"/>
      <c r="O25" s="4"/>
    </row>
    <row r="26" spans="1:15" ht="40.200000000000003" customHeight="1" x14ac:dyDescent="0.25">
      <c r="A26" s="764"/>
      <c r="B26" s="811"/>
      <c r="F26" s="771" t="s">
        <v>600</v>
      </c>
      <c r="I26" s="772" t="s">
        <v>601</v>
      </c>
      <c r="J26" s="773" t="s">
        <v>602</v>
      </c>
      <c r="O26" s="4"/>
    </row>
    <row r="27" spans="1:15" x14ac:dyDescent="0.25">
      <c r="A27" s="764"/>
      <c r="B27" s="812"/>
      <c r="E27" s="800"/>
      <c r="F27" s="813"/>
      <c r="G27" s="814"/>
      <c r="I27" s="809"/>
      <c r="K27" s="811"/>
      <c r="O27" s="4"/>
    </row>
    <row r="28" spans="1:15" x14ac:dyDescent="0.25">
      <c r="A28" s="764"/>
      <c r="B28" s="809" t="s">
        <v>450</v>
      </c>
      <c r="E28" s="800"/>
      <c r="F28" s="774">
        <f>IF(B_TP_Kalkulation!J22&gt;0,B_TP_Kalkulation!J22,0)</f>
        <v>0</v>
      </c>
      <c r="G28" s="815"/>
      <c r="H28" s="795"/>
      <c r="I28" s="793"/>
      <c r="J28" s="776">
        <f>B_TP_Kalkulation!L22</f>
        <v>0</v>
      </c>
      <c r="K28" s="765"/>
      <c r="L28" s="462" t="str">
        <f>IF(AND(F28&gt;0,J28=0),"Bitte Angaben prüfen!","")</f>
        <v/>
      </c>
      <c r="M28" s="765"/>
      <c r="O28" s="4"/>
    </row>
    <row r="29" spans="1:15" x14ac:dyDescent="0.25">
      <c r="A29" s="764"/>
      <c r="B29" s="809"/>
      <c r="C29" s="816" t="s">
        <v>55</v>
      </c>
      <c r="E29" s="800"/>
      <c r="F29" s="792"/>
      <c r="G29" s="815"/>
      <c r="H29" s="795" t="s">
        <v>603</v>
      </c>
      <c r="I29" s="775">
        <f>B_TP_Kalkulation!I17</f>
        <v>0</v>
      </c>
      <c r="J29" s="794"/>
      <c r="K29" s="765"/>
      <c r="L29" s="462" t="str">
        <f>IF(AND(F$28&gt;0,I29=0),"Bitte Angaben prüfen!","")</f>
        <v/>
      </c>
      <c r="M29" s="765"/>
      <c r="O29" s="4"/>
    </row>
    <row r="30" spans="1:15" x14ac:dyDescent="0.25">
      <c r="A30" s="764"/>
      <c r="B30" s="809"/>
      <c r="C30" s="816" t="s">
        <v>56</v>
      </c>
      <c r="E30" s="800"/>
      <c r="F30" s="792"/>
      <c r="G30" s="815"/>
      <c r="H30" s="795" t="s">
        <v>603</v>
      </c>
      <c r="I30" s="775">
        <f>B_TP_Kalkulation!I18</f>
        <v>0</v>
      </c>
      <c r="J30" s="794"/>
      <c r="K30" s="765"/>
      <c r="L30" s="462" t="str">
        <f t="shared" ref="L30:L33" si="0">IF(AND(F$28&gt;0,I30=0),"Bitte Angaben prüfen!","")</f>
        <v/>
      </c>
      <c r="M30" s="765"/>
      <c r="O30" s="4"/>
    </row>
    <row r="31" spans="1:15" x14ac:dyDescent="0.25">
      <c r="A31" s="764"/>
      <c r="B31" s="809"/>
      <c r="C31" s="816" t="s">
        <v>57</v>
      </c>
      <c r="E31" s="800"/>
      <c r="F31" s="792"/>
      <c r="G31" s="815"/>
      <c r="H31" s="795" t="s">
        <v>603</v>
      </c>
      <c r="I31" s="775">
        <f>B_TP_Kalkulation!I19</f>
        <v>0</v>
      </c>
      <c r="J31" s="794"/>
      <c r="K31" s="765"/>
      <c r="L31" s="462" t="str">
        <f t="shared" si="0"/>
        <v/>
      </c>
      <c r="M31" s="765"/>
      <c r="O31" s="4"/>
    </row>
    <row r="32" spans="1:15" x14ac:dyDescent="0.25">
      <c r="A32" s="764"/>
      <c r="B32" s="809"/>
      <c r="C32" s="816" t="s">
        <v>58</v>
      </c>
      <c r="E32" s="800"/>
      <c r="F32" s="792"/>
      <c r="G32" s="815"/>
      <c r="H32" s="795" t="s">
        <v>603</v>
      </c>
      <c r="I32" s="775">
        <f>B_TP_Kalkulation!I20</f>
        <v>0</v>
      </c>
      <c r="J32" s="794"/>
      <c r="K32" s="765"/>
      <c r="L32" s="462" t="str">
        <f t="shared" si="0"/>
        <v/>
      </c>
      <c r="M32" s="765"/>
      <c r="O32" s="4"/>
    </row>
    <row r="33" spans="1:15" x14ac:dyDescent="0.25">
      <c r="A33" s="764"/>
      <c r="B33" s="809"/>
      <c r="C33" s="816" t="s">
        <v>59</v>
      </c>
      <c r="E33" s="800"/>
      <c r="F33" s="792"/>
      <c r="G33" s="815"/>
      <c r="H33" s="795" t="s">
        <v>603</v>
      </c>
      <c r="I33" s="775">
        <f>B_TP_Kalkulation!I21</f>
        <v>0</v>
      </c>
      <c r="J33" s="794"/>
      <c r="K33" s="765"/>
      <c r="L33" s="462" t="str">
        <f t="shared" si="0"/>
        <v/>
      </c>
      <c r="M33" s="765"/>
      <c r="O33" s="4"/>
    </row>
    <row r="34" spans="1:15" ht="13.95" customHeight="1" x14ac:dyDescent="0.25">
      <c r="A34" s="764"/>
      <c r="C34" s="816" t="s">
        <v>444</v>
      </c>
      <c r="E34" s="800"/>
      <c r="F34" s="837">
        <f>B_TP_Kalkulation!I22</f>
        <v>0</v>
      </c>
      <c r="G34" s="814"/>
      <c r="K34" s="765"/>
      <c r="L34" s="765"/>
      <c r="M34" s="765"/>
      <c r="O34" s="4"/>
    </row>
    <row r="35" spans="1:15" ht="10.199999999999999" customHeight="1" x14ac:dyDescent="0.25">
      <c r="A35" s="764"/>
      <c r="E35" s="800"/>
      <c r="F35" s="813"/>
      <c r="G35" s="814"/>
      <c r="I35" s="817"/>
      <c r="K35" s="765"/>
      <c r="L35" s="765"/>
      <c r="M35" s="765"/>
      <c r="O35" s="4"/>
    </row>
    <row r="36" spans="1:15" x14ac:dyDescent="0.25">
      <c r="A36" s="764"/>
      <c r="B36" s="809" t="s">
        <v>119</v>
      </c>
      <c r="E36" s="800"/>
      <c r="F36" s="777">
        <f>B_TP_Kalkulation!J23</f>
        <v>0</v>
      </c>
      <c r="G36" s="814"/>
      <c r="H36" s="795" t="s">
        <v>603</v>
      </c>
      <c r="I36" s="775">
        <f>B_TP_Kalkulation!I23</f>
        <v>0</v>
      </c>
      <c r="J36" s="776">
        <f>B_TP_Kalkulation!L23</f>
        <v>0</v>
      </c>
      <c r="K36" s="765"/>
      <c r="L36" s="462" t="str">
        <f>IF(AND(F36&gt;0,J36=0),"Bitte Angaben prüfen!","")</f>
        <v/>
      </c>
      <c r="M36" s="765"/>
      <c r="O36" s="4"/>
    </row>
    <row r="37" spans="1:15" ht="10.199999999999999" customHeight="1" x14ac:dyDescent="0.25">
      <c r="A37" s="764"/>
      <c r="B37" s="809"/>
      <c r="C37" s="809"/>
      <c r="D37" s="809"/>
      <c r="E37" s="800"/>
      <c r="F37" s="813"/>
      <c r="G37" s="814"/>
      <c r="I37" s="817"/>
      <c r="K37" s="765"/>
      <c r="M37" s="765"/>
      <c r="O37" s="4"/>
    </row>
    <row r="38" spans="1:15" s="779" customFormat="1" ht="25.95" customHeight="1" x14ac:dyDescent="0.25">
      <c r="A38" s="778"/>
      <c r="B38" s="1044" t="s">
        <v>604</v>
      </c>
      <c r="C38" s="1044"/>
      <c r="D38" s="1044"/>
      <c r="E38" s="818"/>
      <c r="F38" s="774">
        <f>B_TP_Kalkulation!J29</f>
        <v>0</v>
      </c>
      <c r="G38" s="818"/>
      <c r="H38" s="795" t="s">
        <v>603</v>
      </c>
      <c r="I38" s="775">
        <f>B_TP_Kalkulation!I29</f>
        <v>20</v>
      </c>
      <c r="J38" s="776">
        <f>B_TP_Kalkulation!L29</f>
        <v>0</v>
      </c>
      <c r="L38" s="842" t="str">
        <f>IF(AND(F38&gt;0,J38=0),"Bitte Angaben prüfen!","")</f>
        <v/>
      </c>
      <c r="M38" s="820"/>
      <c r="O38" s="780"/>
    </row>
    <row r="39" spans="1:15" ht="10.199999999999999" customHeight="1" x14ac:dyDescent="0.25">
      <c r="A39" s="764"/>
      <c r="B39" s="809"/>
      <c r="C39" s="809"/>
      <c r="D39" s="809"/>
      <c r="E39" s="800"/>
      <c r="F39" s="821"/>
      <c r="G39" s="814"/>
      <c r="H39" s="765"/>
      <c r="I39" s="817"/>
      <c r="L39" s="820"/>
      <c r="M39" s="765"/>
      <c r="O39" s="4"/>
    </row>
    <row r="40" spans="1:15" x14ac:dyDescent="0.25">
      <c r="A40" s="764"/>
      <c r="B40" s="809" t="s">
        <v>605</v>
      </c>
      <c r="C40" s="809"/>
      <c r="D40" s="809"/>
      <c r="E40" s="800"/>
      <c r="F40" s="774">
        <f>B_TP_Kalkulation!J24</f>
        <v>0</v>
      </c>
      <c r="G40" s="814"/>
      <c r="H40" s="795" t="s">
        <v>603</v>
      </c>
      <c r="I40" s="775">
        <f>B_TP_Kalkulation!J24</f>
        <v>0</v>
      </c>
      <c r="J40" s="776">
        <f>B_TP_Kalkulation!L24</f>
        <v>0</v>
      </c>
      <c r="L40" s="819" t="str">
        <f>IF(AND(F40&gt;0,J40=0),"Bitte Angaben prüfen!","")</f>
        <v/>
      </c>
      <c r="M40" s="765"/>
      <c r="O40" s="4"/>
    </row>
    <row r="41" spans="1:15" ht="10.199999999999999" customHeight="1" x14ac:dyDescent="0.25">
      <c r="A41" s="764"/>
      <c r="B41" s="809"/>
      <c r="C41" s="809"/>
      <c r="D41" s="809"/>
      <c r="E41" s="800"/>
      <c r="F41" s="821"/>
      <c r="G41" s="814"/>
      <c r="H41" s="765"/>
      <c r="I41" s="817"/>
      <c r="L41" s="779"/>
      <c r="M41" s="765"/>
      <c r="O41" s="4"/>
    </row>
    <row r="42" spans="1:15" ht="13.95" customHeight="1" x14ac:dyDescent="0.25">
      <c r="A42" s="764"/>
      <c r="B42" s="809" t="s">
        <v>60</v>
      </c>
      <c r="C42" s="809"/>
      <c r="D42" s="809"/>
      <c r="E42" s="800"/>
      <c r="F42" s="774">
        <f>B_TP_Kalkulation!J25</f>
        <v>0</v>
      </c>
      <c r="G42" s="814"/>
      <c r="H42" s="795" t="s">
        <v>603</v>
      </c>
      <c r="I42" s="775">
        <f>B_TP_Kalkulation!I25</f>
        <v>0</v>
      </c>
      <c r="J42" s="776">
        <f>B_TP_Kalkulation!L25</f>
        <v>0</v>
      </c>
      <c r="L42" s="819" t="str">
        <f>IF(AND(F42&gt;0,J42=0),"Bitte Angaben prüfen!","")</f>
        <v/>
      </c>
      <c r="M42" s="765"/>
      <c r="O42" s="4"/>
    </row>
    <row r="43" spans="1:15" ht="10.199999999999999" customHeight="1" x14ac:dyDescent="0.25">
      <c r="A43" s="764"/>
      <c r="B43" s="809"/>
      <c r="C43" s="809"/>
      <c r="D43" s="809"/>
      <c r="E43" s="800"/>
      <c r="F43" s="821"/>
      <c r="G43" s="814"/>
      <c r="H43" s="765"/>
      <c r="I43" s="817"/>
      <c r="L43" s="779"/>
      <c r="M43" s="765"/>
      <c r="O43" s="4"/>
    </row>
    <row r="44" spans="1:15" ht="13.95" customHeight="1" x14ac:dyDescent="0.25">
      <c r="A44" s="764"/>
      <c r="B44" s="809" t="s">
        <v>30</v>
      </c>
      <c r="C44" s="809"/>
      <c r="D44" s="809"/>
      <c r="E44" s="800"/>
      <c r="F44" s="774">
        <f>B_TP_Kalkulation!J26</f>
        <v>0</v>
      </c>
      <c r="G44" s="814"/>
      <c r="H44" s="795" t="s">
        <v>603</v>
      </c>
      <c r="I44" s="775">
        <f>B_TP_Kalkulation!I26</f>
        <v>0</v>
      </c>
      <c r="J44" s="776">
        <f>B_TP_Kalkulation!L26</f>
        <v>0</v>
      </c>
      <c r="L44" s="819" t="str">
        <f>IF(AND(F44&gt;0,J44=0),"Bitte Angaben prüfen!","")</f>
        <v/>
      </c>
      <c r="M44" s="765"/>
      <c r="O44" s="4"/>
    </row>
    <row r="45" spans="1:15" ht="10.199999999999999" customHeight="1" x14ac:dyDescent="0.25">
      <c r="A45" s="764"/>
      <c r="B45" s="809"/>
      <c r="C45" s="809"/>
      <c r="D45" s="809"/>
      <c r="E45" s="800"/>
      <c r="F45" s="821"/>
      <c r="G45" s="814"/>
      <c r="H45" s="765"/>
      <c r="I45" s="817"/>
      <c r="L45" s="779"/>
      <c r="M45" s="765"/>
      <c r="O45" s="4"/>
    </row>
    <row r="46" spans="1:15" x14ac:dyDescent="0.25">
      <c r="A46" s="764"/>
      <c r="B46" s="809" t="s">
        <v>31</v>
      </c>
      <c r="C46" s="809"/>
      <c r="D46" s="809"/>
      <c r="E46" s="800"/>
      <c r="F46" s="774">
        <f>B_TP_Kalkulation!J27</f>
        <v>0</v>
      </c>
      <c r="G46" s="814"/>
      <c r="H46" s="795" t="s">
        <v>603</v>
      </c>
      <c r="I46" s="775">
        <f>B_TP_Kalkulation!I27</f>
        <v>0</v>
      </c>
      <c r="J46" s="776">
        <f>B_TP_Kalkulation!L27</f>
        <v>0</v>
      </c>
      <c r="L46" s="819" t="str">
        <f>IF(AND(F46&gt;0,J46=0),"Bitte Angaben prüfen!","")</f>
        <v/>
      </c>
      <c r="M46" s="765"/>
      <c r="O46" s="4"/>
    </row>
    <row r="47" spans="1:15" ht="10.199999999999999" customHeight="1" x14ac:dyDescent="0.25">
      <c r="A47" s="764"/>
      <c r="B47" s="809"/>
      <c r="C47" s="809"/>
      <c r="D47" s="809"/>
      <c r="E47" s="800"/>
      <c r="F47" s="821"/>
      <c r="G47" s="814"/>
      <c r="K47" s="779"/>
      <c r="L47" s="765"/>
      <c r="M47" s="765"/>
      <c r="O47" s="4"/>
    </row>
    <row r="48" spans="1:15" x14ac:dyDescent="0.25">
      <c r="A48" s="764"/>
      <c r="E48" s="800"/>
      <c r="F48" s="821" t="s">
        <v>606</v>
      </c>
      <c r="G48" s="814"/>
      <c r="J48" s="822" t="s">
        <v>607</v>
      </c>
      <c r="K48" s="820"/>
      <c r="L48" s="765"/>
      <c r="M48" s="765"/>
      <c r="O48" s="4"/>
    </row>
    <row r="49" spans="1:15" x14ac:dyDescent="0.25">
      <c r="A49" s="764"/>
      <c r="B49" s="809" t="s">
        <v>608</v>
      </c>
      <c r="E49" s="800"/>
      <c r="F49" s="781">
        <f>B_TP_Kalkulation!J28</f>
        <v>0</v>
      </c>
      <c r="G49" s="814"/>
      <c r="J49" s="776">
        <f>B_TP_Kalkulation!L28</f>
        <v>0</v>
      </c>
      <c r="L49" s="819" t="str">
        <f>IF(AND(F49&gt;0,J49=0),"Bitte Angaben prüfen!","")</f>
        <v/>
      </c>
      <c r="M49" s="765"/>
      <c r="O49" s="4"/>
    </row>
    <row r="50" spans="1:15" ht="10.199999999999999" customHeight="1" x14ac:dyDescent="0.25">
      <c r="A50" s="764"/>
      <c r="E50" s="800"/>
      <c r="F50" s="813"/>
      <c r="G50" s="814"/>
      <c r="H50" s="800"/>
      <c r="I50" s="800"/>
      <c r="J50" s="765"/>
      <c r="K50" s="765"/>
      <c r="L50" s="765"/>
      <c r="M50" s="765"/>
      <c r="N50" s="765"/>
      <c r="O50" s="4"/>
    </row>
    <row r="51" spans="1:15" x14ac:dyDescent="0.25">
      <c r="A51" s="764"/>
      <c r="B51" s="5" t="s">
        <v>609</v>
      </c>
      <c r="E51" s="800"/>
      <c r="F51" s="813"/>
      <c r="G51" s="814"/>
      <c r="H51" s="800"/>
      <c r="I51" s="823" t="s">
        <v>610</v>
      </c>
      <c r="J51" s="765"/>
      <c r="K51" s="765"/>
      <c r="L51" s="765"/>
      <c r="M51" s="765"/>
      <c r="N51" s="765"/>
      <c r="O51" s="4"/>
    </row>
    <row r="52" spans="1:15" ht="10.199999999999999" customHeight="1" x14ac:dyDescent="0.25">
      <c r="A52" s="764"/>
      <c r="E52" s="800"/>
      <c r="F52" s="813"/>
      <c r="G52" s="814"/>
      <c r="H52" s="800"/>
      <c r="I52" s="800"/>
      <c r="J52" s="765"/>
      <c r="K52" s="765"/>
      <c r="L52" s="765"/>
      <c r="M52" s="765"/>
      <c r="N52" s="765"/>
      <c r="O52" s="4"/>
    </row>
    <row r="53" spans="1:15" x14ac:dyDescent="0.25">
      <c r="A53" s="764"/>
      <c r="B53" s="809" t="s">
        <v>611</v>
      </c>
      <c r="E53" s="800"/>
      <c r="F53" s="782">
        <f>B_TP_Gesamtkalkulation!D27</f>
        <v>0</v>
      </c>
      <c r="G53" s="814"/>
      <c r="H53" s="800"/>
      <c r="I53" s="800" t="s">
        <v>612</v>
      </c>
      <c r="J53" s="765"/>
      <c r="K53" s="765"/>
      <c r="L53" s="783">
        <f>B_TP_Gesamtkalkulation!D39</f>
        <v>0</v>
      </c>
      <c r="M53" s="824"/>
      <c r="N53" s="765"/>
      <c r="O53" s="4"/>
    </row>
    <row r="54" spans="1:15" x14ac:dyDescent="0.25">
      <c r="A54" s="764"/>
      <c r="B54" s="809" t="s">
        <v>613</v>
      </c>
      <c r="E54" s="800"/>
      <c r="F54" s="782">
        <f>B_TP_Gesamtkalkulation!D28</f>
        <v>0</v>
      </c>
      <c r="G54" s="814"/>
      <c r="H54" s="800"/>
      <c r="I54" s="800" t="s">
        <v>614</v>
      </c>
      <c r="J54" s="765"/>
      <c r="K54" s="765"/>
      <c r="L54" s="783">
        <f>B_TP_Gesamtkalkulation!D40</f>
        <v>0</v>
      </c>
      <c r="M54" s="824"/>
      <c r="N54" s="765"/>
      <c r="O54" s="4"/>
    </row>
    <row r="55" spans="1:15" x14ac:dyDescent="0.25">
      <c r="A55" s="764"/>
      <c r="B55" s="809" t="s">
        <v>615</v>
      </c>
      <c r="E55" s="800"/>
      <c r="F55" s="782">
        <f>B_TP_Gesamtkalkulation!D29</f>
        <v>0</v>
      </c>
      <c r="G55" s="814"/>
      <c r="H55" s="800"/>
      <c r="I55" s="800" t="s">
        <v>634</v>
      </c>
      <c r="J55" s="765"/>
      <c r="K55" s="765"/>
      <c r="L55" s="783">
        <f>B_TP_Gesamtkalkulation!D41</f>
        <v>0</v>
      </c>
      <c r="M55" s="824"/>
      <c r="N55" s="765"/>
      <c r="O55" s="4"/>
    </row>
    <row r="56" spans="1:15" x14ac:dyDescent="0.25">
      <c r="A56" s="764"/>
      <c r="B56" s="809" t="s">
        <v>616</v>
      </c>
      <c r="E56" s="800"/>
      <c r="F56" s="782">
        <f>B_TP_Gesamtkalkulation!D30</f>
        <v>0</v>
      </c>
      <c r="G56" s="814"/>
      <c r="H56" s="800"/>
      <c r="I56" s="800" t="s">
        <v>635</v>
      </c>
      <c r="J56" s="765"/>
      <c r="K56" s="765"/>
      <c r="L56" s="783">
        <f>B_TP_Gesamtkalkulation!D42</f>
        <v>0</v>
      </c>
      <c r="M56" s="824"/>
      <c r="N56" s="765"/>
      <c r="O56" s="4"/>
    </row>
    <row r="57" spans="1:15" x14ac:dyDescent="0.25">
      <c r="A57" s="764"/>
      <c r="B57" s="809" t="s">
        <v>617</v>
      </c>
      <c r="E57" s="800"/>
      <c r="F57" s="782">
        <f>B_TP_Gesamtkalkulation!D31</f>
        <v>0</v>
      </c>
      <c r="G57" s="814"/>
      <c r="H57" s="800"/>
      <c r="I57" s="800" t="s">
        <v>618</v>
      </c>
      <c r="J57" s="765"/>
      <c r="K57" s="765"/>
      <c r="L57" s="783">
        <f>B_TP_Gesamtkalkulation!D43</f>
        <v>0</v>
      </c>
      <c r="M57" s="824"/>
      <c r="N57" s="765"/>
      <c r="O57" s="4"/>
    </row>
    <row r="58" spans="1:15" x14ac:dyDescent="0.25">
      <c r="A58" s="764"/>
      <c r="B58" s="809" t="s">
        <v>619</v>
      </c>
      <c r="E58" s="800"/>
      <c r="F58" s="782">
        <f>B_TP_Gesamtkalkulation!D32</f>
        <v>0</v>
      </c>
      <c r="G58" s="814"/>
      <c r="H58" s="800"/>
      <c r="I58" s="800" t="str">
        <f>"3.6. "&amp;IF(B_TP_Kalkulation!I50&lt;&gt;"",B_TP_Kalkulation!I50,"")</f>
        <v xml:space="preserve">3.6. </v>
      </c>
      <c r="J58" s="765"/>
      <c r="K58" s="765"/>
      <c r="L58" s="783">
        <f>B_TP_Gesamtkalkulation!D44</f>
        <v>0</v>
      </c>
      <c r="M58" s="824"/>
      <c r="N58" s="765"/>
      <c r="O58" s="4"/>
    </row>
    <row r="59" spans="1:15" x14ac:dyDescent="0.25">
      <c r="A59" s="764"/>
      <c r="B59" s="809" t="s">
        <v>620</v>
      </c>
      <c r="E59" s="800"/>
      <c r="F59" s="782">
        <f>B_TP_Gesamtkalkulation!D33</f>
        <v>0</v>
      </c>
      <c r="G59" s="814"/>
      <c r="H59" s="800"/>
      <c r="I59" s="800" t="str">
        <f>"3.7. "&amp;IF(B_TP_Kalkulation!I51&lt;&gt;"",B_TP_Kalkulation!I51,"")</f>
        <v xml:space="preserve">3.7. </v>
      </c>
      <c r="J59" s="765"/>
      <c r="K59" s="765"/>
      <c r="L59" s="783">
        <f>B_TP_Gesamtkalkulation!D45</f>
        <v>0</v>
      </c>
      <c r="M59" s="765"/>
      <c r="N59" s="765"/>
      <c r="O59" s="4"/>
    </row>
    <row r="60" spans="1:15" x14ac:dyDescent="0.25">
      <c r="A60" s="764"/>
      <c r="B60" s="809" t="s">
        <v>621</v>
      </c>
      <c r="E60" s="800"/>
      <c r="F60" s="782">
        <f>B_TP_Gesamtkalkulation!D34</f>
        <v>0</v>
      </c>
      <c r="G60" s="814"/>
      <c r="H60" s="800"/>
      <c r="I60" s="800"/>
      <c r="J60" s="765"/>
      <c r="K60" s="765"/>
      <c r="L60" s="825"/>
      <c r="M60" s="765"/>
      <c r="N60" s="765"/>
      <c r="O60" s="4"/>
    </row>
    <row r="61" spans="1:15" x14ac:dyDescent="0.25">
      <c r="A61" s="764"/>
      <c r="B61" s="809" t="s">
        <v>622</v>
      </c>
      <c r="E61" s="800"/>
      <c r="F61" s="782">
        <f>B_TP_Gesamtkalkulation!D35</f>
        <v>0</v>
      </c>
      <c r="G61" s="814"/>
      <c r="H61" s="800"/>
      <c r="I61" s="800"/>
      <c r="J61" s="765"/>
      <c r="K61" s="765"/>
      <c r="L61" s="825"/>
      <c r="M61" s="765"/>
      <c r="N61" s="765"/>
      <c r="O61" s="4"/>
    </row>
    <row r="62" spans="1:15" x14ac:dyDescent="0.25">
      <c r="A62" s="764"/>
      <c r="B62" s="809" t="s">
        <v>623</v>
      </c>
      <c r="E62" s="800"/>
      <c r="F62" s="782">
        <f>B_TP_Gesamtkalkulation!D36</f>
        <v>0</v>
      </c>
      <c r="G62" s="814"/>
      <c r="H62" s="800"/>
      <c r="I62" s="800"/>
      <c r="J62" s="765"/>
      <c r="K62" s="765"/>
      <c r="L62" s="765"/>
      <c r="M62" s="765"/>
      <c r="N62" s="765"/>
      <c r="O62" s="4"/>
    </row>
    <row r="63" spans="1:15" ht="4.95" customHeight="1" x14ac:dyDescent="0.25">
      <c r="A63" s="764"/>
      <c r="B63" s="809"/>
      <c r="E63" s="800"/>
      <c r="F63" s="800"/>
      <c r="G63" s="800"/>
      <c r="H63" s="800"/>
      <c r="I63" s="800"/>
      <c r="J63" s="765"/>
      <c r="K63" s="765"/>
      <c r="L63" s="765"/>
      <c r="M63" s="765"/>
      <c r="N63" s="765"/>
      <c r="O63" s="4"/>
    </row>
    <row r="64" spans="1:15" x14ac:dyDescent="0.25">
      <c r="A64" s="764"/>
      <c r="B64" s="809" t="s">
        <v>324</v>
      </c>
      <c r="E64" s="800"/>
      <c r="F64" s="782">
        <f>B_TP_Gesamtkalkulation!D26</f>
        <v>0</v>
      </c>
      <c r="G64" s="814"/>
      <c r="H64" s="800"/>
      <c r="I64" s="800" t="s">
        <v>324</v>
      </c>
      <c r="J64" s="765"/>
      <c r="K64" s="765"/>
      <c r="L64" s="783">
        <f>B_TP_Gesamtkalkulation!D38</f>
        <v>0</v>
      </c>
      <c r="M64" s="824"/>
      <c r="N64" s="765"/>
      <c r="O64" s="4"/>
    </row>
    <row r="65" spans="1:15" ht="10.199999999999999" customHeight="1" x14ac:dyDescent="0.25">
      <c r="A65" s="764"/>
      <c r="E65" s="800"/>
      <c r="F65" s="813"/>
      <c r="G65" s="814"/>
      <c r="H65" s="800"/>
      <c r="I65" s="800"/>
      <c r="J65" s="765"/>
      <c r="K65" s="765"/>
      <c r="L65" s="765"/>
      <c r="M65" s="765"/>
      <c r="N65" s="765"/>
      <c r="O65" s="4"/>
    </row>
    <row r="66" spans="1:15" x14ac:dyDescent="0.25">
      <c r="A66" s="764"/>
      <c r="B66" s="5" t="s">
        <v>624</v>
      </c>
      <c r="E66" s="800"/>
      <c r="F66" s="813"/>
      <c r="G66" s="814"/>
      <c r="H66" s="800"/>
      <c r="I66" s="800"/>
      <c r="J66" s="765"/>
      <c r="K66" s="765"/>
      <c r="L66" s="765"/>
      <c r="M66" s="765"/>
      <c r="N66" s="765"/>
      <c r="O66" s="4"/>
    </row>
    <row r="67" spans="1:15" ht="10.199999999999999" customHeight="1" x14ac:dyDescent="0.25">
      <c r="A67" s="764"/>
      <c r="E67" s="800"/>
      <c r="F67" s="813"/>
      <c r="G67" s="814"/>
      <c r="H67" s="800"/>
      <c r="I67" s="800"/>
      <c r="J67" s="765"/>
      <c r="K67" s="765"/>
      <c r="L67" s="765"/>
      <c r="M67" s="765"/>
      <c r="N67" s="765"/>
      <c r="O67" s="4"/>
    </row>
    <row r="68" spans="1:15" x14ac:dyDescent="0.25">
      <c r="A68" s="764"/>
      <c r="B68" s="812" t="s">
        <v>625</v>
      </c>
      <c r="E68" s="800"/>
      <c r="F68" s="826"/>
      <c r="G68" s="814"/>
      <c r="H68" s="800"/>
      <c r="I68" s="655"/>
      <c r="J68" s="765"/>
      <c r="K68" s="765"/>
      <c r="M68" s="765"/>
      <c r="N68" s="765"/>
      <c r="O68" s="4"/>
    </row>
    <row r="69" spans="1:15" ht="10.199999999999999" customHeight="1" x14ac:dyDescent="0.25">
      <c r="A69" s="764"/>
      <c r="E69" s="800"/>
      <c r="F69" s="813"/>
      <c r="G69" s="814"/>
      <c r="H69" s="800"/>
      <c r="I69" s="800"/>
      <c r="J69" s="765"/>
      <c r="K69" s="765"/>
      <c r="M69" s="765"/>
      <c r="N69" s="765"/>
      <c r="O69" s="4"/>
    </row>
    <row r="70" spans="1:15" ht="13.95" customHeight="1" x14ac:dyDescent="0.25">
      <c r="A70" s="764"/>
      <c r="B70" s="1045" t="s">
        <v>61</v>
      </c>
      <c r="C70" s="1046"/>
      <c r="E70" s="800"/>
      <c r="F70" s="784">
        <f>IFERROR(B_TP_Gesamtkalkulation!H51,"")</f>
        <v>0</v>
      </c>
      <c r="G70" s="814"/>
      <c r="H70" s="800" t="s">
        <v>626</v>
      </c>
      <c r="I70" s="800"/>
      <c r="J70" s="765"/>
      <c r="K70" s="765"/>
      <c r="M70" s="765"/>
      <c r="N70" s="765"/>
      <c r="O70" s="4"/>
    </row>
    <row r="71" spans="1:15" ht="10.199999999999999" customHeight="1" x14ac:dyDescent="0.25">
      <c r="A71" s="764"/>
      <c r="E71" s="800"/>
      <c r="F71" s="813"/>
      <c r="G71" s="814"/>
      <c r="H71" s="800"/>
      <c r="I71" s="800"/>
      <c r="J71" s="765"/>
      <c r="K71" s="765"/>
      <c r="M71" s="765"/>
      <c r="N71" s="765"/>
      <c r="O71" s="4"/>
    </row>
    <row r="72" spans="1:15" ht="13.95" customHeight="1" x14ac:dyDescent="0.25">
      <c r="A72" s="764"/>
      <c r="B72" s="1045" t="s">
        <v>62</v>
      </c>
      <c r="C72" s="1046"/>
      <c r="E72" s="800"/>
      <c r="F72" s="784">
        <f>IFERROR(B_TP_Gesamtkalkulation!J51,"")</f>
        <v>0</v>
      </c>
      <c r="G72" s="814"/>
      <c r="H72" s="800" t="s">
        <v>626</v>
      </c>
      <c r="I72" s="800"/>
      <c r="J72" s="765"/>
      <c r="K72" s="765"/>
      <c r="M72" s="765"/>
      <c r="N72" s="765"/>
      <c r="O72" s="4"/>
    </row>
    <row r="73" spans="1:15" ht="10.199999999999999" customHeight="1" x14ac:dyDescent="0.25">
      <c r="A73" s="764"/>
      <c r="E73" s="800"/>
      <c r="F73" s="813"/>
      <c r="G73" s="814"/>
      <c r="H73" s="800"/>
      <c r="I73" s="800"/>
      <c r="J73" s="765"/>
      <c r="K73" s="765"/>
      <c r="M73" s="765"/>
      <c r="N73" s="765"/>
      <c r="O73" s="4"/>
    </row>
    <row r="74" spans="1:15" ht="13.95" customHeight="1" x14ac:dyDescent="0.25">
      <c r="A74" s="764"/>
      <c r="B74" s="1045" t="s">
        <v>63</v>
      </c>
      <c r="C74" s="1046"/>
      <c r="E74" s="800"/>
      <c r="F74" s="784">
        <f>IFERROR(B_TP_Gesamtkalkulation!L51,"")</f>
        <v>0</v>
      </c>
      <c r="G74" s="814"/>
      <c r="H74" s="800" t="s">
        <v>626</v>
      </c>
      <c r="I74" s="800"/>
      <c r="J74" s="765"/>
      <c r="K74" s="765"/>
      <c r="M74" s="765"/>
      <c r="N74" s="765"/>
      <c r="O74" s="4"/>
    </row>
    <row r="75" spans="1:15" ht="10.199999999999999" customHeight="1" x14ac:dyDescent="0.25">
      <c r="A75" s="764"/>
      <c r="E75" s="800"/>
      <c r="F75" s="813"/>
      <c r="G75" s="814"/>
      <c r="H75" s="800"/>
      <c r="I75" s="800"/>
      <c r="J75" s="765"/>
      <c r="K75" s="765"/>
      <c r="M75" s="765"/>
      <c r="N75" s="765"/>
      <c r="O75" s="4"/>
    </row>
    <row r="76" spans="1:15" ht="13.95" customHeight="1" x14ac:dyDescent="0.25">
      <c r="A76" s="764"/>
      <c r="B76" s="1045" t="s">
        <v>64</v>
      </c>
      <c r="C76" s="1046"/>
      <c r="E76" s="800"/>
      <c r="F76" s="784">
        <f>IFERROR(B_TP_Gesamtkalkulation!N51,"")</f>
        <v>0</v>
      </c>
      <c r="G76" s="814"/>
      <c r="H76" s="800" t="s">
        <v>626</v>
      </c>
      <c r="I76" s="800"/>
      <c r="J76" s="765"/>
      <c r="K76" s="765"/>
      <c r="M76" s="765"/>
      <c r="N76" s="765"/>
      <c r="O76" s="4"/>
    </row>
    <row r="77" spans="1:15" ht="10.199999999999999" customHeight="1" x14ac:dyDescent="0.25">
      <c r="A77" s="764"/>
      <c r="E77" s="800"/>
      <c r="F77" s="813"/>
      <c r="G77" s="814"/>
      <c r="H77" s="800"/>
      <c r="I77" s="800"/>
      <c r="J77" s="765"/>
      <c r="K77" s="765"/>
      <c r="M77" s="765"/>
      <c r="N77" s="765"/>
      <c r="O77" s="4"/>
    </row>
    <row r="78" spans="1:15" ht="13.95" customHeight="1" x14ac:dyDescent="0.25">
      <c r="A78" s="764"/>
      <c r="B78" s="1045" t="s">
        <v>65</v>
      </c>
      <c r="C78" s="1046"/>
      <c r="E78" s="800"/>
      <c r="F78" s="784">
        <f>IFERROR(B_TP_Gesamtkalkulation!P51,"")</f>
        <v>0</v>
      </c>
      <c r="G78" s="814"/>
      <c r="H78" s="800" t="s">
        <v>626</v>
      </c>
      <c r="I78" s="1047"/>
      <c r="J78" s="1047"/>
      <c r="K78" s="765"/>
      <c r="L78" s="827"/>
      <c r="M78" s="765"/>
      <c r="N78" s="814"/>
      <c r="O78" s="828"/>
    </row>
    <row r="79" spans="1:15" ht="10.199999999999999" customHeight="1" x14ac:dyDescent="0.25">
      <c r="A79" s="785"/>
      <c r="J79" s="765"/>
      <c r="K79" s="765"/>
      <c r="M79" s="765"/>
      <c r="N79" s="765"/>
      <c r="O79" s="4"/>
    </row>
    <row r="80" spans="1:15" x14ac:dyDescent="0.25">
      <c r="A80" s="785"/>
      <c r="B80" s="812" t="s">
        <v>627</v>
      </c>
      <c r="F80" s="784" t="str">
        <f>IFERROR(B_TP_Gesamtkalkulation!V51,"")</f>
        <v/>
      </c>
      <c r="G80" s="814"/>
      <c r="H80" s="800" t="s">
        <v>626</v>
      </c>
      <c r="I80" s="812"/>
      <c r="J80" s="765"/>
      <c r="K80" s="765"/>
      <c r="L80" s="827"/>
      <c r="M80" s="814"/>
      <c r="N80" s="800"/>
      <c r="O80" s="4"/>
    </row>
    <row r="81" spans="1:15" ht="10.199999999999999" customHeight="1" x14ac:dyDescent="0.25">
      <c r="A81" s="785"/>
      <c r="J81" s="765"/>
      <c r="K81" s="765"/>
      <c r="M81" s="765"/>
      <c r="N81" s="765"/>
      <c r="O81" s="4"/>
    </row>
    <row r="82" spans="1:15" x14ac:dyDescent="0.25">
      <c r="A82" s="785"/>
      <c r="B82" s="812" t="s">
        <v>628</v>
      </c>
      <c r="F82" s="826"/>
      <c r="G82" s="814"/>
      <c r="H82" s="800"/>
      <c r="I82" s="655"/>
      <c r="J82" s="765"/>
      <c r="K82" s="765"/>
      <c r="M82" s="765"/>
      <c r="N82" s="765"/>
      <c r="O82" s="4"/>
    </row>
    <row r="83" spans="1:15" ht="10.199999999999999" customHeight="1" x14ac:dyDescent="0.25">
      <c r="A83" s="785"/>
      <c r="J83" s="765"/>
      <c r="K83" s="765"/>
      <c r="M83" s="765"/>
      <c r="N83" s="765"/>
      <c r="O83" s="4"/>
    </row>
    <row r="84" spans="1:15" x14ac:dyDescent="0.25">
      <c r="A84" s="785"/>
      <c r="B84" s="768" t="s">
        <v>629</v>
      </c>
      <c r="C84" s="769"/>
      <c r="F84" s="784" t="str">
        <f>IFERROR(B_TP_Gesamtkalkulation!R51,"")</f>
        <v/>
      </c>
      <c r="G84" s="814"/>
      <c r="H84" s="800" t="s">
        <v>626</v>
      </c>
      <c r="I84" s="809"/>
      <c r="J84" s="765"/>
      <c r="K84" s="765"/>
      <c r="L84" s="827"/>
      <c r="M84" s="765"/>
      <c r="N84" s="814"/>
      <c r="O84" s="4"/>
    </row>
    <row r="85" spans="1:15" ht="10.199999999999999" customHeight="1" x14ac:dyDescent="0.25">
      <c r="A85" s="785"/>
      <c r="J85" s="765"/>
      <c r="K85" s="765"/>
      <c r="M85" s="765"/>
      <c r="N85" s="765"/>
      <c r="O85" s="4"/>
    </row>
    <row r="86" spans="1:15" x14ac:dyDescent="0.25">
      <c r="A86" s="785"/>
      <c r="B86" s="768" t="s">
        <v>630</v>
      </c>
      <c r="C86" s="769"/>
      <c r="F86" s="784" t="str">
        <f>IFERROR(B_TP_Gesamtkalkulation!T51,"")</f>
        <v/>
      </c>
      <c r="G86" s="814"/>
      <c r="H86" s="800" t="s">
        <v>626</v>
      </c>
      <c r="I86" s="809"/>
      <c r="J86" s="765"/>
      <c r="K86" s="765"/>
      <c r="L86" s="827"/>
      <c r="M86" s="765"/>
      <c r="N86" s="814"/>
      <c r="O86" s="4"/>
    </row>
    <row r="87" spans="1:15" ht="10.199999999999999" customHeight="1" x14ac:dyDescent="0.25">
      <c r="A87" s="785"/>
      <c r="J87" s="765"/>
      <c r="K87" s="765"/>
      <c r="M87" s="765"/>
      <c r="N87" s="765"/>
      <c r="O87" s="4"/>
    </row>
    <row r="88" spans="1:15" x14ac:dyDescent="0.25">
      <c r="A88" s="785"/>
      <c r="B88" s="768" t="s">
        <v>636</v>
      </c>
      <c r="C88" s="769"/>
      <c r="F88" s="784" t="str">
        <f>IFERROR(B_TP_Kalkulation!K61,"")</f>
        <v/>
      </c>
      <c r="G88" s="814"/>
      <c r="H88" s="800" t="s">
        <v>626</v>
      </c>
      <c r="J88" s="765"/>
      <c r="K88" s="765"/>
      <c r="L88" s="765"/>
      <c r="M88" s="765"/>
      <c r="N88" s="765"/>
      <c r="O88" s="4"/>
    </row>
    <row r="89" spans="1:15" ht="14.25" customHeight="1" x14ac:dyDescent="0.25">
      <c r="A89" s="764"/>
      <c r="B89" s="829"/>
      <c r="C89" s="811"/>
      <c r="D89" s="811"/>
      <c r="E89" s="811"/>
      <c r="F89" s="811"/>
      <c r="H89" s="830"/>
      <c r="I89" s="831"/>
      <c r="J89" s="831"/>
      <c r="K89" s="831"/>
      <c r="L89" s="832"/>
      <c r="M89" s="832"/>
      <c r="N89" s="832"/>
      <c r="O89" s="4"/>
    </row>
    <row r="90" spans="1:15" x14ac:dyDescent="0.25">
      <c r="A90" s="764"/>
      <c r="B90" s="833"/>
      <c r="C90" s="833"/>
      <c r="D90" s="834"/>
      <c r="E90" s="834"/>
      <c r="F90" s="835"/>
      <c r="G90" s="835"/>
      <c r="H90" s="835"/>
      <c r="I90" s="818"/>
      <c r="J90" s="818"/>
      <c r="K90" s="818"/>
      <c r="L90" s="818"/>
      <c r="M90" s="818"/>
      <c r="N90" s="818"/>
      <c r="O90" s="4"/>
    </row>
    <row r="91" spans="1:15" x14ac:dyDescent="0.25">
      <c r="A91" s="764"/>
      <c r="B91" s="883" t="s">
        <v>20</v>
      </c>
      <c r="C91" s="836"/>
      <c r="J91" s="884"/>
      <c r="K91" s="885"/>
      <c r="L91" s="885"/>
      <c r="M91" s="885"/>
      <c r="N91" s="885"/>
      <c r="O91" s="4"/>
    </row>
    <row r="92" spans="1:15" x14ac:dyDescent="0.25">
      <c r="A92" s="764"/>
      <c r="B92" s="809" t="s">
        <v>631</v>
      </c>
      <c r="C92" s="809"/>
      <c r="D92" s="809"/>
      <c r="E92" s="809"/>
      <c r="F92" s="829"/>
      <c r="G92" s="809"/>
      <c r="H92" s="809"/>
      <c r="J92" s="800" t="s">
        <v>460</v>
      </c>
      <c r="K92" s="786"/>
      <c r="L92" s="786"/>
      <c r="M92" s="786"/>
      <c r="N92" s="787"/>
      <c r="O92" s="4"/>
    </row>
    <row r="93" spans="1:15" x14ac:dyDescent="0.25">
      <c r="A93" s="33"/>
      <c r="B93" s="788"/>
      <c r="C93" s="789"/>
      <c r="D93" s="789"/>
      <c r="E93" s="789"/>
      <c r="F93" s="789"/>
      <c r="G93" s="789"/>
      <c r="H93" s="789"/>
      <c r="I93" s="789"/>
      <c r="J93" s="789"/>
      <c r="K93" s="789"/>
      <c r="L93" s="789"/>
      <c r="M93" s="789"/>
      <c r="N93" s="789"/>
      <c r="O93" s="790"/>
    </row>
  </sheetData>
  <sheetProtection algorithmName="SHA-512" hashValue="aDQuAv2ejfY86HuzaDiZyvNvwAcFczKxiq+n7nPicgybGVjCqalPhUmI+t++YPaoGoUjG1z7QhalPLImOf6eCg==" saltValue="svjcb/eyc0ssDkm0qZvJRg==" spinCount="100000" sheet="1" objects="1" scenarios="1" selectLockedCells="1"/>
  <mergeCells count="14">
    <mergeCell ref="B8:D8"/>
    <mergeCell ref="A1:O1"/>
    <mergeCell ref="A2:L2"/>
    <mergeCell ref="B5:D5"/>
    <mergeCell ref="B6:D6"/>
    <mergeCell ref="B7:D7"/>
    <mergeCell ref="C9:D9"/>
    <mergeCell ref="B38:D38"/>
    <mergeCell ref="B78:C78"/>
    <mergeCell ref="I78:J78"/>
    <mergeCell ref="B70:C70"/>
    <mergeCell ref="B72:C72"/>
    <mergeCell ref="B74:C74"/>
    <mergeCell ref="B76:C76"/>
  </mergeCells>
  <phoneticPr fontId="34" type="noConversion"/>
  <pageMargins left="0.70866141732283472" right="0.70866141732283472" top="0.78740157480314965" bottom="0.78740157480314965" header="0.31496062992125984" footer="0.31496062992125984"/>
  <pageSetup paperSize="9" scale="50" orientation="portrait"/>
  <headerFooter>
    <oddHeader>&amp;C&amp;9&amp;A</oddHeader>
    <oddFooter>&amp;L&amp;9Version: 21.10.2026&amp;C&amp;9Verhandlungsunterlagen SGB XI (vereinfacht B_TP)&amp;R&amp;9PSK-Beschluss vom 08.10.2026</oddFooter>
  </headerFooter>
  <extLst>
    <ext xmlns:x14="http://schemas.microsoft.com/office/spreadsheetml/2009/9/main" uri="{78C0D931-6437-407d-A8EE-F0AAD7539E65}">
      <x14:conditionalFormattings>
        <x14:conditionalFormatting xmlns:xm="http://schemas.microsoft.com/office/excel/2006/main">
          <x14:cfRule type="expression" priority="1" id="{A277CD3F-CD8F-40E5-99BF-21D391C6D06C}">
            <xm:f>KAT!$A$108="nein"</xm:f>
            <x14:dxf>
              <fill>
                <patternFill>
                  <bgColor theme="0"/>
                </patternFill>
              </fill>
            </x14:dxf>
          </x14:cfRule>
          <xm:sqref>L28:L33 L36 L38 L40 L42 L44 L46 L49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A517D4B-C709-4C75-9235-8E1BCFDFBFF4}">
          <x14:formula1>
            <xm:f>KAT!$G$2:$G$4</xm:f>
          </x14:formula1>
          <xm:sqref>B91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7">
    <pageSetUpPr fitToPage="1"/>
  </sheetPr>
  <dimension ref="A1:AN59"/>
  <sheetViews>
    <sheetView showGridLines="0" zoomScaleNormal="100" workbookViewId="0">
      <selection activeCell="A5" sqref="A5"/>
    </sheetView>
  </sheetViews>
  <sheetFormatPr baseColWidth="10" defaultRowHeight="13.8" x14ac:dyDescent="0.25"/>
  <cols>
    <col min="1" max="1" width="2.09765625" customWidth="1"/>
    <col min="2" max="2" width="5.59765625" customWidth="1"/>
    <col min="3" max="3" width="34.19921875" customWidth="1"/>
    <col min="4" max="4" width="16.59765625" customWidth="1"/>
    <col min="5" max="5" width="13.59765625" hidden="1" customWidth="1"/>
    <col min="6" max="6" width="11.59765625" hidden="1" customWidth="1"/>
    <col min="7" max="7" width="12.59765625" hidden="1" customWidth="1"/>
    <col min="8" max="8" width="13.59765625" customWidth="1"/>
    <col min="9" max="9" width="12.59765625" style="273" hidden="1" customWidth="1"/>
    <col min="10" max="10" width="13.59765625" customWidth="1"/>
    <col min="11" max="11" width="12.59765625" style="273" hidden="1" customWidth="1"/>
    <col min="12" max="12" width="13.59765625" customWidth="1"/>
    <col min="13" max="13" width="12.59765625" hidden="1" customWidth="1"/>
    <col min="14" max="14" width="13.59765625" customWidth="1"/>
    <col min="15" max="15" width="12.59765625" hidden="1" customWidth="1"/>
    <col min="16" max="16" width="13.59765625" customWidth="1"/>
    <col min="17" max="17" width="12.59765625" style="273" hidden="1" customWidth="1"/>
    <col min="18" max="18" width="13.59765625" customWidth="1"/>
    <col min="19" max="19" width="12.59765625" hidden="1" customWidth="1"/>
    <col min="20" max="20" width="13.59765625" customWidth="1"/>
    <col min="21" max="21" width="12.59765625" hidden="1" customWidth="1"/>
    <col min="22" max="22" width="13.59765625" customWidth="1"/>
    <col min="23" max="23" width="2.09765625" customWidth="1"/>
    <col min="24" max="40" width="11" style="259" hidden="1" customWidth="1"/>
    <col min="41" max="42" width="11" customWidth="1"/>
  </cols>
  <sheetData>
    <row r="1" spans="1:27" ht="15" customHeight="1" x14ac:dyDescent="0.25">
      <c r="A1" s="1055" t="str">
        <f>'B_TP_Allgemeine Angaben'!A1</f>
        <v>Vereinfachtes Verfahren der Aufforderung zum Abschluss einer Pflegesatzvereinbarung 
gemäß § 84, 85 SGB XI - teilstationäre Pflegeeinrichtungen</v>
      </c>
      <c r="B1" s="1056"/>
      <c r="C1" s="1056"/>
      <c r="D1" s="1056"/>
      <c r="E1" s="1056"/>
      <c r="F1" s="1056"/>
      <c r="G1" s="1056"/>
      <c r="H1" s="1056"/>
      <c r="I1" s="1057"/>
      <c r="J1" s="1057"/>
      <c r="K1" s="1057"/>
      <c r="L1" s="1057"/>
      <c r="M1" s="1057"/>
      <c r="N1" s="1057"/>
      <c r="O1" s="1057"/>
      <c r="P1" s="1057"/>
      <c r="Q1" s="1057"/>
      <c r="R1" s="1057"/>
      <c r="S1" s="1057"/>
      <c r="T1" s="1057"/>
      <c r="U1" s="1057"/>
      <c r="V1" s="1057"/>
      <c r="W1" s="1058"/>
      <c r="X1" s="266">
        <v>43076</v>
      </c>
      <c r="Y1" s="257">
        <v>43762</v>
      </c>
      <c r="Z1" s="258">
        <v>43782</v>
      </c>
      <c r="AA1" s="264">
        <v>43804</v>
      </c>
    </row>
    <row r="2" spans="1:27" ht="15" customHeight="1" x14ac:dyDescent="0.25">
      <c r="A2" s="1059" t="s">
        <v>67</v>
      </c>
      <c r="B2" s="1060"/>
      <c r="C2" s="1060"/>
      <c r="D2" s="1060"/>
      <c r="E2" s="1060"/>
      <c r="F2" s="1060"/>
      <c r="G2" s="1060"/>
      <c r="H2" s="1060"/>
      <c r="I2" s="907"/>
      <c r="J2" s="907"/>
      <c r="K2" s="907"/>
      <c r="L2" s="907"/>
      <c r="M2" s="907"/>
      <c r="N2" s="907"/>
      <c r="O2" s="907"/>
      <c r="P2" s="907"/>
      <c r="Q2" s="907"/>
      <c r="R2" s="907"/>
      <c r="S2" s="907"/>
      <c r="T2" s="907"/>
      <c r="U2" s="907"/>
      <c r="V2" s="907"/>
      <c r="W2" s="1061"/>
      <c r="X2" s="265" t="s">
        <v>216</v>
      </c>
    </row>
    <row r="3" spans="1:27" ht="15" customHeight="1" x14ac:dyDescent="0.25">
      <c r="A3" s="1062" t="str">
        <f>'B_TP_Allgemeine Angaben'!A3</f>
        <v/>
      </c>
      <c r="B3" s="1063"/>
      <c r="C3" s="1063"/>
      <c r="D3" s="1063"/>
      <c r="E3" s="1063"/>
      <c r="F3" s="1063"/>
      <c r="G3" s="1063"/>
      <c r="H3" s="1063"/>
      <c r="I3" s="907"/>
      <c r="J3" s="907"/>
      <c r="K3" s="907"/>
      <c r="L3" s="907"/>
      <c r="M3" s="907"/>
      <c r="N3" s="907"/>
      <c r="O3" s="907"/>
      <c r="P3" s="907"/>
      <c r="Q3" s="907"/>
      <c r="R3" s="907"/>
      <c r="S3" s="907"/>
      <c r="T3" s="907"/>
      <c r="U3" s="907"/>
      <c r="V3" s="907"/>
      <c r="W3" s="1061"/>
      <c r="X3" s="301"/>
    </row>
    <row r="4" spans="1:27" ht="15" customHeight="1" x14ac:dyDescent="0.25">
      <c r="A4" s="1064" t="str">
        <f>'B_TP_Allgemeine Angaben'!A4</f>
        <v/>
      </c>
      <c r="B4" s="1065"/>
      <c r="C4" s="1065"/>
      <c r="D4" s="1065"/>
      <c r="E4" s="1065"/>
      <c r="F4" s="1065"/>
      <c r="G4" s="1065"/>
      <c r="H4" s="1065"/>
      <c r="I4" s="1066"/>
      <c r="J4" s="1066"/>
      <c r="K4" s="1066"/>
      <c r="L4" s="1066"/>
      <c r="M4" s="1066"/>
      <c r="N4" s="1066"/>
      <c r="O4" s="1066"/>
      <c r="P4" s="1066"/>
      <c r="Q4" s="1066"/>
      <c r="R4" s="1066"/>
      <c r="S4" s="1066"/>
      <c r="T4" s="1066"/>
      <c r="U4" s="1066"/>
      <c r="V4" s="1066"/>
      <c r="W4" s="1067"/>
      <c r="X4" s="260" t="s">
        <v>272</v>
      </c>
    </row>
    <row r="5" spans="1:27" ht="14.25" customHeight="1" x14ac:dyDescent="0.25">
      <c r="A5" s="887"/>
      <c r="B5" s="302"/>
      <c r="C5" s="303"/>
      <c r="D5" s="303"/>
      <c r="E5" s="304" t="s">
        <v>68</v>
      </c>
      <c r="F5" s="304"/>
      <c r="G5" s="259"/>
      <c r="I5" s="278"/>
      <c r="J5" s="300" t="s">
        <v>104</v>
      </c>
      <c r="K5" s="278"/>
      <c r="L5" s="300" t="s">
        <v>105</v>
      </c>
      <c r="M5" s="259"/>
      <c r="N5" s="300" t="s">
        <v>121</v>
      </c>
      <c r="O5" s="259"/>
      <c r="P5" s="300" t="s">
        <v>71</v>
      </c>
      <c r="Q5" s="278"/>
      <c r="S5" s="259"/>
      <c r="U5" s="259"/>
      <c r="W5" s="17"/>
      <c r="X5" s="301"/>
    </row>
    <row r="6" spans="1:27" x14ac:dyDescent="0.25">
      <c r="A6" s="18"/>
      <c r="C6" s="305" t="s">
        <v>69</v>
      </c>
      <c r="D6" s="306" t="str">
        <f>IF('B_TP_Allgemeine Angaben'!L47&gt;0,'B_TP_Allgemeine Angaben'!L47,"")</f>
        <v/>
      </c>
      <c r="E6" s="278" t="s">
        <v>70</v>
      </c>
      <c r="F6" s="278"/>
      <c r="G6" s="259"/>
      <c r="I6" s="278"/>
      <c r="J6" s="307" t="str">
        <f>IF(B_TP_Kalkulation!I6&gt;0,B_TP_Kalkulation!I6,"")</f>
        <v/>
      </c>
      <c r="K6" s="278"/>
      <c r="L6" s="308" t="str">
        <f>IF(B_TP_Kalkulation!D6&gt;0,B_TP_Kalkulation!D6,"")</f>
        <v/>
      </c>
      <c r="M6" s="309"/>
      <c r="N6" s="310" t="str">
        <f>IFERROR(L6*J6*'B_TP_Allgemeine Angaben'!L47/100,"")</f>
        <v/>
      </c>
      <c r="O6" s="259"/>
      <c r="P6" s="310" t="str">
        <f>IFERROR(ROUND(J6/12,2),"")</f>
        <v/>
      </c>
      <c r="Q6" s="311"/>
      <c r="S6" s="259"/>
      <c r="T6" s="312"/>
      <c r="U6" s="283"/>
      <c r="V6" s="312"/>
      <c r="W6" s="17"/>
    </row>
    <row r="7" spans="1:27" ht="3" customHeight="1" x14ac:dyDescent="0.25">
      <c r="A7" s="18"/>
      <c r="C7" s="305"/>
      <c r="D7" s="305"/>
      <c r="E7" s="313"/>
      <c r="F7" s="313"/>
      <c r="G7" s="259"/>
      <c r="I7" s="314"/>
      <c r="J7" s="305"/>
      <c r="K7" s="314"/>
      <c r="L7" s="305"/>
      <c r="M7" s="314"/>
      <c r="N7" s="305"/>
      <c r="O7" s="259"/>
      <c r="Q7" s="314"/>
      <c r="R7" s="305"/>
      <c r="S7" s="314"/>
      <c r="T7" s="312"/>
      <c r="U7" s="283"/>
      <c r="V7" s="312"/>
      <c r="W7" s="17"/>
    </row>
    <row r="8" spans="1:27" x14ac:dyDescent="0.25">
      <c r="A8" s="18"/>
      <c r="C8" s="312"/>
      <c r="D8" s="305"/>
      <c r="E8" s="278" t="s">
        <v>72</v>
      </c>
      <c r="F8" s="278"/>
      <c r="G8" s="259"/>
      <c r="I8" s="314"/>
      <c r="J8" s="315" t="s">
        <v>122</v>
      </c>
      <c r="K8" s="278"/>
      <c r="L8" s="308" t="str">
        <f>IF('B_TP_Allgemeine Angaben'!D7="vst",100,IF('B_TP_Allgemeine Angaben'!D7="kzp",100,L6))</f>
        <v/>
      </c>
      <c r="M8" s="313"/>
      <c r="N8" s="310" t="str">
        <f>IFERROR(B_TP_Kalkulation!L12*J6*L8/100,"")</f>
        <v/>
      </c>
      <c r="O8" s="259"/>
      <c r="Q8" s="311"/>
      <c r="S8" s="259"/>
      <c r="T8" s="312"/>
      <c r="U8" s="283"/>
      <c r="V8" s="312"/>
      <c r="W8" s="17"/>
      <c r="X8" s="316" t="s">
        <v>273</v>
      </c>
    </row>
    <row r="9" spans="1:27" ht="9.9" customHeight="1" x14ac:dyDescent="0.25">
      <c r="A9" s="18"/>
      <c r="C9" s="312"/>
      <c r="D9" s="305"/>
      <c r="E9" s="259"/>
      <c r="F9" s="259"/>
      <c r="G9" s="259"/>
      <c r="I9" s="314"/>
      <c r="J9" s="305"/>
      <c r="K9" s="305"/>
      <c r="L9" s="305"/>
      <c r="M9" s="309"/>
      <c r="N9" s="317"/>
      <c r="O9" s="259"/>
      <c r="Q9" s="309"/>
      <c r="R9" s="317"/>
      <c r="S9" s="259"/>
      <c r="T9" s="312"/>
      <c r="U9" s="283"/>
      <c r="V9" s="312"/>
      <c r="W9" s="17"/>
      <c r="X9" s="316" t="s">
        <v>274</v>
      </c>
    </row>
    <row r="10" spans="1:27" x14ac:dyDescent="0.25">
      <c r="A10" s="18"/>
      <c r="C10" s="315"/>
      <c r="D10" s="273" t="s">
        <v>27</v>
      </c>
      <c r="E10" s="318">
        <f>SUM(H10:P10)</f>
        <v>0</v>
      </c>
      <c r="F10" s="318"/>
      <c r="G10" s="259"/>
      <c r="H10" s="319">
        <f>B_TP_Kalkulation!H14</f>
        <v>0</v>
      </c>
      <c r="I10" s="320"/>
      <c r="J10" s="319">
        <f>B_TP_Kalkulation!I14</f>
        <v>0</v>
      </c>
      <c r="K10" s="320"/>
      <c r="L10" s="319">
        <f>B_TP_Kalkulation!J14</f>
        <v>0</v>
      </c>
      <c r="M10" s="321"/>
      <c r="N10" s="319">
        <f>B_TP_Kalkulation!K14</f>
        <v>0</v>
      </c>
      <c r="O10" s="321"/>
      <c r="P10" s="319">
        <f>B_TP_Kalkulation!L14</f>
        <v>0</v>
      </c>
      <c r="Q10" s="278"/>
      <c r="S10" s="259"/>
      <c r="T10" s="312"/>
      <c r="U10" s="283"/>
      <c r="V10" s="312"/>
      <c r="W10" s="17"/>
      <c r="X10" s="316" t="s">
        <v>275</v>
      </c>
    </row>
    <row r="11" spans="1:27" x14ac:dyDescent="0.25">
      <c r="A11" s="18"/>
      <c r="C11" s="315"/>
      <c r="D11" s="273" t="s">
        <v>54</v>
      </c>
      <c r="E11" s="322">
        <f>SUM(H11:P11)</f>
        <v>0</v>
      </c>
      <c r="F11" s="323"/>
      <c r="G11" s="259"/>
      <c r="H11" s="324" t="str">
        <f>IFERROR(H10*$J$6*$L$6/100,"")</f>
        <v/>
      </c>
      <c r="I11" s="278"/>
      <c r="J11" s="324" t="str">
        <f>IFERROR(J10*$J$6*$L$6/100,"")</f>
        <v/>
      </c>
      <c r="K11" s="278"/>
      <c r="L11" s="324" t="str">
        <f>IFERROR(L10*$J$6*$L$6/100,"")</f>
        <v/>
      </c>
      <c r="M11" s="259"/>
      <c r="N11" s="324" t="str">
        <f>IFERROR(N10*$J$6*$L$6/100,"")</f>
        <v/>
      </c>
      <c r="O11" s="259"/>
      <c r="P11" s="324" t="str">
        <f>IFERROR(P10*$J$6*$L$6/100,"")</f>
        <v/>
      </c>
      <c r="Q11" s="278"/>
      <c r="S11" s="259"/>
      <c r="U11" s="259"/>
      <c r="W11" s="17"/>
    </row>
    <row r="12" spans="1:27" x14ac:dyDescent="0.25">
      <c r="A12" s="18"/>
      <c r="C12" s="315"/>
      <c r="D12" s="317" t="s">
        <v>73</v>
      </c>
      <c r="E12" s="323"/>
      <c r="F12" s="323"/>
      <c r="G12" s="259"/>
      <c r="H12" s="838"/>
      <c r="I12" s="278"/>
      <c r="J12" s="325">
        <v>805</v>
      </c>
      <c r="K12" s="278"/>
      <c r="L12" s="325">
        <v>1319</v>
      </c>
      <c r="M12" s="259"/>
      <c r="N12" s="325">
        <v>1855</v>
      </c>
      <c r="O12" s="259"/>
      <c r="P12" s="325">
        <v>2096</v>
      </c>
      <c r="Q12" s="278"/>
      <c r="S12" s="259"/>
      <c r="U12" s="259"/>
      <c r="W12" s="17"/>
      <c r="X12" s="260" t="s">
        <v>276</v>
      </c>
    </row>
    <row r="13" spans="1:27" ht="9.9" customHeight="1" x14ac:dyDescent="0.25">
      <c r="A13" s="18"/>
      <c r="E13" s="259"/>
      <c r="F13" s="326"/>
      <c r="G13" s="327"/>
      <c r="I13" s="327"/>
      <c r="K13" s="327"/>
      <c r="M13" s="327"/>
      <c r="O13" s="259"/>
      <c r="Q13" s="278"/>
      <c r="S13" s="259"/>
      <c r="U13" s="259"/>
      <c r="W13" s="17"/>
      <c r="X13" s="260" t="s">
        <v>277</v>
      </c>
    </row>
    <row r="14" spans="1:27" ht="39.9" customHeight="1" x14ac:dyDescent="0.25">
      <c r="A14" s="18"/>
      <c r="C14" s="1"/>
      <c r="D14" s="328"/>
      <c r="E14" s="329"/>
      <c r="F14" s="329"/>
      <c r="G14" s="330" t="s">
        <v>74</v>
      </c>
      <c r="H14" s="331" t="s">
        <v>125</v>
      </c>
      <c r="I14" s="330" t="s">
        <v>75</v>
      </c>
      <c r="J14" s="332" t="s">
        <v>126</v>
      </c>
      <c r="K14" s="330" t="s">
        <v>76</v>
      </c>
      <c r="L14" s="332" t="s">
        <v>127</v>
      </c>
      <c r="M14" s="330" t="s">
        <v>77</v>
      </c>
      <c r="N14" s="332" t="s">
        <v>128</v>
      </c>
      <c r="O14" s="330" t="s">
        <v>78</v>
      </c>
      <c r="P14" s="332" t="s">
        <v>129</v>
      </c>
      <c r="Q14" s="330" t="s">
        <v>79</v>
      </c>
      <c r="R14" s="332" t="s">
        <v>130</v>
      </c>
      <c r="S14" s="330" t="s">
        <v>80</v>
      </c>
      <c r="T14" s="331" t="s">
        <v>131</v>
      </c>
      <c r="U14" s="330" t="s">
        <v>123</v>
      </c>
      <c r="V14" s="331" t="s">
        <v>132</v>
      </c>
      <c r="W14" s="17"/>
      <c r="X14" s="260" t="s">
        <v>278</v>
      </c>
    </row>
    <row r="15" spans="1:27" x14ac:dyDescent="0.25">
      <c r="A15" s="18"/>
      <c r="B15" s="195"/>
      <c r="C15" s="195"/>
      <c r="D15" s="333" t="s">
        <v>81</v>
      </c>
      <c r="E15" s="334" t="s">
        <v>82</v>
      </c>
      <c r="F15" s="334" t="s">
        <v>120</v>
      </c>
      <c r="G15" s="335" t="s">
        <v>83</v>
      </c>
      <c r="H15" s="595" t="s">
        <v>492</v>
      </c>
      <c r="I15" s="336" t="s">
        <v>83</v>
      </c>
      <c r="J15" s="595" t="s">
        <v>492</v>
      </c>
      <c r="K15" s="335" t="s">
        <v>83</v>
      </c>
      <c r="L15" s="595" t="s">
        <v>492</v>
      </c>
      <c r="M15" s="335" t="s">
        <v>83</v>
      </c>
      <c r="N15" s="595" t="s">
        <v>492</v>
      </c>
      <c r="O15" s="335" t="s">
        <v>83</v>
      </c>
      <c r="P15" s="595" t="s">
        <v>492</v>
      </c>
      <c r="Q15" s="335" t="s">
        <v>83</v>
      </c>
      <c r="R15" s="595" t="s">
        <v>492</v>
      </c>
      <c r="S15" s="335" t="s">
        <v>83</v>
      </c>
      <c r="T15" s="595" t="s">
        <v>492</v>
      </c>
      <c r="U15" s="335" t="s">
        <v>83</v>
      </c>
      <c r="V15" s="595" t="s">
        <v>492</v>
      </c>
      <c r="W15" s="17"/>
      <c r="X15" s="316" t="s">
        <v>279</v>
      </c>
    </row>
    <row r="16" spans="1:27" x14ac:dyDescent="0.25">
      <c r="A16" s="18"/>
      <c r="B16" s="337" t="s">
        <v>84</v>
      </c>
      <c r="C16" s="337" t="s">
        <v>178</v>
      </c>
      <c r="D16" s="338" t="str">
        <f>IF(SUM(D17:D18,D20:D24)=0,"",SUM(D17:D18,D20:D24))</f>
        <v/>
      </c>
      <c r="E16" s="339" t="e">
        <f>G16+I16+K16+M16+O16+Q16</f>
        <v>#DIV/0!</v>
      </c>
      <c r="F16" s="340"/>
      <c r="G16" s="341" t="e">
        <f>SUM(G17:G24)</f>
        <v>#DIV/0!</v>
      </c>
      <c r="H16" s="342" t="e">
        <f t="shared" ref="H16:P16" si="0">SUM(H17:H24)</f>
        <v>#DIV/0!</v>
      </c>
      <c r="I16" s="343" t="e">
        <f>SUM(I17:I24)</f>
        <v>#DIV/0!</v>
      </c>
      <c r="J16" s="342" t="e">
        <f t="shared" si="0"/>
        <v>#DIV/0!</v>
      </c>
      <c r="K16" s="344" t="e">
        <f t="shared" si="0"/>
        <v>#DIV/0!</v>
      </c>
      <c r="L16" s="345" t="e">
        <f t="shared" si="0"/>
        <v>#DIV/0!</v>
      </c>
      <c r="M16" s="344" t="e">
        <f t="shared" si="0"/>
        <v>#DIV/0!</v>
      </c>
      <c r="N16" s="345" t="e">
        <f t="shared" si="0"/>
        <v>#DIV/0!</v>
      </c>
      <c r="O16" s="344" t="e">
        <f t="shared" si="0"/>
        <v>#DIV/0!</v>
      </c>
      <c r="P16" s="345" t="e">
        <f t="shared" si="0"/>
        <v>#DIV/0!</v>
      </c>
      <c r="Q16" s="344">
        <f>SUM(Q20:Q24)</f>
        <v>0</v>
      </c>
      <c r="R16" s="345" t="e">
        <f>SUM(R20:R24)</f>
        <v>#VALUE!</v>
      </c>
      <c r="S16" s="346"/>
      <c r="T16" s="347"/>
      <c r="U16" s="346"/>
      <c r="V16" s="347"/>
      <c r="W16" s="17"/>
    </row>
    <row r="17" spans="1:24" x14ac:dyDescent="0.25">
      <c r="A17" s="18"/>
      <c r="B17" s="348" t="s">
        <v>85</v>
      </c>
      <c r="C17" s="349" t="s">
        <v>118</v>
      </c>
      <c r="D17" s="350">
        <f>IF((B_TP_Kalkulation!L22*B_TP_Kalkulation!J22)=0,0,(B_TP_Kalkulation!L22*B_TP_Kalkulation!J22))</f>
        <v>0</v>
      </c>
      <c r="E17" s="340" t="e">
        <f>G17+I17+K17+M17+O17</f>
        <v>#DIV/0!</v>
      </c>
      <c r="F17" s="340">
        <v>1</v>
      </c>
      <c r="G17" s="351" t="e">
        <f>IF('B_TP_Allgemeine Angaben'!D7&lt;&gt;"vst",$D17*$F17/B_TP_Kalkulation!J22*B_TP_Kalkulation!H14/B_TP_Kalkulation!I17,B_TP_Gesamtkalkulation!$D$17*$F17*KAT!E69)</f>
        <v>#DIV/0!</v>
      </c>
      <c r="H17" s="352" t="e">
        <f>G17/$H$11</f>
        <v>#DIV/0!</v>
      </c>
      <c r="I17" s="351" t="e">
        <f>IF('B_TP_Allgemeine Angaben'!D7&lt;&gt;"vst",$D17*$F17/B_TP_Kalkulation!J22*B_TP_Kalkulation!I14/B_TP_Kalkulation!I18,B_TP_Gesamtkalkulation!$D$17*$F17*KAT!E70)</f>
        <v>#DIV/0!</v>
      </c>
      <c r="J17" s="352" t="e">
        <f>I17/$J$11</f>
        <v>#DIV/0!</v>
      </c>
      <c r="K17" s="351" t="e">
        <f>IF('B_TP_Allgemeine Angaben'!D7&lt;&gt;"vst",$D17*$F17/B_TP_Kalkulation!J22*B_TP_Kalkulation!J14/B_TP_Kalkulation!I19,B_TP_Gesamtkalkulation!D17*$F17*KAT!E71)</f>
        <v>#DIV/0!</v>
      </c>
      <c r="L17" s="352" t="e">
        <f t="shared" ref="L17:L24" si="1">K17/$L$11</f>
        <v>#DIV/0!</v>
      </c>
      <c r="M17" s="351" t="e">
        <f>IF('B_TP_Allgemeine Angaben'!D7&lt;&gt;"vst",$D17*$F17/B_TP_Kalkulation!J22*B_TP_Kalkulation!K14/B_TP_Kalkulation!I20,B_TP_Gesamtkalkulation!$D$17*$F17*KAT!E72)</f>
        <v>#DIV/0!</v>
      </c>
      <c r="N17" s="352" t="e">
        <f t="shared" ref="N17:N24" si="2">M17/$N$11</f>
        <v>#DIV/0!</v>
      </c>
      <c r="O17" s="351" t="e">
        <f>IF('B_TP_Allgemeine Angaben'!D7&lt;&gt;"vst",$D17*$F17/B_TP_Kalkulation!J22*B_TP_Kalkulation!L14/B_TP_Kalkulation!I21,B_TP_Gesamtkalkulation!$D$17*$F17*KAT!E73)</f>
        <v>#DIV/0!</v>
      </c>
      <c r="P17" s="352" t="e">
        <f t="shared" ref="P17:P24" si="3">O17/$P$11</f>
        <v>#DIV/0!</v>
      </c>
      <c r="Q17" s="353"/>
      <c r="R17" s="354"/>
      <c r="S17" s="346"/>
      <c r="T17" s="347"/>
      <c r="U17" s="346"/>
      <c r="V17" s="347"/>
      <c r="W17" s="17"/>
      <c r="X17" s="261" t="s">
        <v>307</v>
      </c>
    </row>
    <row r="18" spans="1:24" x14ac:dyDescent="0.25">
      <c r="A18" s="18"/>
      <c r="B18" s="348" t="s">
        <v>86</v>
      </c>
      <c r="C18" s="349" t="s">
        <v>119</v>
      </c>
      <c r="D18" s="350">
        <f>IF((B_TP_Kalkulation!L23*B_TP_Kalkulation!J23)=0,0,(B_TP_Kalkulation!L23*B_TP_Kalkulation!J23))</f>
        <v>0</v>
      </c>
      <c r="E18" s="340" t="e">
        <f>G18+I18+K18+M18+O18+Q18</f>
        <v>#VALUE!</v>
      </c>
      <c r="F18" s="340">
        <v>1</v>
      </c>
      <c r="G18" s="351" t="e">
        <f>D18*F18/$N$6*$H$11</f>
        <v>#VALUE!</v>
      </c>
      <c r="H18" s="355" t="e">
        <f>G18/$H$11</f>
        <v>#VALUE!</v>
      </c>
      <c r="I18" s="356" t="e">
        <f>D18*F18/$N$6*$J$11</f>
        <v>#VALUE!</v>
      </c>
      <c r="J18" s="355" t="e">
        <f>I18/$J$11</f>
        <v>#VALUE!</v>
      </c>
      <c r="K18" s="357" t="e">
        <f>D18*F18/$N$6*$L$11</f>
        <v>#VALUE!</v>
      </c>
      <c r="L18" s="355" t="e">
        <f t="shared" si="1"/>
        <v>#VALUE!</v>
      </c>
      <c r="M18" s="357" t="e">
        <f>D18*F18/$N$6*$N$11</f>
        <v>#VALUE!</v>
      </c>
      <c r="N18" s="355" t="e">
        <f t="shared" si="2"/>
        <v>#VALUE!</v>
      </c>
      <c r="O18" s="357" t="e">
        <f>D18*F18/$N$6*$P$11</f>
        <v>#VALUE!</v>
      </c>
      <c r="P18" s="355" t="e">
        <f t="shared" si="3"/>
        <v>#VALUE!</v>
      </c>
      <c r="Q18" s="358"/>
      <c r="R18" s="347"/>
      <c r="S18" s="346"/>
      <c r="T18" s="347"/>
      <c r="U18" s="346"/>
      <c r="V18" s="347"/>
      <c r="W18" s="17"/>
    </row>
    <row r="19" spans="1:24" x14ac:dyDescent="0.25">
      <c r="A19" s="18"/>
      <c r="B19" s="348" t="s">
        <v>87</v>
      </c>
      <c r="C19" s="349" t="s">
        <v>285</v>
      </c>
      <c r="D19" s="350">
        <f>IF((B_TP_Kalkulation!L29*B_TP_Kalkulation!J29)=0,0,(B_TP_Kalkulation!L29*B_TP_Kalkulation!J29))</f>
        <v>0</v>
      </c>
      <c r="E19" s="340"/>
      <c r="F19" s="340"/>
      <c r="G19" s="351"/>
      <c r="H19" s="359"/>
      <c r="I19" s="359"/>
      <c r="J19" s="359"/>
      <c r="K19" s="359"/>
      <c r="L19" s="359"/>
      <c r="M19" s="359"/>
      <c r="N19" s="359"/>
      <c r="O19" s="359"/>
      <c r="P19" s="359"/>
      <c r="Q19" s="360"/>
      <c r="R19" s="361"/>
      <c r="S19" s="361"/>
      <c r="T19" s="361"/>
      <c r="U19" s="362">
        <f>D19</f>
        <v>0</v>
      </c>
      <c r="V19" s="363" t="e">
        <f>U19/$N$8</f>
        <v>#VALUE!</v>
      </c>
      <c r="W19" s="17"/>
      <c r="X19" s="364" t="s">
        <v>312</v>
      </c>
    </row>
    <row r="20" spans="1:24" x14ac:dyDescent="0.25">
      <c r="A20" s="18"/>
      <c r="B20" s="348" t="s">
        <v>88</v>
      </c>
      <c r="C20" s="349" t="s">
        <v>286</v>
      </c>
      <c r="D20" s="350">
        <f>IF((B_TP_Kalkulation!L24*B_TP_Kalkulation!J24)=0,0,(B_TP_Kalkulation!L24*B_TP_Kalkulation!J24))</f>
        <v>0</v>
      </c>
      <c r="E20" s="340" t="e">
        <f>G20+I20+K20+M20+O20+Q20</f>
        <v>#VALUE!</v>
      </c>
      <c r="F20" s="340">
        <v>0.5</v>
      </c>
      <c r="G20" s="351" t="e">
        <f>D20*F20/$N$6*$H$11</f>
        <v>#VALUE!</v>
      </c>
      <c r="H20" s="365" t="e">
        <f>G20/$H$11</f>
        <v>#VALUE!</v>
      </c>
      <c r="I20" s="366" t="e">
        <f>D20*F20/$N$6*$J$11</f>
        <v>#VALUE!</v>
      </c>
      <c r="J20" s="365" t="e">
        <f>I20/$J$11</f>
        <v>#VALUE!</v>
      </c>
      <c r="K20" s="367" t="e">
        <f>D20*F20/$N$6*$L$11</f>
        <v>#VALUE!</v>
      </c>
      <c r="L20" s="365" t="e">
        <f>K20/$L$11</f>
        <v>#VALUE!</v>
      </c>
      <c r="M20" s="367" t="e">
        <f>D20*F20/$N$6*$N$11</f>
        <v>#VALUE!</v>
      </c>
      <c r="N20" s="365" t="e">
        <f t="shared" si="2"/>
        <v>#VALUE!</v>
      </c>
      <c r="O20" s="367" t="e">
        <f>D20*F20/$N$6*$P$11</f>
        <v>#VALUE!</v>
      </c>
      <c r="P20" s="365" t="e">
        <f>O20/$P$11</f>
        <v>#VALUE!</v>
      </c>
      <c r="Q20" s="367">
        <f>D20*F20</f>
        <v>0</v>
      </c>
      <c r="R20" s="365" t="e">
        <f>Q20/$N$6</f>
        <v>#VALUE!</v>
      </c>
      <c r="S20" s="346"/>
      <c r="T20" s="347"/>
      <c r="U20" s="346"/>
      <c r="V20" s="347"/>
      <c r="W20" s="17"/>
      <c r="X20" s="259" t="s">
        <v>315</v>
      </c>
    </row>
    <row r="21" spans="1:24" x14ac:dyDescent="0.25">
      <c r="A21" s="18"/>
      <c r="B21" s="368" t="s">
        <v>89</v>
      </c>
      <c r="C21" s="349" t="s">
        <v>60</v>
      </c>
      <c r="D21" s="350">
        <f>IF((B_TP_Kalkulation!L25*B_TP_Kalkulation!J25)=0,0,(B_TP_Kalkulation!L25*B_TP_Kalkulation!J25))</f>
        <v>0</v>
      </c>
      <c r="E21" s="340" t="e">
        <f>G21+I21+K21+M21+O21+Q21</f>
        <v>#VALUE!</v>
      </c>
      <c r="F21" s="340">
        <v>0.5</v>
      </c>
      <c r="G21" s="351" t="e">
        <f>D21*F21/$N$6*$H$11</f>
        <v>#VALUE!</v>
      </c>
      <c r="H21" s="352" t="e">
        <f>G21/$H$11</f>
        <v>#VALUE!</v>
      </c>
      <c r="I21" s="369" t="e">
        <f>D21*F21/$N$6*$J$11</f>
        <v>#VALUE!</v>
      </c>
      <c r="J21" s="352" t="e">
        <f>I21/$J$11</f>
        <v>#VALUE!</v>
      </c>
      <c r="K21" s="351" t="e">
        <f>D21*F21/$N$6*$L$11</f>
        <v>#VALUE!</v>
      </c>
      <c r="L21" s="352" t="e">
        <f>K21/$L$11</f>
        <v>#VALUE!</v>
      </c>
      <c r="M21" s="351" t="e">
        <f>D21*F21/$N$6*$N$11</f>
        <v>#VALUE!</v>
      </c>
      <c r="N21" s="352" t="e">
        <f t="shared" si="2"/>
        <v>#VALUE!</v>
      </c>
      <c r="O21" s="351" t="e">
        <f>D21*F21/$N$6*$P$11</f>
        <v>#VALUE!</v>
      </c>
      <c r="P21" s="352" t="e">
        <f t="shared" si="3"/>
        <v>#VALUE!</v>
      </c>
      <c r="Q21" s="351">
        <f>D21*F21</f>
        <v>0</v>
      </c>
      <c r="R21" s="352" t="e">
        <f t="shared" ref="R21:R24" si="4">Q21/$N$6</f>
        <v>#VALUE!</v>
      </c>
      <c r="S21" s="346"/>
      <c r="T21" s="347"/>
      <c r="U21" s="346"/>
      <c r="V21" s="347"/>
      <c r="W21" s="17"/>
      <c r="X21" s="370"/>
    </row>
    <row r="22" spans="1:24" x14ac:dyDescent="0.25">
      <c r="A22" s="18"/>
      <c r="B22" s="348" t="s">
        <v>90</v>
      </c>
      <c r="C22" s="349" t="s">
        <v>30</v>
      </c>
      <c r="D22" s="350">
        <f>IF((B_TP_Kalkulation!L26*B_TP_Kalkulation!J26)=0,0,(B_TP_Kalkulation!L26*B_TP_Kalkulation!J26))</f>
        <v>0</v>
      </c>
      <c r="E22" s="340" t="e">
        <f>G22+I22+K22+M22+O22+Q22</f>
        <v>#VALUE!</v>
      </c>
      <c r="F22" s="340">
        <v>0.5</v>
      </c>
      <c r="G22" s="351" t="e">
        <f>D22*F22/$N$6*$H$11</f>
        <v>#VALUE!</v>
      </c>
      <c r="H22" s="352" t="e">
        <f>G22/$H$11</f>
        <v>#VALUE!</v>
      </c>
      <c r="I22" s="369" t="e">
        <f>D22*F22/$N$6*$J$11</f>
        <v>#VALUE!</v>
      </c>
      <c r="J22" s="352" t="e">
        <f>I22/$J$11</f>
        <v>#VALUE!</v>
      </c>
      <c r="K22" s="351" t="e">
        <f>D22*F22/$N$6*$L$11</f>
        <v>#VALUE!</v>
      </c>
      <c r="L22" s="352" t="e">
        <f t="shared" si="1"/>
        <v>#VALUE!</v>
      </c>
      <c r="M22" s="351" t="e">
        <f>D22*F22/$N$6*$N$11</f>
        <v>#VALUE!</v>
      </c>
      <c r="N22" s="352" t="e">
        <f t="shared" si="2"/>
        <v>#VALUE!</v>
      </c>
      <c r="O22" s="351" t="e">
        <f>D22*F22/$N$6*$P$11</f>
        <v>#VALUE!</v>
      </c>
      <c r="P22" s="352" t="e">
        <f t="shared" si="3"/>
        <v>#VALUE!</v>
      </c>
      <c r="Q22" s="351">
        <f>D22*F22</f>
        <v>0</v>
      </c>
      <c r="R22" s="352" t="e">
        <f t="shared" si="4"/>
        <v>#VALUE!</v>
      </c>
      <c r="S22" s="346"/>
      <c r="T22" s="347"/>
      <c r="U22" s="346"/>
      <c r="V22" s="347"/>
      <c r="W22" s="17"/>
    </row>
    <row r="23" spans="1:24" x14ac:dyDescent="0.25">
      <c r="A23" s="18"/>
      <c r="B23" s="348" t="s">
        <v>91</v>
      </c>
      <c r="C23" s="349" t="s">
        <v>31</v>
      </c>
      <c r="D23" s="350">
        <f>IF((B_TP_Kalkulation!L27*B_TP_Kalkulation!J27)=0,0,(B_TP_Kalkulation!L27*B_TP_Kalkulation!J27))</f>
        <v>0</v>
      </c>
      <c r="E23" s="340" t="e">
        <f>G23+I23+K23+M23+O23+Q23</f>
        <v>#VALUE!</v>
      </c>
      <c r="F23" s="340">
        <v>0.5</v>
      </c>
      <c r="G23" s="351" t="e">
        <f>D23*F23/$N$6*$H$11</f>
        <v>#VALUE!</v>
      </c>
      <c r="H23" s="352" t="e">
        <f>G23/$H$11</f>
        <v>#VALUE!</v>
      </c>
      <c r="I23" s="369" t="e">
        <f>D23*F23/$N$6*$J$11</f>
        <v>#VALUE!</v>
      </c>
      <c r="J23" s="352" t="e">
        <f>I23/$J$11</f>
        <v>#VALUE!</v>
      </c>
      <c r="K23" s="351" t="e">
        <f>D23*F23/$N$6*$L$11</f>
        <v>#VALUE!</v>
      </c>
      <c r="L23" s="352" t="e">
        <f t="shared" si="1"/>
        <v>#VALUE!</v>
      </c>
      <c r="M23" s="351" t="e">
        <f>D23*F23/$N$6*$N$11</f>
        <v>#VALUE!</v>
      </c>
      <c r="N23" s="352" t="e">
        <f t="shared" si="2"/>
        <v>#VALUE!</v>
      </c>
      <c r="O23" s="351" t="e">
        <f>D23*F23/$N$6*$P$11</f>
        <v>#VALUE!</v>
      </c>
      <c r="P23" s="352" t="e">
        <f t="shared" si="3"/>
        <v>#VALUE!</v>
      </c>
      <c r="Q23" s="351">
        <f>D23*F23</f>
        <v>0</v>
      </c>
      <c r="R23" s="352" t="e">
        <f t="shared" si="4"/>
        <v>#VALUE!</v>
      </c>
      <c r="S23" s="346"/>
      <c r="T23" s="347"/>
      <c r="U23" s="346"/>
      <c r="V23" s="347"/>
      <c r="W23" s="17"/>
    </row>
    <row r="24" spans="1:24" x14ac:dyDescent="0.25">
      <c r="A24" s="18"/>
      <c r="B24" s="348" t="s">
        <v>101</v>
      </c>
      <c r="C24" s="371" t="s">
        <v>179</v>
      </c>
      <c r="D24" s="350">
        <f>B_TP_Kalkulation!L28*B_TP_Kalkulation!J28</f>
        <v>0</v>
      </c>
      <c r="E24" s="340" t="e">
        <f>G24+I24+K24+M24+O24+Q24</f>
        <v>#VALUE!</v>
      </c>
      <c r="F24" s="340">
        <v>0.5</v>
      </c>
      <c r="G24" s="351" t="e">
        <f>D24*F24/$N$6*$H$11</f>
        <v>#VALUE!</v>
      </c>
      <c r="H24" s="352" t="e">
        <f>G24/$H$11</f>
        <v>#VALUE!</v>
      </c>
      <c r="I24" s="369" t="e">
        <f>D24*F24/$N$6*$J$11</f>
        <v>#VALUE!</v>
      </c>
      <c r="J24" s="352" t="e">
        <f>I24/$J$11</f>
        <v>#VALUE!</v>
      </c>
      <c r="K24" s="351" t="e">
        <f>D24*F24/$N$6*$L$11</f>
        <v>#VALUE!</v>
      </c>
      <c r="L24" s="352" t="e">
        <f t="shared" si="1"/>
        <v>#VALUE!</v>
      </c>
      <c r="M24" s="351" t="e">
        <f>D24*F24/$N$6*$N$11</f>
        <v>#VALUE!</v>
      </c>
      <c r="N24" s="352" t="e">
        <f t="shared" si="2"/>
        <v>#VALUE!</v>
      </c>
      <c r="O24" s="351" t="e">
        <f>D24*F24/$N$6*$P$11</f>
        <v>#VALUE!</v>
      </c>
      <c r="P24" s="352" t="e">
        <f t="shared" si="3"/>
        <v>#VALUE!</v>
      </c>
      <c r="Q24" s="351">
        <f>D24*F24</f>
        <v>0</v>
      </c>
      <c r="R24" s="352" t="e">
        <f t="shared" si="4"/>
        <v>#VALUE!</v>
      </c>
      <c r="S24" s="346"/>
      <c r="T24" s="347"/>
      <c r="U24" s="346"/>
      <c r="V24" s="347"/>
      <c r="W24" s="17"/>
      <c r="X24" s="372"/>
    </row>
    <row r="25" spans="1:24" x14ac:dyDescent="0.25">
      <c r="A25" s="18"/>
      <c r="C25" s="373"/>
      <c r="D25" s="374"/>
      <c r="E25" s="375"/>
      <c r="F25" s="375"/>
      <c r="G25" s="362"/>
      <c r="H25" s="347"/>
      <c r="I25" s="362"/>
      <c r="J25" s="347"/>
      <c r="K25" s="362"/>
      <c r="L25" s="347"/>
      <c r="M25" s="362"/>
      <c r="N25" s="347"/>
      <c r="O25" s="362"/>
      <c r="P25" s="347"/>
      <c r="Q25" s="362"/>
      <c r="R25" s="347"/>
      <c r="S25" s="346"/>
      <c r="T25" s="347"/>
      <c r="U25" s="346"/>
      <c r="V25" s="347"/>
      <c r="W25" s="17"/>
    </row>
    <row r="26" spans="1:24" x14ac:dyDescent="0.25">
      <c r="A26" s="18"/>
      <c r="B26" s="376" t="s">
        <v>29</v>
      </c>
      <c r="C26" s="337" t="s">
        <v>92</v>
      </c>
      <c r="D26" s="338">
        <f>SUM(D27:D36)</f>
        <v>0</v>
      </c>
      <c r="E26" s="340" t="e">
        <f>G26+I26+K26+M26+O26+Q26+S26</f>
        <v>#VALUE!</v>
      </c>
      <c r="F26" s="340"/>
      <c r="G26" s="341" t="e">
        <f t="shared" ref="G26:L26" si="5">SUM(G28:G36)</f>
        <v>#VALUE!</v>
      </c>
      <c r="H26" s="342" t="e">
        <f t="shared" si="5"/>
        <v>#VALUE!</v>
      </c>
      <c r="I26" s="343" t="e">
        <f t="shared" si="5"/>
        <v>#VALUE!</v>
      </c>
      <c r="J26" s="342" t="e">
        <f t="shared" si="5"/>
        <v>#VALUE!</v>
      </c>
      <c r="K26" s="341" t="e">
        <f t="shared" si="5"/>
        <v>#VALUE!</v>
      </c>
      <c r="L26" s="342" t="e">
        <f t="shared" si="5"/>
        <v>#VALUE!</v>
      </c>
      <c r="M26" s="341" t="e">
        <f t="shared" ref="M26:P26" si="6">SUM(M28:M36)</f>
        <v>#VALUE!</v>
      </c>
      <c r="N26" s="342" t="e">
        <f t="shared" si="6"/>
        <v>#VALUE!</v>
      </c>
      <c r="O26" s="341" t="e">
        <f t="shared" si="6"/>
        <v>#VALUE!</v>
      </c>
      <c r="P26" s="342" t="e">
        <f t="shared" si="6"/>
        <v>#VALUE!</v>
      </c>
      <c r="Q26" s="344">
        <f>SUM(Q29:Q36)</f>
        <v>0</v>
      </c>
      <c r="R26" s="345" t="e">
        <f>SUM(R29:R36)</f>
        <v>#VALUE!</v>
      </c>
      <c r="S26" s="344">
        <f>SUM(S27:S36)</f>
        <v>0</v>
      </c>
      <c r="T26" s="345" t="e">
        <f>SUM(T27:T36)</f>
        <v>#VALUE!</v>
      </c>
      <c r="U26" s="377"/>
      <c r="V26" s="347"/>
      <c r="W26" s="17"/>
    </row>
    <row r="27" spans="1:24" x14ac:dyDescent="0.25">
      <c r="A27" s="18"/>
      <c r="B27" s="378" t="s">
        <v>35</v>
      </c>
      <c r="C27" s="379" t="s">
        <v>36</v>
      </c>
      <c r="D27" s="350">
        <f>B_TP_Kalkulation!L32</f>
        <v>0</v>
      </c>
      <c r="E27" s="369"/>
      <c r="F27" s="369"/>
      <c r="G27" s="380"/>
      <c r="H27" s="359"/>
      <c r="I27" s="369"/>
      <c r="J27" s="359"/>
      <c r="K27" s="369"/>
      <c r="L27" s="359"/>
      <c r="M27" s="369"/>
      <c r="N27" s="359"/>
      <c r="O27" s="369"/>
      <c r="P27" s="359"/>
      <c r="Q27" s="369"/>
      <c r="R27" s="381"/>
      <c r="S27" s="351">
        <f>D27</f>
        <v>0</v>
      </c>
      <c r="T27" s="365" t="e">
        <f>S27/$N$6</f>
        <v>#VALUE!</v>
      </c>
      <c r="U27" s="362"/>
      <c r="V27" s="347"/>
      <c r="W27" s="17"/>
    </row>
    <row r="28" spans="1:24" x14ac:dyDescent="0.25">
      <c r="A28" s="18"/>
      <c r="B28" s="378" t="s">
        <v>37</v>
      </c>
      <c r="C28" s="379" t="s">
        <v>38</v>
      </c>
      <c r="D28" s="350">
        <f>B_TP_Kalkulation!L33</f>
        <v>0</v>
      </c>
      <c r="E28" s="340" t="e">
        <f>G28+I28+K28+M28+O28+Q28+S28</f>
        <v>#VALUE!</v>
      </c>
      <c r="F28" s="340">
        <v>1</v>
      </c>
      <c r="G28" s="351" t="e">
        <f>D28*F28/$N$6*$H$11</f>
        <v>#VALUE!</v>
      </c>
      <c r="H28" s="352" t="e">
        <f t="shared" ref="H28:H34" si="7">G28/$H$11</f>
        <v>#VALUE!</v>
      </c>
      <c r="I28" s="369" t="e">
        <f>D28*F28/$N$6*$J$11</f>
        <v>#VALUE!</v>
      </c>
      <c r="J28" s="352" t="e">
        <f t="shared" ref="J28:J36" si="8">I28/$J$11</f>
        <v>#VALUE!</v>
      </c>
      <c r="K28" s="351" t="e">
        <f>D28*F28/$N$6*$L$11</f>
        <v>#VALUE!</v>
      </c>
      <c r="L28" s="352" t="e">
        <f t="shared" ref="L28:L36" si="9">K28/$L$11</f>
        <v>#VALUE!</v>
      </c>
      <c r="M28" s="351" t="e">
        <f>D28*F28/$N$6*$N$11</f>
        <v>#VALUE!</v>
      </c>
      <c r="N28" s="352" t="e">
        <f t="shared" ref="N28:N36" si="10">M28/$N$11</f>
        <v>#VALUE!</v>
      </c>
      <c r="O28" s="351" t="e">
        <f>D28*F28/$N$6*$P$11</f>
        <v>#VALUE!</v>
      </c>
      <c r="P28" s="352" t="e">
        <f t="shared" ref="P28:P36" si="11">O28/$P$11</f>
        <v>#VALUE!</v>
      </c>
      <c r="Q28" s="382"/>
      <c r="R28" s="361"/>
      <c r="S28" s="383"/>
      <c r="T28" s="347"/>
      <c r="U28" s="346"/>
      <c r="V28" s="347"/>
      <c r="W28" s="17"/>
    </row>
    <row r="29" spans="1:24" x14ac:dyDescent="0.25">
      <c r="A29" s="18"/>
      <c r="B29" s="378" t="s">
        <v>39</v>
      </c>
      <c r="C29" s="384" t="s">
        <v>287</v>
      </c>
      <c r="D29" s="350">
        <f>B_TP_Kalkulation!L34</f>
        <v>0</v>
      </c>
      <c r="E29" s="340" t="e">
        <f t="shared" ref="E29:E36" si="12">G29+I29+K29+M29+O29+Q29+S29</f>
        <v>#VALUE!</v>
      </c>
      <c r="F29" s="340">
        <v>0.5</v>
      </c>
      <c r="G29" s="351" t="e">
        <f t="shared" ref="G29:G36" si="13">D29*F29/$N$6*$H$11</f>
        <v>#VALUE!</v>
      </c>
      <c r="H29" s="352" t="e">
        <f t="shared" si="7"/>
        <v>#VALUE!</v>
      </c>
      <c r="I29" s="369" t="e">
        <f t="shared" ref="I29:I36" si="14">D29*F29/$N$6*$J$11</f>
        <v>#VALUE!</v>
      </c>
      <c r="J29" s="352" t="e">
        <f t="shared" si="8"/>
        <v>#VALUE!</v>
      </c>
      <c r="K29" s="351" t="e">
        <f t="shared" ref="K29:K36" si="15">D29*F29/$N$6*$L$11</f>
        <v>#VALUE!</v>
      </c>
      <c r="L29" s="352" t="e">
        <f t="shared" si="9"/>
        <v>#VALUE!</v>
      </c>
      <c r="M29" s="351" t="e">
        <f t="shared" ref="M29:M36" si="16">D29*F29/$N$6*$N$11</f>
        <v>#VALUE!</v>
      </c>
      <c r="N29" s="352" t="e">
        <f t="shared" si="10"/>
        <v>#VALUE!</v>
      </c>
      <c r="O29" s="351" t="e">
        <f t="shared" ref="O29:O36" si="17">D29*F29/$N$6*$P$11</f>
        <v>#VALUE!</v>
      </c>
      <c r="P29" s="352" t="e">
        <f t="shared" si="11"/>
        <v>#VALUE!</v>
      </c>
      <c r="Q29" s="351">
        <f>D29*F29</f>
        <v>0</v>
      </c>
      <c r="R29" s="352" t="e">
        <f>Q29/$N$6</f>
        <v>#VALUE!</v>
      </c>
      <c r="S29" s="385"/>
      <c r="T29" s="347"/>
      <c r="U29" s="346"/>
      <c r="V29" s="347"/>
      <c r="W29" s="17"/>
    </row>
    <row r="30" spans="1:24" x14ac:dyDescent="0.25">
      <c r="A30" s="18"/>
      <c r="B30" s="378" t="s">
        <v>40</v>
      </c>
      <c r="C30" s="379" t="s">
        <v>41</v>
      </c>
      <c r="D30" s="350">
        <f>B_TP_Kalkulation!L35</f>
        <v>0</v>
      </c>
      <c r="E30" s="340" t="e">
        <f t="shared" si="12"/>
        <v>#VALUE!</v>
      </c>
      <c r="F30" s="340">
        <v>0.5</v>
      </c>
      <c r="G30" s="351" t="e">
        <f t="shared" si="13"/>
        <v>#VALUE!</v>
      </c>
      <c r="H30" s="352" t="e">
        <f t="shared" si="7"/>
        <v>#VALUE!</v>
      </c>
      <c r="I30" s="369" t="e">
        <f t="shared" si="14"/>
        <v>#VALUE!</v>
      </c>
      <c r="J30" s="352" t="e">
        <f t="shared" si="8"/>
        <v>#VALUE!</v>
      </c>
      <c r="K30" s="351" t="e">
        <f t="shared" si="15"/>
        <v>#VALUE!</v>
      </c>
      <c r="L30" s="352" t="e">
        <f t="shared" si="9"/>
        <v>#VALUE!</v>
      </c>
      <c r="M30" s="351" t="e">
        <f t="shared" si="16"/>
        <v>#VALUE!</v>
      </c>
      <c r="N30" s="352" t="e">
        <f t="shared" si="10"/>
        <v>#VALUE!</v>
      </c>
      <c r="O30" s="351" t="e">
        <f t="shared" si="17"/>
        <v>#VALUE!</v>
      </c>
      <c r="P30" s="352" t="e">
        <f t="shared" si="11"/>
        <v>#VALUE!</v>
      </c>
      <c r="Q30" s="351">
        <f>D30*F30</f>
        <v>0</v>
      </c>
      <c r="R30" s="352" t="e">
        <f t="shared" ref="R30:R36" si="18">Q30/$N$6</f>
        <v>#VALUE!</v>
      </c>
      <c r="S30" s="385"/>
      <c r="T30" s="347"/>
      <c r="U30" s="346"/>
      <c r="V30" s="347"/>
      <c r="W30" s="17"/>
    </row>
    <row r="31" spans="1:24" x14ac:dyDescent="0.25">
      <c r="A31" s="18"/>
      <c r="B31" s="378" t="s">
        <v>42</v>
      </c>
      <c r="C31" s="379" t="s">
        <v>43</v>
      </c>
      <c r="D31" s="350">
        <f>B_TP_Kalkulation!L36</f>
        <v>0</v>
      </c>
      <c r="E31" s="340" t="e">
        <f t="shared" si="12"/>
        <v>#VALUE!</v>
      </c>
      <c r="F31" s="340">
        <v>0.5</v>
      </c>
      <c r="G31" s="351" t="e">
        <f t="shared" si="13"/>
        <v>#VALUE!</v>
      </c>
      <c r="H31" s="352" t="e">
        <f t="shared" si="7"/>
        <v>#VALUE!</v>
      </c>
      <c r="I31" s="369" t="e">
        <f t="shared" si="14"/>
        <v>#VALUE!</v>
      </c>
      <c r="J31" s="352" t="e">
        <f t="shared" si="8"/>
        <v>#VALUE!</v>
      </c>
      <c r="K31" s="351" t="e">
        <f t="shared" si="15"/>
        <v>#VALUE!</v>
      </c>
      <c r="L31" s="352" t="e">
        <f t="shared" si="9"/>
        <v>#VALUE!</v>
      </c>
      <c r="M31" s="351" t="e">
        <f t="shared" si="16"/>
        <v>#VALUE!</v>
      </c>
      <c r="N31" s="352" t="e">
        <f t="shared" si="10"/>
        <v>#VALUE!</v>
      </c>
      <c r="O31" s="351" t="e">
        <f t="shared" si="17"/>
        <v>#VALUE!</v>
      </c>
      <c r="P31" s="352" t="e">
        <f t="shared" si="11"/>
        <v>#VALUE!</v>
      </c>
      <c r="Q31" s="351">
        <f>D31*F31</f>
        <v>0</v>
      </c>
      <c r="R31" s="352" t="e">
        <f t="shared" si="18"/>
        <v>#VALUE!</v>
      </c>
      <c r="S31" s="385"/>
      <c r="T31" s="347"/>
      <c r="U31" s="346"/>
      <c r="V31" s="347"/>
      <c r="W31" s="17"/>
    </row>
    <row r="32" spans="1:24" x14ac:dyDescent="0.25">
      <c r="A32" s="18"/>
      <c r="B32" s="378" t="s">
        <v>44</v>
      </c>
      <c r="C32" s="379" t="s">
        <v>45</v>
      </c>
      <c r="D32" s="350">
        <f>B_TP_Kalkulation!L37</f>
        <v>0</v>
      </c>
      <c r="E32" s="340" t="e">
        <f t="shared" si="12"/>
        <v>#VALUE!</v>
      </c>
      <c r="F32" s="340">
        <v>1</v>
      </c>
      <c r="G32" s="351" t="e">
        <f t="shared" si="13"/>
        <v>#VALUE!</v>
      </c>
      <c r="H32" s="352" t="e">
        <f t="shared" si="7"/>
        <v>#VALUE!</v>
      </c>
      <c r="I32" s="369" t="e">
        <f t="shared" si="14"/>
        <v>#VALUE!</v>
      </c>
      <c r="J32" s="352" t="e">
        <f t="shared" si="8"/>
        <v>#VALUE!</v>
      </c>
      <c r="K32" s="351" t="e">
        <f t="shared" si="15"/>
        <v>#VALUE!</v>
      </c>
      <c r="L32" s="352" t="e">
        <f t="shared" si="9"/>
        <v>#VALUE!</v>
      </c>
      <c r="M32" s="351" t="e">
        <f t="shared" si="16"/>
        <v>#VALUE!</v>
      </c>
      <c r="N32" s="352" t="e">
        <f t="shared" si="10"/>
        <v>#VALUE!</v>
      </c>
      <c r="O32" s="351" t="e">
        <f t="shared" si="17"/>
        <v>#VALUE!</v>
      </c>
      <c r="P32" s="352" t="e">
        <f>O32/$P$11</f>
        <v>#VALUE!</v>
      </c>
      <c r="Q32" s="382"/>
      <c r="R32" s="361"/>
      <c r="S32" s="346"/>
      <c r="T32" s="347"/>
      <c r="U32" s="346"/>
      <c r="V32" s="347"/>
      <c r="W32" s="17"/>
    </row>
    <row r="33" spans="1:25" x14ac:dyDescent="0.25">
      <c r="A33" s="18"/>
      <c r="B33" s="386" t="s">
        <v>46</v>
      </c>
      <c r="C33" s="379" t="s">
        <v>47</v>
      </c>
      <c r="D33" s="350">
        <f>B_TP_Kalkulation!L38</f>
        <v>0</v>
      </c>
      <c r="E33" s="340" t="e">
        <f t="shared" si="12"/>
        <v>#VALUE!</v>
      </c>
      <c r="F33" s="340">
        <v>0.5</v>
      </c>
      <c r="G33" s="351" t="e">
        <f t="shared" si="13"/>
        <v>#VALUE!</v>
      </c>
      <c r="H33" s="352" t="e">
        <f t="shared" si="7"/>
        <v>#VALUE!</v>
      </c>
      <c r="I33" s="369" t="e">
        <f t="shared" si="14"/>
        <v>#VALUE!</v>
      </c>
      <c r="J33" s="352" t="e">
        <f t="shared" si="8"/>
        <v>#VALUE!</v>
      </c>
      <c r="K33" s="351" t="e">
        <f t="shared" si="15"/>
        <v>#VALUE!</v>
      </c>
      <c r="L33" s="352" t="e">
        <f t="shared" si="9"/>
        <v>#VALUE!</v>
      </c>
      <c r="M33" s="351" t="e">
        <f t="shared" si="16"/>
        <v>#VALUE!</v>
      </c>
      <c r="N33" s="352" t="e">
        <f t="shared" si="10"/>
        <v>#VALUE!</v>
      </c>
      <c r="O33" s="351" t="e">
        <f t="shared" si="17"/>
        <v>#VALUE!</v>
      </c>
      <c r="P33" s="352" t="e">
        <f t="shared" si="11"/>
        <v>#VALUE!</v>
      </c>
      <c r="Q33" s="351">
        <f>D33*F33</f>
        <v>0</v>
      </c>
      <c r="R33" s="352" t="e">
        <f t="shared" si="18"/>
        <v>#VALUE!</v>
      </c>
      <c r="S33" s="385"/>
      <c r="T33" s="347"/>
      <c r="U33" s="346"/>
      <c r="V33" s="347"/>
      <c r="W33" s="17"/>
    </row>
    <row r="34" spans="1:25" x14ac:dyDescent="0.25">
      <c r="A34" s="18"/>
      <c r="B34" s="386" t="s">
        <v>48</v>
      </c>
      <c r="C34" s="379" t="s">
        <v>288</v>
      </c>
      <c r="D34" s="350">
        <f>B_TP_Kalkulation!L39</f>
        <v>0</v>
      </c>
      <c r="E34" s="340" t="e">
        <f t="shared" si="12"/>
        <v>#VALUE!</v>
      </c>
      <c r="F34" s="340">
        <v>0.5</v>
      </c>
      <c r="G34" s="351" t="e">
        <f t="shared" si="13"/>
        <v>#VALUE!</v>
      </c>
      <c r="H34" s="352" t="e">
        <f t="shared" si="7"/>
        <v>#VALUE!</v>
      </c>
      <c r="I34" s="369" t="e">
        <f t="shared" si="14"/>
        <v>#VALUE!</v>
      </c>
      <c r="J34" s="352" t="e">
        <f t="shared" si="8"/>
        <v>#VALUE!</v>
      </c>
      <c r="K34" s="351" t="e">
        <f t="shared" si="15"/>
        <v>#VALUE!</v>
      </c>
      <c r="L34" s="352" t="e">
        <f t="shared" si="9"/>
        <v>#VALUE!</v>
      </c>
      <c r="M34" s="351" t="e">
        <f t="shared" si="16"/>
        <v>#VALUE!</v>
      </c>
      <c r="N34" s="352" t="e">
        <f t="shared" si="10"/>
        <v>#VALUE!</v>
      </c>
      <c r="O34" s="351" t="e">
        <f t="shared" si="17"/>
        <v>#VALUE!</v>
      </c>
      <c r="P34" s="352" t="e">
        <f t="shared" si="11"/>
        <v>#VALUE!</v>
      </c>
      <c r="Q34" s="351">
        <f>D34*F34</f>
        <v>0</v>
      </c>
      <c r="R34" s="352" t="e">
        <f t="shared" si="18"/>
        <v>#VALUE!</v>
      </c>
      <c r="S34" s="385"/>
      <c r="T34" s="347"/>
      <c r="U34" s="346"/>
      <c r="V34" s="347"/>
      <c r="W34" s="17"/>
    </row>
    <row r="35" spans="1:25" x14ac:dyDescent="0.25">
      <c r="A35" s="18"/>
      <c r="B35" s="386" t="s">
        <v>50</v>
      </c>
      <c r="C35" s="387" t="s">
        <v>289</v>
      </c>
      <c r="D35" s="350">
        <f>B_TP_Kalkulation!L40</f>
        <v>0</v>
      </c>
      <c r="E35" s="340" t="e">
        <f t="shared" si="12"/>
        <v>#VALUE!</v>
      </c>
      <c r="F35" s="340">
        <v>0.5</v>
      </c>
      <c r="G35" s="351" t="e">
        <f t="shared" si="13"/>
        <v>#VALUE!</v>
      </c>
      <c r="H35" s="352" t="e">
        <f>G35/$H$11</f>
        <v>#VALUE!</v>
      </c>
      <c r="I35" s="369" t="e">
        <f t="shared" si="14"/>
        <v>#VALUE!</v>
      </c>
      <c r="J35" s="352" t="e">
        <f t="shared" si="8"/>
        <v>#VALUE!</v>
      </c>
      <c r="K35" s="351" t="e">
        <f t="shared" si="15"/>
        <v>#VALUE!</v>
      </c>
      <c r="L35" s="352" t="e">
        <f t="shared" si="9"/>
        <v>#VALUE!</v>
      </c>
      <c r="M35" s="351" t="e">
        <f t="shared" si="16"/>
        <v>#VALUE!</v>
      </c>
      <c r="N35" s="352" t="e">
        <f t="shared" si="10"/>
        <v>#VALUE!</v>
      </c>
      <c r="O35" s="351" t="e">
        <f t="shared" si="17"/>
        <v>#VALUE!</v>
      </c>
      <c r="P35" s="352" t="e">
        <f t="shared" si="11"/>
        <v>#VALUE!</v>
      </c>
      <c r="Q35" s="351">
        <f>D35*F35</f>
        <v>0</v>
      </c>
      <c r="R35" s="352" t="e">
        <f t="shared" si="18"/>
        <v>#VALUE!</v>
      </c>
      <c r="S35" s="385"/>
      <c r="T35" s="347"/>
      <c r="U35" s="346"/>
      <c r="V35" s="347"/>
      <c r="W35" s="17"/>
    </row>
    <row r="36" spans="1:25" x14ac:dyDescent="0.25">
      <c r="A36" s="18"/>
      <c r="B36" s="386" t="s">
        <v>52</v>
      </c>
      <c r="C36" s="379" t="s">
        <v>290</v>
      </c>
      <c r="D36" s="350">
        <f>B_TP_Kalkulation!L41</f>
        <v>0</v>
      </c>
      <c r="E36" s="340" t="e">
        <f t="shared" si="12"/>
        <v>#VALUE!</v>
      </c>
      <c r="F36" s="340">
        <v>0.5</v>
      </c>
      <c r="G36" s="351" t="e">
        <f t="shared" si="13"/>
        <v>#VALUE!</v>
      </c>
      <c r="H36" s="352" t="e">
        <f>G36/$H$11</f>
        <v>#VALUE!</v>
      </c>
      <c r="I36" s="369" t="e">
        <f t="shared" si="14"/>
        <v>#VALUE!</v>
      </c>
      <c r="J36" s="352" t="e">
        <f t="shared" si="8"/>
        <v>#VALUE!</v>
      </c>
      <c r="K36" s="351" t="e">
        <f t="shared" si="15"/>
        <v>#VALUE!</v>
      </c>
      <c r="L36" s="352" t="e">
        <f t="shared" si="9"/>
        <v>#VALUE!</v>
      </c>
      <c r="M36" s="351" t="e">
        <f t="shared" si="16"/>
        <v>#VALUE!</v>
      </c>
      <c r="N36" s="352" t="e">
        <f t="shared" si="10"/>
        <v>#VALUE!</v>
      </c>
      <c r="O36" s="351" t="e">
        <f t="shared" si="17"/>
        <v>#VALUE!</v>
      </c>
      <c r="P36" s="352" t="e">
        <f t="shared" si="11"/>
        <v>#VALUE!</v>
      </c>
      <c r="Q36" s="351">
        <f>D36*F36</f>
        <v>0</v>
      </c>
      <c r="R36" s="352" t="e">
        <f t="shared" si="18"/>
        <v>#VALUE!</v>
      </c>
      <c r="S36" s="385"/>
      <c r="T36" s="347"/>
      <c r="U36" s="346"/>
      <c r="V36" s="347"/>
      <c r="W36" s="17"/>
    </row>
    <row r="37" spans="1:25" x14ac:dyDescent="0.25">
      <c r="A37" s="18"/>
      <c r="D37" s="374"/>
      <c r="E37" s="375"/>
      <c r="F37" s="375"/>
      <c r="G37" s="362"/>
      <c r="H37" s="347"/>
      <c r="I37" s="362"/>
      <c r="J37" s="347"/>
      <c r="K37" s="362"/>
      <c r="L37" s="388"/>
      <c r="M37" s="362"/>
      <c r="N37" s="388"/>
      <c r="O37" s="362"/>
      <c r="P37" s="388"/>
      <c r="Q37" s="362"/>
      <c r="R37" s="347"/>
      <c r="S37" s="346"/>
      <c r="T37" s="347"/>
      <c r="U37" s="346"/>
      <c r="V37" s="347"/>
      <c r="W37" s="17"/>
    </row>
    <row r="38" spans="1:25" x14ac:dyDescent="0.25">
      <c r="A38" s="18"/>
      <c r="B38" s="389" t="s">
        <v>93</v>
      </c>
      <c r="C38" s="390" t="s">
        <v>94</v>
      </c>
      <c r="D38" s="338">
        <f t="shared" ref="D38:Q38" si="19">SUM(D39:D45)</f>
        <v>0</v>
      </c>
      <c r="E38" s="340" t="e">
        <f>SUM(E39:E45)</f>
        <v>#VALUE!</v>
      </c>
      <c r="F38" s="340"/>
      <c r="G38" s="341" t="e">
        <f t="shared" si="19"/>
        <v>#VALUE!</v>
      </c>
      <c r="H38" s="342" t="e">
        <f t="shared" si="19"/>
        <v>#VALUE!</v>
      </c>
      <c r="I38" s="343" t="e">
        <f t="shared" si="19"/>
        <v>#VALUE!</v>
      </c>
      <c r="J38" s="342" t="e">
        <f t="shared" si="19"/>
        <v>#VALUE!</v>
      </c>
      <c r="K38" s="341" t="e">
        <f t="shared" si="19"/>
        <v>#VALUE!</v>
      </c>
      <c r="L38" s="342" t="e">
        <f t="shared" si="19"/>
        <v>#VALUE!</v>
      </c>
      <c r="M38" s="341" t="e">
        <f t="shared" ref="M38:P38" si="20">SUM(M39:M45)</f>
        <v>#VALUE!</v>
      </c>
      <c r="N38" s="342" t="e">
        <f t="shared" si="20"/>
        <v>#VALUE!</v>
      </c>
      <c r="O38" s="341" t="e">
        <f t="shared" si="20"/>
        <v>#VALUE!</v>
      </c>
      <c r="P38" s="342" t="e">
        <f t="shared" si="20"/>
        <v>#VALUE!</v>
      </c>
      <c r="Q38" s="344">
        <f t="shared" si="19"/>
        <v>0</v>
      </c>
      <c r="R38" s="345" t="e">
        <f>SUM(R39:R45)</f>
        <v>#VALUE!</v>
      </c>
      <c r="S38" s="346"/>
      <c r="T38" s="347"/>
      <c r="U38" s="346"/>
      <c r="V38" s="347"/>
      <c r="W38" s="17"/>
    </row>
    <row r="39" spans="1:25" x14ac:dyDescent="0.25">
      <c r="A39" s="18"/>
      <c r="B39" s="391" t="str">
        <f>B_TP_Kalkulation!H45</f>
        <v>3.1.</v>
      </c>
      <c r="C39" s="392" t="s">
        <v>291</v>
      </c>
      <c r="D39" s="350">
        <f>B_TP_Kalkulation!L45</f>
        <v>0</v>
      </c>
      <c r="E39" s="340" t="e">
        <f t="shared" ref="E39:E45" si="21">G39+I39+K39+M39+O39+Q39</f>
        <v>#VALUE!</v>
      </c>
      <c r="F39" s="340">
        <v>0.5</v>
      </c>
      <c r="G39" s="351" t="e">
        <f>D39*F39/$N$6*$H$11</f>
        <v>#VALUE!</v>
      </c>
      <c r="H39" s="352" t="e">
        <f t="shared" ref="H39:H45" si="22">G39/$H$11</f>
        <v>#VALUE!</v>
      </c>
      <c r="I39" s="369" t="e">
        <f>D39*F39/$N$6*$J$11</f>
        <v>#VALUE!</v>
      </c>
      <c r="J39" s="352" t="e">
        <f t="shared" ref="J39:J45" si="23">I39/$J$11</f>
        <v>#VALUE!</v>
      </c>
      <c r="K39" s="351" t="e">
        <f>D39*F39/$N$6*$L$11</f>
        <v>#VALUE!</v>
      </c>
      <c r="L39" s="352" t="e">
        <f t="shared" ref="L39:L45" si="24">K39/$L$11</f>
        <v>#VALUE!</v>
      </c>
      <c r="M39" s="351" t="e">
        <f>D39*F39/$N$6*$N$11</f>
        <v>#VALUE!</v>
      </c>
      <c r="N39" s="352" t="e">
        <f t="shared" ref="N39:N45" si="25">M39/$N$11</f>
        <v>#VALUE!</v>
      </c>
      <c r="O39" s="351" t="e">
        <f>D39*F39/$N$6*$P$11</f>
        <v>#VALUE!</v>
      </c>
      <c r="P39" s="352" t="e">
        <f t="shared" ref="P39:P45" si="26">O39/$P$11</f>
        <v>#VALUE!</v>
      </c>
      <c r="Q39" s="351">
        <f>D39*F39</f>
        <v>0</v>
      </c>
      <c r="R39" s="352" t="e">
        <f>Q39/$N$6</f>
        <v>#VALUE!</v>
      </c>
      <c r="S39" s="51"/>
      <c r="T39" s="393"/>
      <c r="U39" s="394"/>
      <c r="V39" s="393"/>
      <c r="W39" s="17"/>
      <c r="X39" s="260" t="s">
        <v>281</v>
      </c>
      <c r="Y39" s="260" t="s">
        <v>280</v>
      </c>
    </row>
    <row r="40" spans="1:25" x14ac:dyDescent="0.25">
      <c r="A40" s="18"/>
      <c r="B40" s="391" t="str">
        <f>B_TP_Kalkulation!H46</f>
        <v>3.2.</v>
      </c>
      <c r="C40" s="395" t="str">
        <f>B_TP_Kalkulation!I46</f>
        <v>Wäscherei</v>
      </c>
      <c r="D40" s="350">
        <f>B_TP_Kalkulation!L46</f>
        <v>0</v>
      </c>
      <c r="E40" s="340" t="e">
        <f t="shared" si="21"/>
        <v>#VALUE!</v>
      </c>
      <c r="F40" s="340">
        <v>0.5</v>
      </c>
      <c r="G40" s="351" t="e">
        <f t="shared" ref="G40:G45" si="27">D40*F40/$N$6*$H$11</f>
        <v>#VALUE!</v>
      </c>
      <c r="H40" s="352" t="e">
        <f t="shared" si="22"/>
        <v>#VALUE!</v>
      </c>
      <c r="I40" s="369" t="e">
        <f t="shared" ref="I40:I45" si="28">D40*F40/$N$6*$J$11</f>
        <v>#VALUE!</v>
      </c>
      <c r="J40" s="352" t="e">
        <f t="shared" si="23"/>
        <v>#VALUE!</v>
      </c>
      <c r="K40" s="351" t="e">
        <f t="shared" ref="K40:K45" si="29">D40*F40/$N$6*$L$11</f>
        <v>#VALUE!</v>
      </c>
      <c r="L40" s="352" t="e">
        <f t="shared" si="24"/>
        <v>#VALUE!</v>
      </c>
      <c r="M40" s="351" t="e">
        <f t="shared" ref="M40:M45" si="30">D40*F40/$N$6*$N$11</f>
        <v>#VALUE!</v>
      </c>
      <c r="N40" s="352" t="e">
        <f t="shared" si="25"/>
        <v>#VALUE!</v>
      </c>
      <c r="O40" s="351" t="e">
        <f t="shared" ref="O40:O45" si="31">D40*F40/$N$6*$P$11</f>
        <v>#VALUE!</v>
      </c>
      <c r="P40" s="352" t="e">
        <f t="shared" si="26"/>
        <v>#VALUE!</v>
      </c>
      <c r="Q40" s="351">
        <f t="shared" ref="Q40:Q45" si="32">D40*F40</f>
        <v>0</v>
      </c>
      <c r="R40" s="352" t="e">
        <f t="shared" ref="R40:R45" si="33">Q40/$N$6</f>
        <v>#VALUE!</v>
      </c>
      <c r="S40" s="396"/>
      <c r="T40" s="393"/>
      <c r="U40" s="394"/>
      <c r="V40" s="393"/>
      <c r="W40" s="397"/>
      <c r="X40" s="260" t="s">
        <v>282</v>
      </c>
      <c r="Y40" s="260" t="s">
        <v>283</v>
      </c>
    </row>
    <row r="41" spans="1:25" x14ac:dyDescent="0.25">
      <c r="A41" s="18"/>
      <c r="B41" s="391" t="str">
        <f>B_TP_Kalkulation!H47</f>
        <v>3.3.</v>
      </c>
      <c r="C41" s="395" t="str">
        <f>B_TP_Kalkulation!I47</f>
        <v>Reinigung</v>
      </c>
      <c r="D41" s="707">
        <f>B_TP_Kalkulation!L47</f>
        <v>0</v>
      </c>
      <c r="E41" s="340" t="e">
        <f>G41+I41+K41+M41+O41+Q41</f>
        <v>#VALUE!</v>
      </c>
      <c r="F41" s="340">
        <v>0.5</v>
      </c>
      <c r="G41" s="351" t="e">
        <f t="shared" si="27"/>
        <v>#VALUE!</v>
      </c>
      <c r="H41" s="352" t="e">
        <f t="shared" si="22"/>
        <v>#VALUE!</v>
      </c>
      <c r="I41" s="369" t="e">
        <f t="shared" si="28"/>
        <v>#VALUE!</v>
      </c>
      <c r="J41" s="352" t="e">
        <f t="shared" si="23"/>
        <v>#VALUE!</v>
      </c>
      <c r="K41" s="351" t="e">
        <f t="shared" si="29"/>
        <v>#VALUE!</v>
      </c>
      <c r="L41" s="352" t="e">
        <f t="shared" si="24"/>
        <v>#VALUE!</v>
      </c>
      <c r="M41" s="351" t="e">
        <f t="shared" si="30"/>
        <v>#VALUE!</v>
      </c>
      <c r="N41" s="352" t="e">
        <f t="shared" si="25"/>
        <v>#VALUE!</v>
      </c>
      <c r="O41" s="351" t="e">
        <f t="shared" si="31"/>
        <v>#VALUE!</v>
      </c>
      <c r="P41" s="352" t="e">
        <f t="shared" si="26"/>
        <v>#VALUE!</v>
      </c>
      <c r="Q41" s="351">
        <f t="shared" si="32"/>
        <v>0</v>
      </c>
      <c r="R41" s="352" t="e">
        <f t="shared" si="33"/>
        <v>#VALUE!</v>
      </c>
      <c r="S41" s="396"/>
      <c r="T41" s="393"/>
      <c r="U41" s="394"/>
      <c r="V41" s="393"/>
      <c r="W41" s="17"/>
    </row>
    <row r="42" spans="1:25" x14ac:dyDescent="0.25">
      <c r="A42" s="18"/>
      <c r="B42" s="391" t="str">
        <f>B_TP_Kalkulation!H48</f>
        <v>3.4.</v>
      </c>
      <c r="C42" s="395" t="str">
        <f>B_TP_Kalkulation!I48</f>
        <v>Verwaltung</v>
      </c>
      <c r="D42" s="350">
        <f>B_TP_Kalkulation!L48</f>
        <v>0</v>
      </c>
      <c r="E42" s="340" t="e">
        <f t="shared" si="21"/>
        <v>#VALUE!</v>
      </c>
      <c r="F42" s="340">
        <v>0.5</v>
      </c>
      <c r="G42" s="351" t="e">
        <f t="shared" si="27"/>
        <v>#VALUE!</v>
      </c>
      <c r="H42" s="352" t="e">
        <f t="shared" si="22"/>
        <v>#VALUE!</v>
      </c>
      <c r="I42" s="369" t="e">
        <f t="shared" si="28"/>
        <v>#VALUE!</v>
      </c>
      <c r="J42" s="352" t="e">
        <f t="shared" si="23"/>
        <v>#VALUE!</v>
      </c>
      <c r="K42" s="351" t="e">
        <f t="shared" si="29"/>
        <v>#VALUE!</v>
      </c>
      <c r="L42" s="352" t="e">
        <f t="shared" si="24"/>
        <v>#VALUE!</v>
      </c>
      <c r="M42" s="351" t="e">
        <f t="shared" si="30"/>
        <v>#VALUE!</v>
      </c>
      <c r="N42" s="352" t="e">
        <f t="shared" si="25"/>
        <v>#VALUE!</v>
      </c>
      <c r="O42" s="351" t="e">
        <f t="shared" si="31"/>
        <v>#VALUE!</v>
      </c>
      <c r="P42" s="352" t="e">
        <f t="shared" si="26"/>
        <v>#VALUE!</v>
      </c>
      <c r="Q42" s="351">
        <f t="shared" si="32"/>
        <v>0</v>
      </c>
      <c r="R42" s="352" t="e">
        <f t="shared" si="33"/>
        <v>#VALUE!</v>
      </c>
      <c r="S42" s="398"/>
      <c r="T42" s="399"/>
      <c r="U42" s="400"/>
      <c r="V42" s="399"/>
      <c r="W42" s="17"/>
      <c r="X42" s="262" t="s">
        <v>284</v>
      </c>
    </row>
    <row r="43" spans="1:25" x14ac:dyDescent="0.25">
      <c r="A43" s="18"/>
      <c r="B43" s="391" t="str">
        <f>B_TP_Kalkulation!H49</f>
        <v>3.5.</v>
      </c>
      <c r="C43" s="395" t="str">
        <f>B_TP_Kalkulation!I49</f>
        <v>Haustechnik</v>
      </c>
      <c r="D43" s="350">
        <f>B_TP_Kalkulation!L49</f>
        <v>0</v>
      </c>
      <c r="E43" s="340" t="e">
        <f t="shared" si="21"/>
        <v>#VALUE!</v>
      </c>
      <c r="F43" s="340">
        <v>0.5</v>
      </c>
      <c r="G43" s="351" t="e">
        <f t="shared" si="27"/>
        <v>#VALUE!</v>
      </c>
      <c r="H43" s="352" t="e">
        <f t="shared" si="22"/>
        <v>#VALUE!</v>
      </c>
      <c r="I43" s="369" t="e">
        <f t="shared" si="28"/>
        <v>#VALUE!</v>
      </c>
      <c r="J43" s="352" t="e">
        <f t="shared" si="23"/>
        <v>#VALUE!</v>
      </c>
      <c r="K43" s="351" t="e">
        <f t="shared" si="29"/>
        <v>#VALUE!</v>
      </c>
      <c r="L43" s="352" t="e">
        <f t="shared" si="24"/>
        <v>#VALUE!</v>
      </c>
      <c r="M43" s="351" t="e">
        <f t="shared" si="30"/>
        <v>#VALUE!</v>
      </c>
      <c r="N43" s="352" t="e">
        <f t="shared" si="25"/>
        <v>#VALUE!</v>
      </c>
      <c r="O43" s="351" t="e">
        <f t="shared" si="31"/>
        <v>#VALUE!</v>
      </c>
      <c r="P43" s="352" t="e">
        <f t="shared" si="26"/>
        <v>#VALUE!</v>
      </c>
      <c r="Q43" s="351">
        <f t="shared" si="32"/>
        <v>0</v>
      </c>
      <c r="R43" s="352" t="e">
        <f t="shared" si="33"/>
        <v>#VALUE!</v>
      </c>
      <c r="S43" s="346"/>
      <c r="T43" s="347"/>
      <c r="U43" s="346"/>
      <c r="V43" s="347"/>
      <c r="W43" s="17"/>
    </row>
    <row r="44" spans="1:25" x14ac:dyDescent="0.25">
      <c r="A44" s="18"/>
      <c r="B44" s="391" t="str">
        <f>B_TP_Kalkulation!H50</f>
        <v>3.6.</v>
      </c>
      <c r="C44" s="395" t="str">
        <f>B_TP_Kalkulation!I50</f>
        <v/>
      </c>
      <c r="D44" s="350">
        <f>B_TP_Kalkulation!L50</f>
        <v>0</v>
      </c>
      <c r="E44" s="340" t="e">
        <f t="shared" si="21"/>
        <v>#VALUE!</v>
      </c>
      <c r="F44" s="340">
        <v>0.5</v>
      </c>
      <c r="G44" s="351" t="e">
        <f t="shared" si="27"/>
        <v>#VALUE!</v>
      </c>
      <c r="H44" s="352" t="e">
        <f t="shared" si="22"/>
        <v>#VALUE!</v>
      </c>
      <c r="I44" s="369" t="e">
        <f t="shared" si="28"/>
        <v>#VALUE!</v>
      </c>
      <c r="J44" s="352" t="e">
        <f t="shared" si="23"/>
        <v>#VALUE!</v>
      </c>
      <c r="K44" s="351" t="e">
        <f t="shared" si="29"/>
        <v>#VALUE!</v>
      </c>
      <c r="L44" s="352" t="e">
        <f t="shared" si="24"/>
        <v>#VALUE!</v>
      </c>
      <c r="M44" s="351" t="e">
        <f t="shared" si="30"/>
        <v>#VALUE!</v>
      </c>
      <c r="N44" s="352" t="e">
        <f t="shared" si="25"/>
        <v>#VALUE!</v>
      </c>
      <c r="O44" s="351" t="e">
        <f t="shared" si="31"/>
        <v>#VALUE!</v>
      </c>
      <c r="P44" s="352" t="e">
        <f t="shared" si="26"/>
        <v>#VALUE!</v>
      </c>
      <c r="Q44" s="351">
        <f t="shared" si="32"/>
        <v>0</v>
      </c>
      <c r="R44" s="352" t="e">
        <f t="shared" si="33"/>
        <v>#VALUE!</v>
      </c>
      <c r="S44" s="346"/>
      <c r="T44" s="347"/>
      <c r="U44" s="346"/>
      <c r="V44" s="347"/>
      <c r="W44" s="17"/>
      <c r="X44" s="258" t="s">
        <v>308</v>
      </c>
    </row>
    <row r="45" spans="1:25" x14ac:dyDescent="0.25">
      <c r="A45" s="18"/>
      <c r="B45" s="391" t="str">
        <f>B_TP_Kalkulation!H51</f>
        <v>3.7.</v>
      </c>
      <c r="C45" s="395" t="str">
        <f>B_TP_Kalkulation!I51</f>
        <v/>
      </c>
      <c r="D45" s="350">
        <f>B_TP_Kalkulation!L51</f>
        <v>0</v>
      </c>
      <c r="E45" s="340" t="e">
        <f t="shared" si="21"/>
        <v>#VALUE!</v>
      </c>
      <c r="F45" s="340">
        <v>0.5</v>
      </c>
      <c r="G45" s="351" t="e">
        <f t="shared" si="27"/>
        <v>#VALUE!</v>
      </c>
      <c r="H45" s="352" t="e">
        <f t="shared" si="22"/>
        <v>#VALUE!</v>
      </c>
      <c r="I45" s="369" t="e">
        <f t="shared" si="28"/>
        <v>#VALUE!</v>
      </c>
      <c r="J45" s="352" t="e">
        <f t="shared" si="23"/>
        <v>#VALUE!</v>
      </c>
      <c r="K45" s="351" t="e">
        <f t="shared" si="29"/>
        <v>#VALUE!</v>
      </c>
      <c r="L45" s="352" t="e">
        <f t="shared" si="24"/>
        <v>#VALUE!</v>
      </c>
      <c r="M45" s="351" t="e">
        <f t="shared" si="30"/>
        <v>#VALUE!</v>
      </c>
      <c r="N45" s="352" t="e">
        <f t="shared" si="25"/>
        <v>#VALUE!</v>
      </c>
      <c r="O45" s="351" t="e">
        <f t="shared" si="31"/>
        <v>#VALUE!</v>
      </c>
      <c r="P45" s="352" t="e">
        <f t="shared" si="26"/>
        <v>#VALUE!</v>
      </c>
      <c r="Q45" s="351">
        <f t="shared" si="32"/>
        <v>0</v>
      </c>
      <c r="R45" s="352" t="e">
        <f t="shared" si="33"/>
        <v>#VALUE!</v>
      </c>
      <c r="S45" s="346"/>
      <c r="T45" s="347"/>
      <c r="U45" s="346"/>
      <c r="V45" s="347"/>
      <c r="W45" s="17"/>
      <c r="X45" s="263" t="s">
        <v>309</v>
      </c>
    </row>
    <row r="46" spans="1:25" x14ac:dyDescent="0.25">
      <c r="A46" s="18"/>
      <c r="D46" s="401"/>
      <c r="E46" s="346"/>
      <c r="F46" s="346"/>
      <c r="G46" s="402"/>
      <c r="H46" s="403"/>
      <c r="I46" s="404"/>
      <c r="J46" s="403"/>
      <c r="K46" s="405"/>
      <c r="L46" s="406"/>
      <c r="M46" s="402"/>
      <c r="N46" s="406"/>
      <c r="O46" s="402"/>
      <c r="P46" s="406"/>
      <c r="Q46" s="362"/>
      <c r="R46" s="347"/>
      <c r="S46" s="346"/>
      <c r="T46" s="347"/>
      <c r="U46" s="346"/>
      <c r="V46" s="347"/>
      <c r="W46" s="17"/>
      <c r="X46" s="263" t="s">
        <v>310</v>
      </c>
    </row>
    <row r="47" spans="1:25" x14ac:dyDescent="0.25">
      <c r="A47" s="18"/>
      <c r="B47" s="407"/>
      <c r="C47" s="336" t="str">
        <f>IF('B_TP_Allgemeine Angaben'!D7&lt;&gt;"vst","errechnete Aufwendungen:","errechnete Aufwendungen nach Pflegegrad 2 bis 5:")</f>
        <v>errechnete Aufwendungen:</v>
      </c>
      <c r="D47" s="350">
        <f>I47+K47+M47+O47</f>
        <v>0</v>
      </c>
      <c r="E47" s="340" t="e">
        <f>D38+D26+D16-Q16-Q26-Q38-S26-G47</f>
        <v>#VALUE!</v>
      </c>
      <c r="F47" s="340"/>
      <c r="G47" s="408" t="e">
        <f>H47*H11</f>
        <v>#VALUE!</v>
      </c>
      <c r="H47" s="409">
        <f>IF(B_TP_Kalkulation!H14=0,ROUND(B_TP_Gesamtkalkulation!J51*0.78,2),ROUND((B_TP_Gesamtkalkulation!H16+B_TP_Gesamtkalkulation!H26+B_TP_Gesamtkalkulation!H38),2))</f>
        <v>0</v>
      </c>
      <c r="I47" s="410">
        <f>IFERROR(J47*J11,0)</f>
        <v>0</v>
      </c>
      <c r="J47" s="411" t="str">
        <f>IF(ISERROR(J38+J26+J16),"",(J38+J26+J16))</f>
        <v/>
      </c>
      <c r="K47" s="410">
        <f>IFERROR(L47*L11,0)</f>
        <v>0</v>
      </c>
      <c r="L47" s="411" t="str">
        <f>IF(ISERROR(L38+L26+L16),"",((L38+L26+L16)))</f>
        <v/>
      </c>
      <c r="M47" s="410">
        <f>IFERROR(N47*N11,0)</f>
        <v>0</v>
      </c>
      <c r="N47" s="411" t="str">
        <f>IF(ISERROR(N38+N26+N16),"",(N38+N26+N16))</f>
        <v/>
      </c>
      <c r="O47" s="410">
        <f>IFERROR(P47*P11,0)</f>
        <v>0</v>
      </c>
      <c r="P47" s="411" t="str">
        <f>IF(ISERROR(P38+P26+P16),"",(P38+P26+P16))</f>
        <v/>
      </c>
      <c r="Q47" s="412"/>
      <c r="R47" s="347"/>
      <c r="S47" s="413"/>
      <c r="T47" s="347"/>
      <c r="U47" s="346"/>
      <c r="V47" s="347"/>
      <c r="W47" s="17"/>
      <c r="X47" s="372" t="s">
        <v>311</v>
      </c>
    </row>
    <row r="48" spans="1:25" x14ac:dyDescent="0.25">
      <c r="A48" s="18"/>
      <c r="B48" s="407"/>
      <c r="C48" s="336" t="s">
        <v>95</v>
      </c>
      <c r="D48" s="350" t="str">
        <f>IF('B_TP_Allgemeine Angaben'!D7="vst",(((J12*J10)+(L12*L10)+(N12*N10)+(P12*P10))*12)*$L$6/100,"")</f>
        <v/>
      </c>
      <c r="E48" s="340" t="str">
        <f>IF('B_TP_Allgemeine Angaben'!D7="vst",I48+K48+M48+O48,"")</f>
        <v/>
      </c>
      <c r="F48" s="340"/>
      <c r="G48" s="351"/>
      <c r="H48" s="352"/>
      <c r="I48" s="410" t="str">
        <f>IF('B_TP_Allgemeine Angaben'!D7="vst",J12/($P$6)*J11,"")</f>
        <v/>
      </c>
      <c r="J48" s="411" t="str">
        <f>IF('B_TP_Allgemeine Angaben'!D7="vst",I48/J11,"")</f>
        <v/>
      </c>
      <c r="K48" s="410" t="str">
        <f>IF('B_TP_Allgemeine Angaben'!D7="vst",L12/($P$6)*L11,"")</f>
        <v/>
      </c>
      <c r="L48" s="411" t="str">
        <f>IF('B_TP_Allgemeine Angaben'!D7="vst",K48/L11,"")</f>
        <v/>
      </c>
      <c r="M48" s="410" t="str">
        <f>IF('B_TP_Allgemeine Angaben'!D7="vst",N12/($P$6)*N11,"")</f>
        <v/>
      </c>
      <c r="N48" s="411" t="str">
        <f>IF('B_TP_Allgemeine Angaben'!D7="vst",M48/N11,"")</f>
        <v/>
      </c>
      <c r="O48" s="410" t="str">
        <f>IF('B_TP_Allgemeine Angaben'!D7="vst",P12/($P$6)*P11,"")</f>
        <v/>
      </c>
      <c r="P48" s="411" t="str">
        <f>IF('B_TP_Allgemeine Angaben'!D7="vst",O48/P11,"")</f>
        <v/>
      </c>
      <c r="Q48" s="412"/>
      <c r="R48" s="347"/>
      <c r="S48" s="413"/>
      <c r="T48" s="414"/>
      <c r="U48" s="415"/>
      <c r="V48" s="414"/>
      <c r="W48" s="17"/>
      <c r="X48" s="416"/>
    </row>
    <row r="49" spans="1:25" x14ac:dyDescent="0.25">
      <c r="A49" s="18"/>
      <c r="B49" s="407"/>
      <c r="C49" s="336" t="s">
        <v>96</v>
      </c>
      <c r="D49" s="350" t="str">
        <f>IF('B_TP_Allgemeine Angaben'!D7="vst",D47-D48,"")</f>
        <v/>
      </c>
      <c r="E49" s="340" t="str">
        <f>IF('B_TP_Allgemeine Angaben'!D7="vst",I49+K49+M49+O49,"")</f>
        <v/>
      </c>
      <c r="F49" s="340"/>
      <c r="G49" s="351"/>
      <c r="H49" s="352"/>
      <c r="I49" s="410" t="str">
        <f>IF('B_TP_Allgemeine Angaben'!D7="vst",(I47-I48),"")</f>
        <v/>
      </c>
      <c r="J49" s="411" t="str">
        <f>IF('B_TP_Allgemeine Angaben'!$D$7="vst",ROUND($D$49/eeadivisor,2),"")</f>
        <v/>
      </c>
      <c r="K49" s="410" t="str">
        <f>IF('B_TP_Allgemeine Angaben'!D7="vst",(K47-K48),"")</f>
        <v/>
      </c>
      <c r="L49" s="411" t="str">
        <f>IF('B_TP_Allgemeine Angaben'!$D$7="vst",ROUND($D$49/eeadivisor,2),"")</f>
        <v/>
      </c>
      <c r="M49" s="410" t="str">
        <f>IF('B_TP_Allgemeine Angaben'!D7="vst",(M47-M48),"")</f>
        <v/>
      </c>
      <c r="N49" s="411" t="str">
        <f>IF('B_TP_Allgemeine Angaben'!$D$7="vst",ROUND($D$49/eeadivisor,2),"")</f>
        <v/>
      </c>
      <c r="O49" s="410" t="str">
        <f>IF('B_TP_Allgemeine Angaben'!D7="vst",(O47-O48),"")</f>
        <v/>
      </c>
      <c r="P49" s="411" t="str">
        <f>IF('B_TP_Allgemeine Angaben'!$D$7="vst",ROUND($D$49/eeadivisor,2),"")</f>
        <v/>
      </c>
      <c r="Q49" s="412"/>
      <c r="R49" s="417" t="s">
        <v>100</v>
      </c>
      <c r="S49" s="413"/>
      <c r="T49" s="414"/>
      <c r="U49" s="415"/>
      <c r="V49" s="414"/>
      <c r="W49" s="17"/>
    </row>
    <row r="50" spans="1:25" ht="14.4" thickBot="1" x14ac:dyDescent="0.3">
      <c r="A50" s="18"/>
      <c r="G50" s="313"/>
      <c r="H50" s="418"/>
      <c r="I50" s="419"/>
      <c r="J50" s="420"/>
      <c r="K50" s="419"/>
      <c r="L50" s="420"/>
      <c r="M50" s="419"/>
      <c r="N50" s="420"/>
      <c r="O50" s="419"/>
      <c r="P50" s="420"/>
      <c r="Q50" s="419"/>
      <c r="S50" s="309"/>
      <c r="T50" s="418"/>
      <c r="U50" s="419"/>
      <c r="V50" s="418"/>
      <c r="W50" s="17"/>
    </row>
    <row r="51" spans="1:25" ht="14.4" thickBot="1" x14ac:dyDescent="0.3">
      <c r="A51" s="18"/>
      <c r="D51" s="421" t="s">
        <v>97</v>
      </c>
      <c r="F51" s="317"/>
      <c r="G51" s="421" t="s">
        <v>61</v>
      </c>
      <c r="H51" s="422">
        <f>IF(ISERROR(H47),"",H47)</f>
        <v>0</v>
      </c>
      <c r="I51" s="421" t="s">
        <v>62</v>
      </c>
      <c r="J51" s="422">
        <f>IF('B_TP_Allgemeine Angaben'!D7="vst",ROUND(J12/$P$6+J49,2),IF('B_TP_Allgemeine Angaben'!D7&lt;&gt;"vst",KAT!H32))</f>
        <v>0</v>
      </c>
      <c r="K51" s="421" t="s">
        <v>63</v>
      </c>
      <c r="L51" s="422">
        <f>IF('B_TP_Allgemeine Angaben'!D7="vst",ROUND(L12/$P$6+L49,2),IF('B_TP_Allgemeine Angaben'!D7&lt;&gt;"vst",KAT!H33))</f>
        <v>0</v>
      </c>
      <c r="M51" s="421" t="s">
        <v>64</v>
      </c>
      <c r="N51" s="422">
        <f>IF('B_TP_Allgemeine Angaben'!D7="vst",ROUND(N12/$P$6+N49,2),IF('B_TP_Allgemeine Angaben'!D7&lt;&gt;"vst",KAT!H34))</f>
        <v>0</v>
      </c>
      <c r="O51" s="421" t="s">
        <v>65</v>
      </c>
      <c r="P51" s="422">
        <f>IF('B_TP_Allgemeine Angaben'!D7="vst",ROUND(P12/$P$6+P49,2),IF('B_TP_Allgemeine Angaben'!D7&lt;&gt;"vst",KAT!H35))</f>
        <v>0</v>
      </c>
      <c r="Q51" s="421" t="s">
        <v>98</v>
      </c>
      <c r="R51" s="422" t="e">
        <f>ROUND(R38+R26+R16,2)</f>
        <v>#VALUE!</v>
      </c>
      <c r="S51" s="423" t="s">
        <v>99</v>
      </c>
      <c r="T51" s="422" t="e">
        <f>ROUND(T26,2)</f>
        <v>#VALUE!</v>
      </c>
      <c r="U51" s="424" t="s">
        <v>124</v>
      </c>
      <c r="V51" s="422" t="e">
        <f>IF('B_TP_Allgemeine Angaben'!D7="vst",V19-0.03,V19)</f>
        <v>#VALUE!</v>
      </c>
      <c r="W51" s="17"/>
      <c r="X51" s="278"/>
      <c r="Y51" s="266" t="s">
        <v>214</v>
      </c>
    </row>
    <row r="52" spans="1:25" ht="15.75" customHeight="1" x14ac:dyDescent="0.25">
      <c r="A52" s="18"/>
      <c r="D52" s="421"/>
      <c r="E52" s="418"/>
      <c r="F52" s="418"/>
      <c r="G52" s="55"/>
      <c r="H52" s="418"/>
      <c r="I52" s="305"/>
      <c r="J52" s="305"/>
      <c r="K52" s="305"/>
      <c r="L52" s="305"/>
      <c r="M52" s="305"/>
      <c r="N52" s="418"/>
      <c r="O52" s="418"/>
      <c r="P52" s="418"/>
      <c r="Q52" s="418"/>
      <c r="R52" s="418"/>
      <c r="S52" s="418"/>
      <c r="T52" s="418"/>
      <c r="U52" s="418"/>
      <c r="V52" s="418"/>
      <c r="W52" s="17"/>
      <c r="X52" s="327"/>
      <c r="Y52" s="425" t="s">
        <v>213</v>
      </c>
    </row>
    <row r="53" spans="1:25" x14ac:dyDescent="0.25">
      <c r="A53" s="18"/>
      <c r="B53" s="426" t="str">
        <f>IF('B_TP_Allgemeine Angaben'!L48&gt;0,"errechnete Pflegesätze (Tag je Platz) für angebundene / integrierte KZP:","")</f>
        <v/>
      </c>
      <c r="G53" s="421" t="str">
        <f>IF('B_TP_Allgemeine Angaben'!$L$48&gt;0,B_TP_Gesamtkalkulation!G51,"")</f>
        <v/>
      </c>
      <c r="H53" s="427"/>
      <c r="I53" s="421"/>
      <c r="J53" s="427"/>
      <c r="K53" s="421"/>
      <c r="L53" s="427"/>
      <c r="M53" s="421"/>
      <c r="N53" s="427"/>
      <c r="O53" s="421"/>
      <c r="P53" s="427"/>
      <c r="Q53" s="421"/>
      <c r="R53" s="427"/>
      <c r="S53" s="421"/>
      <c r="T53" s="427"/>
      <c r="V53" s="427"/>
      <c r="W53" s="17"/>
      <c r="Y53" s="425" t="s">
        <v>210</v>
      </c>
    </row>
    <row r="54" spans="1:25" x14ac:dyDescent="0.25">
      <c r="A54" s="136"/>
      <c r="B54" s="56"/>
      <c r="C54" s="428"/>
      <c r="D54" s="56"/>
      <c r="E54" s="56"/>
      <c r="F54" s="56"/>
      <c r="G54" s="429"/>
      <c r="H54" s="56"/>
      <c r="I54" s="429"/>
      <c r="J54" s="56"/>
      <c r="K54" s="429"/>
      <c r="L54" s="288"/>
      <c r="M54" s="429"/>
      <c r="N54" s="288"/>
      <c r="O54" s="429"/>
      <c r="P54" s="288"/>
      <c r="Q54" s="429"/>
      <c r="R54" s="56"/>
      <c r="S54" s="429"/>
      <c r="T54" s="56"/>
      <c r="U54" s="56"/>
      <c r="V54" s="56"/>
      <c r="W54" s="137"/>
      <c r="Y54" s="425" t="s">
        <v>211</v>
      </c>
    </row>
    <row r="55" spans="1:25" x14ac:dyDescent="0.25">
      <c r="C55" s="189"/>
      <c r="G55" s="421"/>
      <c r="I55" s="421"/>
      <c r="K55" s="421"/>
      <c r="L55" s="273"/>
      <c r="M55" s="421"/>
      <c r="N55" s="273"/>
      <c r="O55" s="421"/>
      <c r="P55" s="273"/>
      <c r="Q55" s="421"/>
      <c r="S55" s="421"/>
      <c r="Y55" s="425" t="s">
        <v>212</v>
      </c>
    </row>
    <row r="56" spans="1:25" ht="14.4" customHeight="1" x14ac:dyDescent="0.25">
      <c r="X56" s="430"/>
    </row>
    <row r="57" spans="1:25" x14ac:dyDescent="0.25">
      <c r="X57" s="364" t="s">
        <v>313</v>
      </c>
    </row>
    <row r="58" spans="1:25" hidden="1" x14ac:dyDescent="0.25">
      <c r="H58" s="431" t="s">
        <v>220</v>
      </c>
    </row>
    <row r="59" spans="1:25" x14ac:dyDescent="0.25">
      <c r="X59" s="364"/>
    </row>
  </sheetData>
  <sheetProtection algorithmName="SHA-512" hashValue="WGa1ToQIzIx+yKrZpyDqbLThtEHbqZ8aAUUdbRCtCLPRVvb5Cs2il0CLFiza+bPCsNhrHNmgH731GNbk6jyyhg==" saltValue="5XG47Et6ePZ6luPOkLELCw==" spinCount="100000" sheet="1" selectLockedCells="1"/>
  <mergeCells count="4">
    <mergeCell ref="A1:W1"/>
    <mergeCell ref="A2:W2"/>
    <mergeCell ref="A3:W3"/>
    <mergeCell ref="A4:W4"/>
  </mergeCells>
  <conditionalFormatting sqref="D24:D36">
    <cfRule type="cellIs" dxfId="29" priority="52" operator="between">
      <formula>0</formula>
      <formula>0</formula>
    </cfRule>
  </conditionalFormatting>
  <conditionalFormatting sqref="D38:D45">
    <cfRule type="cellIs" dxfId="28" priority="51" operator="between">
      <formula>0</formula>
      <formula>0</formula>
    </cfRule>
  </conditionalFormatting>
  <conditionalFormatting sqref="D47">
    <cfRule type="cellIs" dxfId="27" priority="58" operator="between">
      <formula>0</formula>
      <formula>0</formula>
    </cfRule>
  </conditionalFormatting>
  <conditionalFormatting sqref="D16:W52">
    <cfRule type="containsErrors" dxfId="26" priority="70">
      <formula>ISERROR(D16)</formula>
    </cfRule>
  </conditionalFormatting>
  <conditionalFormatting sqref="G53:G55">
    <cfRule type="containsErrors" dxfId="25" priority="49">
      <formula>ISERROR(G53)</formula>
    </cfRule>
  </conditionalFormatting>
  <conditionalFormatting sqref="H47">
    <cfRule type="expression" dxfId="24" priority="59">
      <formula>$I$47=0</formula>
    </cfRule>
  </conditionalFormatting>
  <conditionalFormatting sqref="H10:P10">
    <cfRule type="cellIs" dxfId="22" priority="56" operator="between">
      <formula>0</formula>
      <formula>0</formula>
    </cfRule>
  </conditionalFormatting>
  <conditionalFormatting sqref="I53:I55">
    <cfRule type="containsErrors" dxfId="21" priority="43">
      <formula>ISERROR(I53)</formula>
    </cfRule>
  </conditionalFormatting>
  <conditionalFormatting sqref="K53:K55">
    <cfRule type="containsErrors" dxfId="19" priority="48">
      <formula>ISERROR(K53)</formula>
    </cfRule>
  </conditionalFormatting>
  <conditionalFormatting sqref="L51">
    <cfRule type="containsText" dxfId="18" priority="55" operator="containsText" text="FALSCH">
      <formula>NOT(ISERROR(SEARCH("FALSCH",L51)))</formula>
    </cfRule>
  </conditionalFormatting>
  <conditionalFormatting sqref="M53:M55">
    <cfRule type="containsErrors" dxfId="16" priority="47">
      <formula>ISERROR(M53)</formula>
    </cfRule>
  </conditionalFormatting>
  <conditionalFormatting sqref="N6">
    <cfRule type="cellIs" dxfId="15" priority="57" operator="between">
      <formula>0</formula>
      <formula>0</formula>
    </cfRule>
  </conditionalFormatting>
  <conditionalFormatting sqref="N51">
    <cfRule type="containsText" dxfId="14" priority="11" operator="containsText" text="FALSCH">
      <formula>NOT(ISERROR(SEARCH("FALSCH",N51)))</formula>
    </cfRule>
  </conditionalFormatting>
  <conditionalFormatting sqref="O53:O55">
    <cfRule type="containsErrors" dxfId="12" priority="46">
      <formula>ISERROR(O53)</formula>
    </cfRule>
  </conditionalFormatting>
  <conditionalFormatting sqref="P51">
    <cfRule type="containsText" dxfId="11" priority="9" operator="containsText" text="FALSCH">
      <formula>NOT(ISERROR(SEARCH("FALSCH",P51)))</formula>
    </cfRule>
  </conditionalFormatting>
  <conditionalFormatting sqref="Q53:Q55">
    <cfRule type="containsErrors" dxfId="9" priority="45">
      <formula>ISERROR(Q53)</formula>
    </cfRule>
  </conditionalFormatting>
  <conditionalFormatting sqref="R51">
    <cfRule type="containsText" dxfId="7" priority="6" operator="containsText" text="FALSCH">
      <formula>NOT(ISERROR(SEARCH("FALSCH",R51)))</formula>
    </cfRule>
  </conditionalFormatting>
  <conditionalFormatting sqref="S53:S55">
    <cfRule type="containsErrors" dxfId="5" priority="44">
      <formula>ISERROR(S53)</formula>
    </cfRule>
  </conditionalFormatting>
  <conditionalFormatting sqref="T51">
    <cfRule type="containsText" dxfId="4" priority="3" operator="containsText" text="FALSCH">
      <formula>NOT(ISERROR(SEARCH("FALSCH",T51)))</formula>
    </cfRule>
  </conditionalFormatting>
  <conditionalFormatting sqref="Y52:Y55">
    <cfRule type="containsErrors" dxfId="1" priority="14">
      <formula>ISERROR(Y52)</formula>
    </cfRule>
  </conditionalFormatting>
  <pageMargins left="0.70866141732283472" right="0.70866141732283472" top="0.78740157480314965" bottom="0.78740157480314965" header="0.31496062992125984" footer="0.31496062992125984"/>
  <pageSetup paperSize="9" scale="64" orientation="landscape"/>
  <headerFooter>
    <oddHeader>&amp;C&amp;9&amp;A</oddHeader>
    <oddFooter>&amp;L&amp;8Version: 21.10.2026&amp;C&amp;8Verhandlungsunterlagen SGB XI (vereinfacht B_TP)&amp;R&amp;8PSK-Beschluss vom 08.10.2026</oddFooter>
  </headerFooter>
  <ignoredErrors>
    <ignoredError sqref="H16:V34 H42:R46 H47:I49 M47:M49 O47:R49 R51:V51 H37:V41 I36:V36 I35:V35 H35:H36" evalError="1"/>
    <ignoredError sqref="J47:L49 N47:N49" evalError="1" formula="1"/>
  </ignoredErrors>
  <legacyDrawing r:id="rId1"/>
  <extLst>
    <ext xmlns:x14="http://schemas.microsoft.com/office/spreadsheetml/2009/9/main" uri="{78C0D931-6437-407d-A8EE-F0AAD7539E65}">
      <x14:conditionalFormattings>
        <x14:conditionalFormatting xmlns:xm="http://schemas.microsoft.com/office/excel/2006/main">
          <x14:cfRule type="expression" priority="62" id="{074122E9-B25B-47E2-9727-2EAB10277E85}">
            <xm:f>'B_TP_Allgemeine Angaben'!$D$7="kzp"</xm:f>
            <x14:dxf>
              <font>
                <color theme="0"/>
              </font>
              <fill>
                <patternFill>
                  <fgColor theme="0"/>
                  <bgColor theme="0"/>
                </patternFill>
              </fill>
              <border>
                <left/>
                <right/>
                <bottom/>
                <vertical/>
                <horizontal/>
              </border>
            </x14:dxf>
          </x14:cfRule>
          <x14:cfRule type="expression" priority="65" id="{B76BB2F1-06D1-44A0-8EA3-3294A0622347}">
            <xm:f>'B_TP_Allgemeine Angaben'!$D$7="tst"</xm:f>
            <x14:dxf>
              <font>
                <color theme="0"/>
              </font>
              <fill>
                <patternFill>
                  <bgColor theme="0"/>
                </patternFill>
              </fill>
              <border>
                <left/>
                <right/>
                <bottom/>
                <vertical/>
                <horizontal/>
              </border>
            </x14:dxf>
          </x14:cfRule>
          <xm:sqref>C12:P12 B48:P48 B49:R49</xm:sqref>
        </x14:conditionalFormatting>
        <x14:conditionalFormatting xmlns:xm="http://schemas.microsoft.com/office/excel/2006/main">
          <x14:cfRule type="expression" priority="13" id="{BA52BD0A-4FDD-4579-858B-44C3A2B68CC7}">
            <xm:f>'B_TP_Allgemeine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H53</xm:sqref>
        </x14:conditionalFormatting>
        <x14:conditionalFormatting xmlns:xm="http://schemas.microsoft.com/office/excel/2006/main">
          <x14:cfRule type="expression" priority="12" id="{233FCF2A-E80E-4840-96BA-A419F5030BC6}">
            <xm:f>'B_TP_Allgemeine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J53</xm:sqref>
        </x14:conditionalFormatting>
        <x14:conditionalFormatting xmlns:xm="http://schemas.microsoft.com/office/excel/2006/main">
          <x14:cfRule type="expression" priority="15" id="{9331D945-CFC1-4957-A25C-808E88B3E5B7}">
            <xm:f>'B_TP_Allgemeine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L53</xm:sqref>
        </x14:conditionalFormatting>
        <x14:conditionalFormatting xmlns:xm="http://schemas.microsoft.com/office/excel/2006/main">
          <x14:cfRule type="expression" priority="20" id="{17A60CE8-74DF-42F0-A6AA-A3A7CFB5AAD0}">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N53</xm:sqref>
        </x14:conditionalFormatting>
        <x14:conditionalFormatting xmlns:xm="http://schemas.microsoft.com/office/excel/2006/main">
          <x14:cfRule type="expression" priority="19" id="{740B77BE-7129-4761-ADE8-D1AFE7D12FC4}">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P53</xm:sqref>
        </x14:conditionalFormatting>
        <x14:conditionalFormatting xmlns:xm="http://schemas.microsoft.com/office/excel/2006/main">
          <x14:cfRule type="expression" priority="66" id="{0566DA16-5EBC-4792-A482-DB323D7D639D}">
            <xm:f>'B_TP_Allgemeine Angaben'!$D$7="kzp"</xm:f>
            <x14:dxf>
              <font>
                <color theme="0"/>
              </font>
            </x14:dxf>
          </x14:cfRule>
          <xm:sqref>R49</xm:sqref>
        </x14:conditionalFormatting>
        <x14:conditionalFormatting xmlns:xm="http://schemas.microsoft.com/office/excel/2006/main">
          <x14:cfRule type="expression" priority="18" id="{30F6EB2A-7C14-4981-B0F8-BC6A1F2D2F71}">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R53</xm:sqref>
        </x14:conditionalFormatting>
        <x14:conditionalFormatting xmlns:xm="http://schemas.microsoft.com/office/excel/2006/main">
          <x14:cfRule type="expression" priority="17" id="{D95CADF1-7908-4F25-A6C6-114B81B4FEC0}">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T53</xm:sqref>
        </x14:conditionalFormatting>
        <x14:conditionalFormatting xmlns:xm="http://schemas.microsoft.com/office/excel/2006/main">
          <x14:cfRule type="expression" priority="16" id="{3A214EB9-4696-48AF-9F62-C67D35E58EAF}">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V53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2"/>
  <sheetViews>
    <sheetView showGridLines="0" topLeftCell="A10" zoomScaleNormal="100" workbookViewId="0">
      <selection activeCell="B11" sqref="B11:D11"/>
    </sheetView>
  </sheetViews>
  <sheetFormatPr baseColWidth="10" defaultRowHeight="13.8" x14ac:dyDescent="0.25"/>
  <cols>
    <col min="1" max="1" width="1.5" customWidth="1"/>
    <col min="2" max="2" width="24.09765625" customWidth="1"/>
    <col min="3" max="12" width="13.59765625" customWidth="1"/>
    <col min="13" max="13" width="1.59765625" customWidth="1"/>
  </cols>
  <sheetData>
    <row r="1" spans="1:13" x14ac:dyDescent="0.25">
      <c r="A1" s="1069" t="str">
        <f>'B_TP_Allgemeine Angaben'!A1</f>
        <v>Vereinfachtes Verfahren der Aufforderung zum Abschluss einer Pflegesatzvereinbarung 
gemäß § 84, 85 SGB XI - teilstationäre Pflegeeinrichtungen</v>
      </c>
      <c r="B1" s="1070"/>
      <c r="C1" s="1070"/>
      <c r="D1" s="1070"/>
      <c r="E1" s="1070"/>
      <c r="F1" s="1070"/>
      <c r="G1" s="1070"/>
      <c r="H1" s="1070"/>
      <c r="I1" s="1070"/>
      <c r="J1" s="1070"/>
      <c r="K1" s="1070"/>
      <c r="L1" s="1070"/>
      <c r="M1" s="519"/>
    </row>
    <row r="2" spans="1:13" x14ac:dyDescent="0.25">
      <c r="A2" s="1071" t="s">
        <v>424</v>
      </c>
      <c r="B2" s="1006"/>
      <c r="C2" s="1006"/>
      <c r="D2" s="1006"/>
      <c r="E2" s="1006"/>
      <c r="F2" s="1006"/>
      <c r="G2" s="1006"/>
      <c r="H2" s="1006"/>
      <c r="I2" s="1006"/>
      <c r="J2" s="1006"/>
      <c r="K2" s="1006"/>
      <c r="L2" s="1006"/>
      <c r="M2" s="217"/>
    </row>
    <row r="3" spans="1:13" x14ac:dyDescent="0.25">
      <c r="A3" s="520"/>
      <c r="B3" s="197" t="s">
        <v>425</v>
      </c>
      <c r="C3" s="197" t="s">
        <v>426</v>
      </c>
      <c r="D3" s="197"/>
      <c r="E3" s="197"/>
      <c r="F3" s="197"/>
      <c r="G3" s="197"/>
      <c r="H3" s="197"/>
      <c r="I3" s="197"/>
      <c r="J3" s="197"/>
      <c r="K3" s="197"/>
      <c r="L3" s="197"/>
      <c r="M3" s="217"/>
    </row>
    <row r="4" spans="1:13" x14ac:dyDescent="0.25">
      <c r="A4" s="244"/>
      <c r="B4" s="216"/>
      <c r="C4" s="216"/>
      <c r="D4" s="216"/>
      <c r="E4" s="216"/>
      <c r="F4" s="216"/>
      <c r="G4" s="216"/>
      <c r="H4" s="216"/>
      <c r="I4" s="216"/>
      <c r="J4" s="216"/>
      <c r="K4" s="216"/>
      <c r="L4" s="216"/>
      <c r="M4" s="217"/>
    </row>
    <row r="5" spans="1:13" s="514" customFormat="1" ht="13.2" x14ac:dyDescent="0.25">
      <c r="A5" s="521"/>
      <c r="B5" s="1072" t="s">
        <v>114</v>
      </c>
      <c r="C5" s="1072"/>
      <c r="D5" s="1072"/>
      <c r="E5" s="516"/>
      <c r="F5" s="516" t="s">
        <v>428</v>
      </c>
      <c r="G5" s="1073" t="str">
        <f>IF('B_TP_Allgemeine Angaben'!D6:D6&gt;0,'B_TP_Allgemeine Angaben'!D6:D6,"")</f>
        <v>teilstationäre Pflege</v>
      </c>
      <c r="H5" s="1073"/>
      <c r="I5" s="1073"/>
      <c r="J5" s="516"/>
      <c r="K5" s="516"/>
      <c r="L5" s="516"/>
      <c r="M5" s="522"/>
    </row>
    <row r="6" spans="1:13" s="514" customFormat="1" ht="13.2" x14ac:dyDescent="0.25">
      <c r="A6" s="521"/>
      <c r="B6" s="1068" t="str">
        <f>IF('B_TP_Allgemeine Angaben'!D12&gt;0,'B_TP_Allgemeine Angaben'!D12,"")</f>
        <v/>
      </c>
      <c r="C6" s="1068"/>
      <c r="D6" s="1068"/>
      <c r="E6" s="516"/>
      <c r="F6" s="516" t="s">
        <v>429</v>
      </c>
      <c r="G6" s="1068" t="str">
        <f>IF('B_TP_Allgemeine Angaben'!D18:D18&gt;0,'B_TP_Allgemeine Angaben'!D18:D18,"")</f>
        <v/>
      </c>
      <c r="H6" s="1068"/>
      <c r="I6" s="1068"/>
      <c r="J6" s="516"/>
      <c r="K6" s="516"/>
      <c r="L6" s="516"/>
      <c r="M6" s="522"/>
    </row>
    <row r="7" spans="1:13" s="514" customFormat="1" ht="13.2" x14ac:dyDescent="0.25">
      <c r="A7" s="521"/>
      <c r="B7" s="1068" t="str">
        <f>IF('B_TP_Allgemeine Angaben'!D14&gt;0,'B_TP_Allgemeine Angaben'!D14,"")</f>
        <v/>
      </c>
      <c r="C7" s="1068"/>
      <c r="D7" s="1068"/>
      <c r="E7" s="516"/>
      <c r="F7" s="516" t="s">
        <v>430</v>
      </c>
      <c r="G7" s="1068" t="str">
        <f>IF('B_TP_Allgemeine Angaben'!J18:J18&gt;0,'B_TP_Allgemeine Angaben'!J18:J18,"")</f>
        <v/>
      </c>
      <c r="H7" s="1068"/>
      <c r="I7" s="1068"/>
      <c r="J7" s="516"/>
      <c r="K7" s="516"/>
      <c r="L7" s="516"/>
      <c r="M7" s="522"/>
    </row>
    <row r="8" spans="1:13" s="514" customFormat="1" ht="13.2" x14ac:dyDescent="0.25">
      <c r="A8" s="521"/>
      <c r="B8" s="1068" t="str">
        <f>IF('B_TP_Allgemeine Angaben'!D16&gt;0,'B_TP_Allgemeine Angaben'!D16,"")</f>
        <v/>
      </c>
      <c r="C8" s="1068"/>
      <c r="D8" s="1068"/>
      <c r="E8" s="516"/>
      <c r="F8" s="516" t="s">
        <v>431</v>
      </c>
      <c r="G8" s="1068" t="str">
        <f>IF('B_TP_Allgemeine Angaben'!D20:D20&gt;0,'B_TP_Allgemeine Angaben'!D20:D20,"")</f>
        <v/>
      </c>
      <c r="H8" s="1068"/>
      <c r="I8" s="1068"/>
      <c r="J8" s="516"/>
      <c r="K8" s="516"/>
      <c r="L8" s="516"/>
      <c r="M8" s="522"/>
    </row>
    <row r="9" spans="1:13" s="514" customFormat="1" ht="13.2" x14ac:dyDescent="0.25">
      <c r="A9" s="521"/>
      <c r="B9" s="514" t="s">
        <v>432</v>
      </c>
      <c r="C9" s="523">
        <f>'B_TP_Allgemeine Angaben'!L6:L6</f>
        <v>0</v>
      </c>
      <c r="D9" s="524"/>
      <c r="E9" s="516"/>
      <c r="F9" s="516"/>
      <c r="G9" s="516"/>
      <c r="H9" s="516"/>
      <c r="I9" s="516"/>
      <c r="J9" s="516"/>
      <c r="K9" s="516"/>
      <c r="L9" s="516"/>
      <c r="M9" s="522"/>
    </row>
    <row r="10" spans="1:13" s="514" customFormat="1" ht="13.2" x14ac:dyDescent="0.25">
      <c r="A10" s="521"/>
      <c r="B10" s="1072" t="s">
        <v>427</v>
      </c>
      <c r="C10" s="1072"/>
      <c r="D10" s="1072"/>
      <c r="E10" s="516"/>
      <c r="F10" s="516"/>
      <c r="G10" s="516"/>
      <c r="H10" s="516"/>
      <c r="I10" s="516"/>
      <c r="J10" s="516"/>
      <c r="K10" s="516"/>
      <c r="L10" s="516"/>
      <c r="M10" s="522"/>
    </row>
    <row r="11" spans="1:13" s="514" customFormat="1" ht="13.2" x14ac:dyDescent="0.25">
      <c r="A11" s="521"/>
      <c r="B11" s="1068" t="str">
        <f>IF('B_TP_Allgemeine Angaben'!D26:D26&gt;0,'B_TP_Allgemeine Angaben'!D26:D26,"")</f>
        <v/>
      </c>
      <c r="C11" s="1068"/>
      <c r="D11" s="1068"/>
      <c r="E11" s="516"/>
      <c r="F11" s="516" t="s">
        <v>429</v>
      </c>
      <c r="G11" s="1068" t="str">
        <f>IF('B_TP_Allgemeine Angaben'!D32:D32&gt;0,'B_TP_Allgemeine Angaben'!D32:D32,"")</f>
        <v/>
      </c>
      <c r="H11" s="1068"/>
      <c r="I11" s="1068"/>
      <c r="J11" s="516"/>
      <c r="K11" s="516"/>
      <c r="L11" s="516"/>
      <c r="M11" s="522"/>
    </row>
    <row r="12" spans="1:13" s="514" customFormat="1" ht="13.2" x14ac:dyDescent="0.25">
      <c r="A12" s="521"/>
      <c r="B12" s="1068" t="str">
        <f>IF('B_TP_Allgemeine Angaben'!D28:D28&gt;0,'B_TP_Allgemeine Angaben'!D28:D28,"")</f>
        <v/>
      </c>
      <c r="C12" s="1068"/>
      <c r="D12" s="1068"/>
      <c r="E12" s="516"/>
      <c r="F12" s="516" t="s">
        <v>430</v>
      </c>
      <c r="G12" s="1068" t="str">
        <f>IF('B_TP_Allgemeine Angaben'!J32:J32&gt;0,'B_TP_Allgemeine Angaben'!J32:J32,"")</f>
        <v/>
      </c>
      <c r="H12" s="1068"/>
      <c r="I12" s="1068"/>
      <c r="J12" s="516"/>
      <c r="K12" s="516"/>
      <c r="L12" s="516"/>
      <c r="M12" s="522"/>
    </row>
    <row r="13" spans="1:13" s="514" customFormat="1" ht="13.2" x14ac:dyDescent="0.25">
      <c r="A13" s="521"/>
      <c r="B13" s="1068" t="str">
        <f>IF('B_TP_Allgemeine Angaben'!D30:D30&gt;0,'B_TP_Allgemeine Angaben'!D30:D30,"")</f>
        <v/>
      </c>
      <c r="C13" s="1068"/>
      <c r="D13" s="1068"/>
      <c r="E13" s="516"/>
      <c r="F13" s="516" t="s">
        <v>431</v>
      </c>
      <c r="G13" s="1068" t="str">
        <f>IF('B_TP_Allgemeine Angaben'!D34:D34&gt;0,'B_TP_Allgemeine Angaben'!D34:D34,"")</f>
        <v/>
      </c>
      <c r="H13" s="1068"/>
      <c r="I13" s="1068"/>
      <c r="J13" s="516"/>
      <c r="K13" s="516"/>
      <c r="L13" s="516"/>
      <c r="M13" s="522"/>
    </row>
    <row r="14" spans="1:13" s="514" customFormat="1" ht="13.2" x14ac:dyDescent="0.25">
      <c r="A14" s="521"/>
      <c r="B14" s="516"/>
      <c r="C14" s="516"/>
      <c r="D14" s="516"/>
      <c r="E14" s="516"/>
      <c r="F14" s="516"/>
      <c r="G14" s="516"/>
      <c r="H14" s="516"/>
      <c r="I14" s="516"/>
      <c r="J14" s="516"/>
      <c r="K14" s="516"/>
      <c r="L14" s="516"/>
      <c r="M14" s="522"/>
    </row>
    <row r="15" spans="1:13" s="514" customFormat="1" ht="13.2" x14ac:dyDescent="0.25">
      <c r="A15" s="521"/>
      <c r="B15" s="563" t="s">
        <v>433</v>
      </c>
      <c r="C15" s="525"/>
      <c r="D15" s="525"/>
      <c r="E15" s="526" t="s">
        <v>434</v>
      </c>
      <c r="F15" s="527" t="str">
        <f>IF('B_TP_Allgemeine Angaben'!H52&gt;0,'B_TP_Allgemeine Angaben'!H52,"")</f>
        <v/>
      </c>
      <c r="G15" s="526" t="s">
        <v>18</v>
      </c>
      <c r="H15" s="527" t="str">
        <f>IF('B_TP_Allgemeine Angaben'!K52&gt;0,'B_TP_Allgemeine Angaben'!K52,"")</f>
        <v/>
      </c>
      <c r="I15" s="517"/>
      <c r="J15" s="516"/>
      <c r="K15" s="516"/>
      <c r="L15" s="516"/>
      <c r="M15" s="522"/>
    </row>
    <row r="16" spans="1:13" x14ac:dyDescent="0.25">
      <c r="A16" s="244"/>
      <c r="B16" s="216"/>
      <c r="C16" s="216"/>
      <c r="D16" s="216"/>
      <c r="E16" s="216"/>
      <c r="F16" s="216"/>
      <c r="G16" s="216"/>
      <c r="H16" s="216"/>
      <c r="I16" s="216"/>
      <c r="J16" s="216"/>
      <c r="K16" s="216"/>
      <c r="L16" s="216"/>
      <c r="M16" s="217"/>
    </row>
    <row r="17" spans="1:13" s="514" customFormat="1" ht="13.2" x14ac:dyDescent="0.25">
      <c r="A17" s="521"/>
      <c r="B17" s="528" t="s">
        <v>435</v>
      </c>
      <c r="C17" s="529" t="s">
        <v>436</v>
      </c>
      <c r="D17" s="529" t="s">
        <v>437</v>
      </c>
      <c r="E17" s="529" t="s">
        <v>438</v>
      </c>
      <c r="F17" s="529" t="s">
        <v>439</v>
      </c>
      <c r="G17" s="530" t="s">
        <v>440</v>
      </c>
      <c r="H17" s="531"/>
      <c r="I17" s="516"/>
      <c r="J17" s="516"/>
      <c r="K17" s="516"/>
      <c r="L17" s="516"/>
      <c r="M17" s="522"/>
    </row>
    <row r="18" spans="1:13" x14ac:dyDescent="0.25">
      <c r="A18" s="244"/>
      <c r="B18" s="532" t="s">
        <v>441</v>
      </c>
      <c r="C18" s="532">
        <f>B_TP_Kalkulation!H14</f>
        <v>0</v>
      </c>
      <c r="D18" s="532">
        <f>B_TP_Kalkulation!I14</f>
        <v>0</v>
      </c>
      <c r="E18" s="532">
        <f>B_TP_Kalkulation!J14</f>
        <v>0</v>
      </c>
      <c r="F18" s="532">
        <f>B_TP_Kalkulation!K14</f>
        <v>0</v>
      </c>
      <c r="G18" s="532">
        <f>B_TP_Kalkulation!L14</f>
        <v>0</v>
      </c>
      <c r="H18" s="531"/>
      <c r="J18" s="216"/>
      <c r="K18" s="216"/>
      <c r="L18" s="216"/>
      <c r="M18" s="217"/>
    </row>
    <row r="19" spans="1:13" x14ac:dyDescent="0.25">
      <c r="A19" s="244"/>
      <c r="B19" s="216"/>
      <c r="C19" s="216"/>
      <c r="D19" s="216"/>
      <c r="E19" s="216"/>
      <c r="F19" s="216"/>
      <c r="G19" s="216"/>
      <c r="H19" s="216"/>
      <c r="I19" s="216"/>
      <c r="J19" s="216"/>
      <c r="K19" s="216"/>
      <c r="L19" s="216"/>
      <c r="M19" s="217"/>
    </row>
    <row r="20" spans="1:13" x14ac:dyDescent="0.25">
      <c r="A20" s="244"/>
      <c r="B20" s="216"/>
      <c r="C20" s="216"/>
      <c r="D20" s="216"/>
      <c r="E20" s="216"/>
      <c r="F20" s="216"/>
      <c r="G20" s="216"/>
      <c r="H20" s="216"/>
      <c r="I20" s="216"/>
      <c r="J20" s="216"/>
      <c r="K20" s="216"/>
      <c r="L20" s="216"/>
      <c r="M20" s="217"/>
    </row>
    <row r="21" spans="1:13" s="514" customFormat="1" ht="13.2" x14ac:dyDescent="0.25">
      <c r="A21" s="521"/>
      <c r="B21" s="533" t="s">
        <v>442</v>
      </c>
      <c r="C21" s="534"/>
      <c r="D21" s="534"/>
      <c r="E21" s="534"/>
      <c r="F21" s="534"/>
      <c r="G21" s="534"/>
      <c r="H21" s="535"/>
      <c r="J21" s="516"/>
      <c r="K21" s="516"/>
      <c r="L21" s="516"/>
      <c r="M21" s="522"/>
    </row>
    <row r="22" spans="1:13" s="516" customFormat="1" ht="13.2" x14ac:dyDescent="0.25">
      <c r="A22" s="521"/>
      <c r="B22" s="536" t="s">
        <v>443</v>
      </c>
      <c r="C22" s="536" t="s">
        <v>436</v>
      </c>
      <c r="D22" s="536" t="s">
        <v>437</v>
      </c>
      <c r="E22" s="536" t="s">
        <v>438</v>
      </c>
      <c r="F22" s="536" t="s">
        <v>439</v>
      </c>
      <c r="G22" s="536" t="s">
        <v>440</v>
      </c>
      <c r="H22" s="536" t="s">
        <v>444</v>
      </c>
      <c r="M22" s="522"/>
    </row>
    <row r="23" spans="1:13" s="516" customFormat="1" ht="12.75" customHeight="1" x14ac:dyDescent="0.25">
      <c r="A23" s="521"/>
      <c r="B23" s="532" t="s">
        <v>441</v>
      </c>
      <c r="C23" s="537">
        <f>B_TP_Kalkulation!I17</f>
        <v>0</v>
      </c>
      <c r="D23" s="537">
        <f>B_TP_Kalkulation!I18</f>
        <v>0</v>
      </c>
      <c r="E23" s="537">
        <f>B_TP_Kalkulation!I19</f>
        <v>0</v>
      </c>
      <c r="F23" s="537">
        <f>B_TP_Kalkulation!I20</f>
        <v>0</v>
      </c>
      <c r="G23" s="537">
        <f>B_TP_Kalkulation!I21</f>
        <v>0</v>
      </c>
      <c r="H23" s="538">
        <f>B_TP_Kalkulation!I22</f>
        <v>0</v>
      </c>
      <c r="M23" s="522"/>
    </row>
    <row r="24" spans="1:13" x14ac:dyDescent="0.25">
      <c r="A24" s="244"/>
      <c r="B24" s="216"/>
      <c r="C24" s="216"/>
      <c r="D24" s="216"/>
      <c r="E24" s="216"/>
      <c r="F24" s="216"/>
      <c r="G24" s="216"/>
      <c r="H24" s="216"/>
      <c r="I24" s="216"/>
      <c r="J24" s="216"/>
      <c r="K24" s="216"/>
      <c r="L24" s="216"/>
      <c r="M24" s="217"/>
    </row>
    <row r="25" spans="1:13" x14ac:dyDescent="0.25">
      <c r="A25" s="244"/>
      <c r="B25" s="216"/>
      <c r="C25" s="216"/>
      <c r="D25" s="216"/>
      <c r="E25" s="216"/>
      <c r="F25" s="216"/>
      <c r="G25" s="216"/>
      <c r="H25" s="216"/>
      <c r="I25" s="216"/>
      <c r="J25" s="216"/>
      <c r="K25" s="216"/>
      <c r="L25" s="216"/>
      <c r="M25" s="217"/>
    </row>
    <row r="26" spans="1:13" s="514" customFormat="1" ht="39.6" x14ac:dyDescent="0.25">
      <c r="A26" s="521"/>
      <c r="B26" s="539" t="s">
        <v>445</v>
      </c>
      <c r="C26" s="540" t="s">
        <v>119</v>
      </c>
      <c r="D26" s="541" t="s">
        <v>446</v>
      </c>
      <c r="E26" s="540" t="s">
        <v>60</v>
      </c>
      <c r="F26" s="540" t="s">
        <v>30</v>
      </c>
      <c r="G26" s="540" t="s">
        <v>31</v>
      </c>
      <c r="H26" s="541" t="s">
        <v>447</v>
      </c>
      <c r="I26" s="541" t="s">
        <v>448</v>
      </c>
      <c r="J26" s="516"/>
      <c r="K26" s="516"/>
      <c r="L26" s="516"/>
      <c r="M26" s="522"/>
    </row>
    <row r="27" spans="1:13" s="514" customFormat="1" ht="13.2" x14ac:dyDescent="0.25">
      <c r="A27" s="521"/>
      <c r="B27" s="515" t="s">
        <v>441</v>
      </c>
      <c r="C27" s="537">
        <f>B_TP_Kalkulation!I23</f>
        <v>0</v>
      </c>
      <c r="D27" s="537">
        <f>B_TP_Kalkulation!I24</f>
        <v>0</v>
      </c>
      <c r="E27" s="537">
        <f>B_TP_Kalkulation!I25</f>
        <v>0</v>
      </c>
      <c r="F27" s="537">
        <f>B_TP_Kalkulation!I26</f>
        <v>0</v>
      </c>
      <c r="G27" s="537">
        <f>B_TP_Kalkulation!I27</f>
        <v>0</v>
      </c>
      <c r="H27" s="537">
        <f>B_TP_Kalkulation!I29</f>
        <v>20</v>
      </c>
      <c r="I27" s="542">
        <f>B_TP_Kalkulation!J28</f>
        <v>0</v>
      </c>
      <c r="J27" s="516"/>
      <c r="K27" s="516"/>
      <c r="L27" s="516"/>
      <c r="M27" s="522"/>
    </row>
    <row r="28" spans="1:13" x14ac:dyDescent="0.25">
      <c r="A28" s="244"/>
      <c r="B28" s="216"/>
      <c r="C28" s="216"/>
      <c r="D28" s="216"/>
      <c r="E28" s="216"/>
      <c r="F28" s="216"/>
      <c r="G28" s="216"/>
      <c r="H28" s="543"/>
      <c r="I28" s="216"/>
      <c r="J28" s="216"/>
      <c r="K28" s="216"/>
      <c r="L28" s="216"/>
      <c r="M28" s="217"/>
    </row>
    <row r="29" spans="1:13" x14ac:dyDescent="0.25">
      <c r="A29" s="244"/>
      <c r="B29" s="216"/>
      <c r="C29" s="216"/>
      <c r="D29" s="216"/>
      <c r="E29" s="216"/>
      <c r="F29" s="216"/>
      <c r="G29" s="216"/>
      <c r="H29" s="216"/>
      <c r="I29" s="216"/>
      <c r="J29" s="216"/>
      <c r="K29" s="216"/>
      <c r="L29" s="216"/>
      <c r="M29" s="217"/>
    </row>
    <row r="30" spans="1:13" s="514" customFormat="1" ht="13.2" x14ac:dyDescent="0.25">
      <c r="A30" s="521"/>
      <c r="B30" s="1074" t="s">
        <v>449</v>
      </c>
      <c r="C30" s="1075"/>
      <c r="D30" s="1075"/>
      <c r="E30" s="1075"/>
      <c r="F30" s="1075"/>
      <c r="G30" s="1075"/>
      <c r="H30" s="1075"/>
      <c r="I30" s="1076"/>
      <c r="J30" s="516"/>
      <c r="K30" s="516"/>
      <c r="L30" s="516"/>
      <c r="M30" s="522"/>
    </row>
    <row r="31" spans="1:13" s="514" customFormat="1" ht="39.6" x14ac:dyDescent="0.25">
      <c r="A31" s="521"/>
      <c r="B31" s="540" t="s">
        <v>450</v>
      </c>
      <c r="C31" s="540" t="s">
        <v>119</v>
      </c>
      <c r="D31" s="541" t="s">
        <v>446</v>
      </c>
      <c r="E31" s="540" t="s">
        <v>60</v>
      </c>
      <c r="F31" s="540" t="s">
        <v>30</v>
      </c>
      <c r="G31" s="540" t="s">
        <v>31</v>
      </c>
      <c r="H31" s="541" t="s">
        <v>447</v>
      </c>
      <c r="I31" s="541" t="s">
        <v>448</v>
      </c>
      <c r="J31" s="516"/>
      <c r="K31" s="516"/>
      <c r="L31" s="516"/>
      <c r="M31" s="522"/>
    </row>
    <row r="32" spans="1:13" s="514" customFormat="1" ht="13.2" x14ac:dyDescent="0.25">
      <c r="A32" s="521"/>
      <c r="B32" s="544">
        <f>B_TP_Kalkulation!L22</f>
        <v>0</v>
      </c>
      <c r="C32" s="544">
        <f>B_TP_Kalkulation!L23</f>
        <v>0</v>
      </c>
      <c r="D32" s="544">
        <f>B_TP_Kalkulation!L24</f>
        <v>0</v>
      </c>
      <c r="E32" s="544">
        <f>B_TP_Kalkulation!L25</f>
        <v>0</v>
      </c>
      <c r="F32" s="544">
        <f>B_TP_Kalkulation!L26</f>
        <v>0</v>
      </c>
      <c r="G32" s="544">
        <f>B_TP_Kalkulation!L27</f>
        <v>0</v>
      </c>
      <c r="H32" s="544">
        <f>B_TP_Kalkulation!J29</f>
        <v>0</v>
      </c>
      <c r="I32" s="544">
        <f>B_TP_Kalkulation!J28</f>
        <v>0</v>
      </c>
      <c r="J32" s="516"/>
      <c r="K32" s="516"/>
      <c r="L32" s="516"/>
      <c r="M32" s="522"/>
    </row>
    <row r="33" spans="1:13" s="514" customFormat="1" ht="13.2" x14ac:dyDescent="0.25">
      <c r="A33" s="521"/>
      <c r="B33" s="533" t="s">
        <v>451</v>
      </c>
      <c r="C33" s="545"/>
      <c r="D33" s="545"/>
      <c r="E33" s="545"/>
      <c r="F33" s="545"/>
      <c r="G33" s="545"/>
      <c r="H33" s="545"/>
      <c r="I33" s="545"/>
      <c r="J33" s="545"/>
      <c r="K33" s="545"/>
      <c r="L33" s="546"/>
      <c r="M33" s="547"/>
    </row>
    <row r="34" spans="1:13" s="514" customFormat="1" ht="39.6" x14ac:dyDescent="0.25">
      <c r="A34" s="521"/>
      <c r="B34" s="541" t="str">
        <f>B_TP_Kalkulation!I32</f>
        <v>Lebensmittel</v>
      </c>
      <c r="C34" s="541" t="str">
        <f>B_TP_Kalkulation!I33</f>
        <v>pflegerischer Sachbedarf</v>
      </c>
      <c r="D34" s="541" t="str">
        <f>B_TP_Kalkulation!I34</f>
        <v>Wasser, Energie, Brenntstoffe</v>
      </c>
      <c r="E34" s="541" t="str">
        <f>B_TP_Kalkulation!I35</f>
        <v>Verwaltungsbedarf</v>
      </c>
      <c r="F34" s="541" t="str">
        <f>B_TP_Kalkulation!I36</f>
        <v>Zentrale Verwaltungsdienste</v>
      </c>
      <c r="G34" s="541" t="str">
        <f>B_TP_Kalkulation!I37</f>
        <v>Betreuungsaufwand</v>
      </c>
      <c r="H34" s="541" t="str">
        <f>B_TP_Kalkulation!I38</f>
        <v>Wirtschaftsbedarf</v>
      </c>
      <c r="I34" s="541" t="str">
        <f>B_TP_Kalkulation!I39</f>
        <v>Steuern/Abgaben/Versicherungen</v>
      </c>
      <c r="J34" s="541" t="str">
        <f>B_TP_Kalkulation!I40</f>
        <v>Wartung (keine Instandhaltung)</v>
      </c>
      <c r="K34" s="541" t="str">
        <f>B_TP_Kalkulation!I41</f>
        <v>sonstige Aufwendungen</v>
      </c>
      <c r="L34" s="541" t="str">
        <f>B_TP_Kalkulation!I42</f>
        <v>Gesamtsumme:</v>
      </c>
      <c r="M34" s="522"/>
    </row>
    <row r="35" spans="1:13" s="239" customFormat="1" ht="11.4" x14ac:dyDescent="0.2">
      <c r="A35" s="548"/>
      <c r="B35" s="549">
        <f>B_TP_Kalkulation!$L32</f>
        <v>0</v>
      </c>
      <c r="C35" s="549">
        <f>B_TP_Kalkulation!$L33</f>
        <v>0</v>
      </c>
      <c r="D35" s="549">
        <f>B_TP_Kalkulation!$L34</f>
        <v>0</v>
      </c>
      <c r="E35" s="549">
        <f>B_TP_Kalkulation!$L35</f>
        <v>0</v>
      </c>
      <c r="F35" s="549">
        <f>B_TP_Kalkulation!$L36</f>
        <v>0</v>
      </c>
      <c r="G35" s="549">
        <f>B_TP_Kalkulation!$L37</f>
        <v>0</v>
      </c>
      <c r="H35" s="549">
        <f>B_TP_Kalkulation!$L38</f>
        <v>0</v>
      </c>
      <c r="I35" s="549">
        <f>B_TP_Kalkulation!$L39</f>
        <v>0</v>
      </c>
      <c r="J35" s="549">
        <f>B_TP_Kalkulation!$L40</f>
        <v>0</v>
      </c>
      <c r="K35" s="549">
        <f>B_TP_Kalkulation!$L41</f>
        <v>0</v>
      </c>
      <c r="L35" s="549">
        <f>B_TP_Kalkulation!$L42</f>
        <v>0</v>
      </c>
      <c r="M35" s="550"/>
    </row>
    <row r="36" spans="1:13" s="514" customFormat="1" ht="13.2" x14ac:dyDescent="0.25">
      <c r="A36" s="521"/>
      <c r="B36" s="551" t="s">
        <v>452</v>
      </c>
      <c r="C36" s="552"/>
      <c r="D36" s="552"/>
      <c r="E36" s="552"/>
      <c r="F36" s="552"/>
      <c r="G36" s="552"/>
      <c r="H36" s="552"/>
      <c r="I36" s="553"/>
      <c r="J36" s="516"/>
      <c r="K36" s="516"/>
      <c r="L36" s="516"/>
      <c r="M36" s="522"/>
    </row>
    <row r="37" spans="1:13" s="514" customFormat="1" ht="26.4" x14ac:dyDescent="0.25">
      <c r="A37" s="521"/>
      <c r="B37" s="540" t="str">
        <f>B_TP_Kalkulation!I45</f>
        <v>Küche</v>
      </c>
      <c r="C37" s="540" t="str">
        <f>B_TP_Kalkulation!I46</f>
        <v>Wäscherei</v>
      </c>
      <c r="D37" s="554" t="s">
        <v>453</v>
      </c>
      <c r="E37" s="540" t="str">
        <f>B_TP_Kalkulation!I48</f>
        <v>Verwaltung</v>
      </c>
      <c r="F37" s="540" t="str">
        <f>B_TP_Kalkulation!I49</f>
        <v>Haustechnik</v>
      </c>
      <c r="G37" s="540" t="str">
        <f>B_TP_Kalkulation!I50</f>
        <v/>
      </c>
      <c r="H37" s="540" t="str">
        <f>B_TP_Kalkulation!I51</f>
        <v/>
      </c>
      <c r="I37" s="540" t="str">
        <f>B_TP_Kalkulation!I52</f>
        <v>Gesamtsumme:</v>
      </c>
      <c r="J37" s="516"/>
      <c r="K37" s="516"/>
      <c r="L37" s="516"/>
      <c r="M37" s="522"/>
    </row>
    <row r="38" spans="1:13" s="239" customFormat="1" ht="11.4" x14ac:dyDescent="0.2">
      <c r="A38" s="548"/>
      <c r="B38" s="549">
        <f>B_TP_Kalkulation!L45</f>
        <v>0</v>
      </c>
      <c r="C38" s="549">
        <f>B_TP_Kalkulation!L46</f>
        <v>0</v>
      </c>
      <c r="D38" s="555">
        <f>B_TP_Kalkulation!L47</f>
        <v>0</v>
      </c>
      <c r="E38" s="549">
        <f>B_TP_Kalkulation!L48</f>
        <v>0</v>
      </c>
      <c r="F38" s="549">
        <f>B_TP_Kalkulation!L49</f>
        <v>0</v>
      </c>
      <c r="G38" s="549">
        <f>B_TP_Kalkulation!L50</f>
        <v>0</v>
      </c>
      <c r="H38" s="549">
        <f>B_TP_Kalkulation!L51</f>
        <v>0</v>
      </c>
      <c r="I38" s="549">
        <f>B_TP_Kalkulation!L52</f>
        <v>0</v>
      </c>
      <c r="J38" s="556"/>
      <c r="K38" s="556"/>
      <c r="L38" s="556"/>
      <c r="M38" s="550"/>
    </row>
    <row r="39" spans="1:13" x14ac:dyDescent="0.25">
      <c r="A39" s="244"/>
      <c r="B39" s="216"/>
      <c r="C39" s="216"/>
      <c r="D39" s="216"/>
      <c r="E39" s="216"/>
      <c r="F39" s="216"/>
      <c r="G39" s="216"/>
      <c r="H39" s="216"/>
      <c r="I39" s="216"/>
      <c r="J39" s="216"/>
      <c r="K39" s="216"/>
      <c r="L39" s="216"/>
      <c r="M39" s="217"/>
    </row>
    <row r="40" spans="1:13" s="514" customFormat="1" ht="13.2" x14ac:dyDescent="0.25">
      <c r="A40" s="521"/>
      <c r="B40" s="533" t="s">
        <v>459</v>
      </c>
      <c r="C40" s="534"/>
      <c r="D40" s="534"/>
      <c r="E40" s="534"/>
      <c r="F40" s="534"/>
      <c r="G40" s="535"/>
      <c r="H40" s="516"/>
      <c r="I40" s="533" t="s">
        <v>458</v>
      </c>
      <c r="J40" s="545"/>
      <c r="K40" s="545"/>
      <c r="L40" s="546"/>
      <c r="M40" s="522"/>
    </row>
    <row r="41" spans="1:13" s="514" customFormat="1" ht="13.2" x14ac:dyDescent="0.25">
      <c r="A41" s="521"/>
      <c r="B41" s="540" t="s">
        <v>443</v>
      </c>
      <c r="C41" s="540" t="s">
        <v>436</v>
      </c>
      <c r="D41" s="540" t="s">
        <v>437</v>
      </c>
      <c r="E41" s="540" t="s">
        <v>438</v>
      </c>
      <c r="F41" s="540" t="s">
        <v>439</v>
      </c>
      <c r="G41" s="540" t="s">
        <v>440</v>
      </c>
      <c r="H41" s="516"/>
      <c r="I41" s="540" t="s">
        <v>266</v>
      </c>
      <c r="J41" s="540" t="s">
        <v>454</v>
      </c>
      <c r="K41" s="540" t="s">
        <v>455</v>
      </c>
      <c r="L41" s="540" t="s">
        <v>456</v>
      </c>
      <c r="M41" s="522"/>
    </row>
    <row r="42" spans="1:13" s="514" customFormat="1" ht="13.2" x14ac:dyDescent="0.25">
      <c r="A42" s="521"/>
      <c r="B42" s="515" t="s">
        <v>441</v>
      </c>
      <c r="C42" s="557">
        <f>B_TP_Gesamtkalkulation!H51</f>
        <v>0</v>
      </c>
      <c r="D42" s="557">
        <f>B_TP_Gesamtkalkulation!J51</f>
        <v>0</v>
      </c>
      <c r="E42" s="557">
        <f>B_TP_Gesamtkalkulation!L51</f>
        <v>0</v>
      </c>
      <c r="F42" s="557">
        <f>B_TP_Gesamtkalkulation!N51</f>
        <v>0</v>
      </c>
      <c r="G42" s="557">
        <f>B_TP_Gesamtkalkulation!P51</f>
        <v>0</v>
      </c>
      <c r="H42" s="558"/>
      <c r="I42" s="557">
        <f>IFERROR(B_TP_Gesamtkalkulation!R51,0)</f>
        <v>0</v>
      </c>
      <c r="J42" s="557">
        <f>IFERROR(B_TP_Gesamtkalkulation!T51,0)</f>
        <v>0</v>
      </c>
      <c r="K42" s="557">
        <f>IFERROR(B_TP_Gesamtkalkulation!V51,0)</f>
        <v>0</v>
      </c>
      <c r="L42" s="559" t="str">
        <f>B_TP_Kalkulation!L16</f>
        <v/>
      </c>
      <c r="M42" s="522"/>
    </row>
    <row r="43" spans="1:13" x14ac:dyDescent="0.25">
      <c r="A43" s="244"/>
      <c r="B43" s="216"/>
      <c r="C43" s="216"/>
      <c r="D43" s="216"/>
      <c r="E43" s="216"/>
      <c r="F43" s="216"/>
      <c r="G43" s="216"/>
      <c r="H43" s="216"/>
      <c r="I43" s="216"/>
      <c r="J43" s="216"/>
      <c r="K43" s="216"/>
      <c r="L43" s="216"/>
      <c r="M43" s="217"/>
    </row>
    <row r="44" spans="1:13" x14ac:dyDescent="0.25">
      <c r="A44" s="244"/>
      <c r="B44" s="216"/>
      <c r="C44" s="216"/>
      <c r="D44" s="216"/>
      <c r="E44" s="216"/>
      <c r="F44" s="216"/>
      <c r="G44" s="216"/>
      <c r="H44" s="216"/>
      <c r="I44" s="216"/>
      <c r="J44" s="216"/>
      <c r="K44" s="216"/>
      <c r="L44" s="216"/>
      <c r="M44" s="217"/>
    </row>
    <row r="45" spans="1:13" x14ac:dyDescent="0.25">
      <c r="A45" s="244"/>
      <c r="B45" s="1077" t="s">
        <v>457</v>
      </c>
      <c r="C45" s="1077"/>
      <c r="D45" s="1077"/>
      <c r="E45" s="1077"/>
      <c r="F45" s="1077"/>
      <c r="G45" s="1077"/>
      <c r="H45" s="1077"/>
      <c r="I45" s="1077"/>
      <c r="J45" s="1077"/>
      <c r="K45" s="216"/>
      <c r="L45" s="216"/>
      <c r="M45" s="217"/>
    </row>
    <row r="46" spans="1:13" x14ac:dyDescent="0.25">
      <c r="A46" s="244"/>
      <c r="B46" s="1077"/>
      <c r="C46" s="1077"/>
      <c r="D46" s="1077"/>
      <c r="E46" s="1077"/>
      <c r="F46" s="1077"/>
      <c r="G46" s="1077"/>
      <c r="H46" s="1077"/>
      <c r="I46" s="1077"/>
      <c r="J46" s="1077"/>
      <c r="K46" s="216"/>
      <c r="L46" s="216"/>
      <c r="M46" s="217"/>
    </row>
    <row r="47" spans="1:13" x14ac:dyDescent="0.25">
      <c r="A47" s="244"/>
      <c r="B47" s="514"/>
      <c r="C47" s="514"/>
      <c r="D47" s="514"/>
      <c r="E47" s="514"/>
      <c r="F47" s="514"/>
      <c r="G47" s="514"/>
      <c r="H47" s="514"/>
      <c r="I47" s="514"/>
      <c r="J47" s="514"/>
      <c r="K47" s="514"/>
      <c r="L47" s="514"/>
      <c r="M47" s="217"/>
    </row>
    <row r="48" spans="1:13" x14ac:dyDescent="0.25">
      <c r="A48" s="244"/>
      <c r="B48" s="514"/>
      <c r="C48" s="514"/>
      <c r="D48" s="514"/>
      <c r="E48" s="514"/>
      <c r="F48" s="514"/>
      <c r="G48" s="514"/>
      <c r="H48" s="514"/>
      <c r="I48" s="514"/>
      <c r="J48" s="514"/>
      <c r="K48" s="514"/>
      <c r="L48" s="514"/>
      <c r="M48" s="217"/>
    </row>
    <row r="49" spans="1:13" x14ac:dyDescent="0.25">
      <c r="A49" s="244"/>
      <c r="B49" s="216"/>
      <c r="C49" s="216"/>
      <c r="D49" s="216"/>
      <c r="E49" s="216"/>
      <c r="F49" s="216"/>
      <c r="G49" s="216"/>
      <c r="H49" s="216"/>
      <c r="I49" s="216"/>
      <c r="J49" s="216"/>
      <c r="K49" s="216"/>
      <c r="L49" s="216"/>
      <c r="M49" s="217"/>
    </row>
    <row r="50" spans="1:13" x14ac:dyDescent="0.25">
      <c r="A50" s="244"/>
      <c r="B50" s="237"/>
      <c r="C50" s="237"/>
      <c r="D50" s="216"/>
      <c r="E50" s="216"/>
      <c r="F50" s="216"/>
      <c r="G50" s="216"/>
      <c r="H50" s="216"/>
      <c r="I50" s="216"/>
      <c r="J50" s="216"/>
      <c r="K50" s="216"/>
      <c r="L50" s="216"/>
      <c r="M50" s="217"/>
    </row>
    <row r="51" spans="1:13" s="518" customFormat="1" ht="10.199999999999999" x14ac:dyDescent="0.2">
      <c r="A51" s="560"/>
      <c r="B51" s="561" t="s">
        <v>460</v>
      </c>
      <c r="C51" s="561"/>
      <c r="D51" s="561"/>
      <c r="E51" s="561"/>
      <c r="F51" s="561"/>
      <c r="G51" s="561"/>
      <c r="H51" s="561"/>
      <c r="I51" s="561"/>
      <c r="J51" s="561"/>
      <c r="K51" s="561"/>
      <c r="L51" s="561"/>
      <c r="M51" s="562"/>
    </row>
    <row r="52" spans="1:13" x14ac:dyDescent="0.25">
      <c r="A52" s="250"/>
      <c r="B52" s="237"/>
      <c r="C52" s="237"/>
      <c r="D52" s="237"/>
      <c r="E52" s="237"/>
      <c r="F52" s="237"/>
      <c r="G52" s="237"/>
      <c r="H52" s="237"/>
      <c r="I52" s="237"/>
      <c r="J52" s="237"/>
      <c r="K52" s="237"/>
      <c r="L52" s="237"/>
      <c r="M52" s="432"/>
    </row>
  </sheetData>
  <sheetProtection sheet="1" objects="1" scenarios="1"/>
  <mergeCells count="19">
    <mergeCell ref="G13:I13"/>
    <mergeCell ref="B30:I30"/>
    <mergeCell ref="B45:J46"/>
    <mergeCell ref="B12:D12"/>
    <mergeCell ref="B13:D13"/>
    <mergeCell ref="G11:I11"/>
    <mergeCell ref="G12:I12"/>
    <mergeCell ref="A1:L1"/>
    <mergeCell ref="A2:L2"/>
    <mergeCell ref="B6:D6"/>
    <mergeCell ref="B7:D7"/>
    <mergeCell ref="B8:D8"/>
    <mergeCell ref="B11:D11"/>
    <mergeCell ref="B10:D10"/>
    <mergeCell ref="B5:D5"/>
    <mergeCell ref="G5:I5"/>
    <mergeCell ref="G6:I6"/>
    <mergeCell ref="G7:I7"/>
    <mergeCell ref="G8:I8"/>
  </mergeCells>
  <pageMargins left="0.70866141732283472" right="0.70866141732283472" top="0.78740157480314965" bottom="0.78740157480314965" header="0.31496062992125984" footer="0.31496062992125984"/>
  <pageSetup paperSize="9" scale="63" orientation="landscape"/>
  <headerFooter>
    <oddHeader>&amp;CSeite 4</oddHeader>
    <oddFooter>&amp;LVersion: 22.11.2024&amp;CVerhandlungsunterlagen SGB XI (B3 vereinfacht)</oddFooter>
  </headerFooter>
  <extLst>
    <ext xmlns:x14="http://schemas.microsoft.com/office/spreadsheetml/2009/9/main" uri="{78C0D931-6437-407d-A8EE-F0AAD7539E65}">
      <x14:conditionalFormattings>
        <x14:conditionalFormatting xmlns:xm="http://schemas.microsoft.com/office/excel/2006/main">
          <x14:cfRule type="expression" priority="1" id="{C9955D0F-5D52-4DEA-9101-9ACBD1D56746}">
            <xm:f>'B_TP_Allgemeine Angaben'!$D$7&lt;&gt;"tst"</xm:f>
            <x14:dxf>
              <font>
                <color theme="0"/>
              </font>
              <fill>
                <patternFill patternType="none">
                  <bgColor auto="1"/>
                </patternFill>
              </fill>
            </x14:dxf>
          </x14:cfRule>
          <xm:sqref>L41:L42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61"/>
  <sheetViews>
    <sheetView zoomScaleNormal="100" workbookViewId="0">
      <selection activeCell="B5" sqref="B5"/>
    </sheetView>
  </sheetViews>
  <sheetFormatPr baseColWidth="10" defaultColWidth="10" defaultRowHeight="13.8" x14ac:dyDescent="0.25"/>
  <cols>
    <col min="1" max="3" width="10" style="241"/>
    <col min="4" max="4" width="10.3984375" style="241" customWidth="1"/>
    <col min="5" max="5" width="2.8984375" style="241" customWidth="1"/>
    <col min="6" max="6" width="2" style="241" customWidth="1"/>
    <col min="7" max="7" width="10.59765625" style="241" customWidth="1"/>
    <col min="8" max="8" width="10" style="241"/>
    <col min="9" max="9" width="16.19921875" style="241" customWidth="1"/>
    <col min="10" max="14" width="10" style="241" customWidth="1"/>
    <col min="15" max="16384" width="10" style="241"/>
  </cols>
  <sheetData>
    <row r="1" spans="1:19" ht="13.95" customHeight="1" x14ac:dyDescent="0.25">
      <c r="A1" s="1078" t="s">
        <v>137</v>
      </c>
      <c r="B1" s="1079"/>
      <c r="C1" s="1079"/>
      <c r="D1" s="1079"/>
      <c r="E1" s="1079"/>
      <c r="F1" s="1079"/>
      <c r="G1" s="1079"/>
      <c r="H1" s="1079"/>
      <c r="I1" s="1080"/>
      <c r="J1" s="240"/>
    </row>
    <row r="2" spans="1:19" x14ac:dyDescent="0.25">
      <c r="A2" s="1081"/>
      <c r="B2" s="1082"/>
      <c r="C2" s="1082"/>
      <c r="D2" s="1082"/>
      <c r="E2" s="1082"/>
      <c r="F2" s="1082"/>
      <c r="G2" s="1082"/>
      <c r="H2" s="1082"/>
      <c r="I2" s="1083"/>
      <c r="J2" s="238"/>
    </row>
    <row r="3" spans="1:19" x14ac:dyDescent="0.25">
      <c r="A3" s="1081"/>
      <c r="B3" s="1082"/>
      <c r="C3" s="1082"/>
      <c r="D3" s="1082"/>
      <c r="E3" s="1082"/>
      <c r="F3" s="1082"/>
      <c r="G3" s="1082"/>
      <c r="H3" s="1082"/>
      <c r="I3" s="1083"/>
      <c r="J3" s="242"/>
    </row>
    <row r="4" spans="1:19" x14ac:dyDescent="0.25">
      <c r="A4" s="1081"/>
      <c r="B4" s="1082"/>
      <c r="C4" s="1082"/>
      <c r="D4" s="1082"/>
      <c r="E4" s="1082"/>
      <c r="F4" s="1082"/>
      <c r="G4" s="1082"/>
      <c r="H4" s="1082"/>
      <c r="I4" s="1083"/>
    </row>
    <row r="5" spans="1:19" x14ac:dyDescent="0.25">
      <c r="A5" s="639" t="s">
        <v>138</v>
      </c>
      <c r="B5" s="248"/>
      <c r="C5" s="248"/>
      <c r="D5" s="248"/>
      <c r="E5" s="248"/>
      <c r="F5" s="248"/>
      <c r="G5" s="248"/>
      <c r="H5" s="248"/>
      <c r="I5" s="249"/>
    </row>
    <row r="6" spans="1:19" x14ac:dyDescent="0.25">
      <c r="A6" s="244" t="s">
        <v>714</v>
      </c>
      <c r="I6" s="243"/>
      <c r="K6" s="245"/>
      <c r="L6" s="245"/>
      <c r="M6" s="245"/>
      <c r="N6" s="245"/>
      <c r="O6" s="245"/>
      <c r="P6" s="245"/>
      <c r="Q6" s="245"/>
      <c r="R6" s="245"/>
      <c r="S6" s="245"/>
    </row>
    <row r="7" spans="1:19" x14ac:dyDescent="0.25">
      <c r="A7" s="244" t="s">
        <v>715</v>
      </c>
      <c r="E7" s="659" t="str">
        <f>IF('B_TP_Allgemeine Angaben'!K64&gt;5,"x","")</f>
        <v/>
      </c>
      <c r="G7" s="120"/>
      <c r="I7" s="243"/>
    </row>
    <row r="8" spans="1:19" x14ac:dyDescent="0.25">
      <c r="A8" s="854" t="s">
        <v>716</v>
      </c>
      <c r="I8" s="243"/>
    </row>
    <row r="9" spans="1:19" x14ac:dyDescent="0.25">
      <c r="A9" s="619" t="s">
        <v>139</v>
      </c>
      <c r="G9" s="640" t="s">
        <v>559</v>
      </c>
      <c r="I9" s="243"/>
    </row>
    <row r="10" spans="1:19" x14ac:dyDescent="0.25">
      <c r="A10" s="619" t="s">
        <v>140</v>
      </c>
      <c r="I10" s="243"/>
    </row>
    <row r="11" spans="1:19" x14ac:dyDescent="0.25">
      <c r="A11" s="619"/>
      <c r="I11" s="243"/>
    </row>
    <row r="12" spans="1:19" x14ac:dyDescent="0.25">
      <c r="A12" s="619" t="s">
        <v>141</v>
      </c>
      <c r="E12" s="659" t="str">
        <f>IF('B_TP_Allgemeine Angaben'!K67&gt;5,"x","")</f>
        <v/>
      </c>
      <c r="G12" s="569" t="s">
        <v>560</v>
      </c>
      <c r="I12" s="243"/>
    </row>
    <row r="13" spans="1:19" x14ac:dyDescent="0.25">
      <c r="A13" s="619" t="s">
        <v>142</v>
      </c>
      <c r="I13" s="243"/>
    </row>
    <row r="14" spans="1:19" x14ac:dyDescent="0.25">
      <c r="A14" s="619" t="s">
        <v>143</v>
      </c>
      <c r="I14" s="243"/>
    </row>
    <row r="15" spans="1:19" x14ac:dyDescent="0.25">
      <c r="A15" s="619"/>
      <c r="I15" s="243"/>
    </row>
    <row r="16" spans="1:19" x14ac:dyDescent="0.25">
      <c r="A16" s="619" t="s">
        <v>144</v>
      </c>
      <c r="E16" s="659" t="str">
        <f>IF('B_TP_Allgemeine Angaben'!K68&gt;5,"x","")</f>
        <v/>
      </c>
      <c r="G16" s="569" t="s">
        <v>561</v>
      </c>
      <c r="I16" s="243"/>
    </row>
    <row r="17" spans="1:10" x14ac:dyDescent="0.25">
      <c r="A17" s="619" t="s">
        <v>145</v>
      </c>
      <c r="I17" s="243"/>
    </row>
    <row r="18" spans="1:10" x14ac:dyDescent="0.25">
      <c r="A18" s="619" t="s">
        <v>146</v>
      </c>
      <c r="I18" s="243"/>
    </row>
    <row r="19" spans="1:10" x14ac:dyDescent="0.25">
      <c r="A19" s="619" t="s">
        <v>147</v>
      </c>
      <c r="I19" s="243"/>
    </row>
    <row r="20" spans="1:10" x14ac:dyDescent="0.25">
      <c r="A20" s="619"/>
      <c r="I20" s="243"/>
    </row>
    <row r="21" spans="1:10" x14ac:dyDescent="0.25">
      <c r="A21" s="619" t="s">
        <v>148</v>
      </c>
      <c r="E21" s="659" t="str">
        <f>IF('B_TP_Allgemeine Angaben'!K72&gt;5,"x","")</f>
        <v/>
      </c>
      <c r="G21" s="120" t="s">
        <v>219</v>
      </c>
      <c r="I21" s="243"/>
      <c r="J21" s="121"/>
    </row>
    <row r="22" spans="1:10" x14ac:dyDescent="0.25">
      <c r="A22" s="619" t="s">
        <v>217</v>
      </c>
      <c r="I22" s="243"/>
      <c r="J22" s="246"/>
    </row>
    <row r="23" spans="1:10" x14ac:dyDescent="0.25">
      <c r="A23" s="244" t="s">
        <v>218</v>
      </c>
      <c r="I23" s="243"/>
      <c r="J23" s="246"/>
    </row>
    <row r="24" spans="1:10" x14ac:dyDescent="0.25">
      <c r="A24" s="619"/>
      <c r="I24" s="243"/>
    </row>
    <row r="25" spans="1:10" x14ac:dyDescent="0.25">
      <c r="A25" s="247" t="s">
        <v>149</v>
      </c>
      <c r="I25" s="243"/>
    </row>
    <row r="26" spans="1:10" x14ac:dyDescent="0.25">
      <c r="A26" s="619"/>
      <c r="I26" s="243"/>
    </row>
    <row r="27" spans="1:10" x14ac:dyDescent="0.25">
      <c r="A27" s="619" t="s">
        <v>150</v>
      </c>
      <c r="E27" s="659" t="str">
        <f>IF('B_TP_Allgemeine Angaben'!K66&gt;5,"x","")</f>
        <v/>
      </c>
      <c r="G27" s="569" t="s">
        <v>562</v>
      </c>
      <c r="I27" s="243"/>
    </row>
    <row r="28" spans="1:10" x14ac:dyDescent="0.25">
      <c r="A28" s="619" t="s">
        <v>151</v>
      </c>
      <c r="I28" s="243"/>
    </row>
    <row r="29" spans="1:10" x14ac:dyDescent="0.25">
      <c r="A29" s="619" t="s">
        <v>152</v>
      </c>
      <c r="I29" s="243"/>
    </row>
    <row r="30" spans="1:10" x14ac:dyDescent="0.25">
      <c r="A30" s="619" t="s">
        <v>153</v>
      </c>
      <c r="I30" s="243"/>
    </row>
    <row r="31" spans="1:10" x14ac:dyDescent="0.25">
      <c r="A31" s="619"/>
      <c r="I31" s="243"/>
    </row>
    <row r="32" spans="1:10" ht="17.399999999999999" x14ac:dyDescent="0.3">
      <c r="A32" s="247" t="s">
        <v>154</v>
      </c>
      <c r="D32" s="641"/>
      <c r="G32" s="642"/>
      <c r="I32" s="243"/>
      <c r="J32" s="242"/>
    </row>
    <row r="33" spans="1:12" x14ac:dyDescent="0.25">
      <c r="A33" s="619"/>
      <c r="G33" s="556"/>
      <c r="H33" s="556"/>
      <c r="I33" s="550"/>
    </row>
    <row r="34" spans="1:12" x14ac:dyDescent="0.25">
      <c r="A34" s="619" t="s">
        <v>155</v>
      </c>
      <c r="E34" s="659" t="str">
        <f>IF('B_TP_Allgemeine Angaben'!K65&gt;5,"x","")</f>
        <v/>
      </c>
      <c r="G34" s="569" t="s">
        <v>536</v>
      </c>
      <c r="H34" s="556"/>
      <c r="I34" s="550"/>
      <c r="L34" s="216"/>
    </row>
    <row r="35" spans="1:12" x14ac:dyDescent="0.25">
      <c r="A35" s="619" t="s">
        <v>156</v>
      </c>
      <c r="G35" s="556"/>
      <c r="H35" s="556"/>
      <c r="I35" s="550"/>
    </row>
    <row r="36" spans="1:12" x14ac:dyDescent="0.25">
      <c r="A36" s="619" t="s">
        <v>157</v>
      </c>
      <c r="G36" s="556"/>
      <c r="H36" s="556"/>
      <c r="I36" s="550"/>
    </row>
    <row r="37" spans="1:12" x14ac:dyDescent="0.25">
      <c r="A37" s="619"/>
      <c r="E37" s="238"/>
      <c r="F37" s="238"/>
      <c r="G37" s="643" t="s">
        <v>563</v>
      </c>
      <c r="H37" s="556"/>
      <c r="I37" s="550"/>
    </row>
    <row r="38" spans="1:12" x14ac:dyDescent="0.25">
      <c r="A38" s="619"/>
      <c r="I38" s="243"/>
    </row>
    <row r="39" spans="1:12" x14ac:dyDescent="0.25">
      <c r="A39" s="619" t="s">
        <v>537</v>
      </c>
      <c r="E39" s="659" t="str">
        <f>IF('B_TP_Allgemeine Angaben'!K65&gt;5,"x","")</f>
        <v/>
      </c>
      <c r="G39" s="120" t="s">
        <v>564</v>
      </c>
      <c r="I39" s="243"/>
    </row>
    <row r="40" spans="1:12" x14ac:dyDescent="0.25">
      <c r="A40" s="619" t="s">
        <v>538</v>
      </c>
      <c r="G40" s="644"/>
      <c r="I40" s="243"/>
    </row>
    <row r="41" spans="1:12" x14ac:dyDescent="0.25">
      <c r="A41" s="619" t="s">
        <v>539</v>
      </c>
      <c r="G41" s="644"/>
      <c r="I41" s="243"/>
    </row>
    <row r="42" spans="1:12" x14ac:dyDescent="0.25">
      <c r="A42" s="619" t="s">
        <v>540</v>
      </c>
      <c r="I42" s="243"/>
    </row>
    <row r="43" spans="1:12" x14ac:dyDescent="0.25">
      <c r="A43" s="619"/>
      <c r="I43" s="243"/>
    </row>
    <row r="44" spans="1:12" x14ac:dyDescent="0.25">
      <c r="A44" s="645" t="s">
        <v>565</v>
      </c>
      <c r="B44" s="646"/>
      <c r="C44" s="647"/>
      <c r="I44" s="243"/>
    </row>
    <row r="45" spans="1:12" x14ac:dyDescent="0.25">
      <c r="A45" s="548" t="s">
        <v>566</v>
      </c>
      <c r="B45" s="556"/>
      <c r="C45" s="550"/>
      <c r="I45" s="243"/>
    </row>
    <row r="46" spans="1:12" x14ac:dyDescent="0.25">
      <c r="A46" s="548" t="s">
        <v>162</v>
      </c>
      <c r="B46" s="556"/>
      <c r="C46" s="550"/>
      <c r="I46" s="243"/>
    </row>
    <row r="47" spans="1:12" x14ac:dyDescent="0.25">
      <c r="A47" s="548" t="s">
        <v>158</v>
      </c>
      <c r="B47" s="556"/>
      <c r="C47" s="550"/>
      <c r="I47" s="243"/>
    </row>
    <row r="48" spans="1:12" x14ac:dyDescent="0.25">
      <c r="A48" s="548" t="s">
        <v>159</v>
      </c>
      <c r="B48" s="556"/>
      <c r="C48" s="550"/>
      <c r="I48" s="243"/>
    </row>
    <row r="49" spans="1:9" x14ac:dyDescent="0.25">
      <c r="A49" s="548" t="s">
        <v>163</v>
      </c>
      <c r="B49" s="556"/>
      <c r="C49" s="550"/>
      <c r="I49" s="243"/>
    </row>
    <row r="50" spans="1:9" x14ac:dyDescent="0.25">
      <c r="A50" s="648" t="s">
        <v>164</v>
      </c>
      <c r="B50" s="649"/>
      <c r="C50" s="650"/>
      <c r="I50" s="243"/>
    </row>
    <row r="51" spans="1:9" x14ac:dyDescent="0.25">
      <c r="A51" s="619"/>
      <c r="I51" s="243"/>
    </row>
    <row r="52" spans="1:9" x14ac:dyDescent="0.25">
      <c r="A52" s="619"/>
      <c r="G52" s="240"/>
      <c r="H52" s="240"/>
      <c r="I52" s="253"/>
    </row>
    <row r="53" spans="1:9" x14ac:dyDescent="0.25">
      <c r="A53" s="1084" t="s">
        <v>160</v>
      </c>
      <c r="B53" s="907"/>
      <c r="C53" s="907"/>
      <c r="E53" s="660" t="str">
        <f>IF('B_TP_Allgemeine Angaben'!K65&gt;5,"x","")</f>
        <v/>
      </c>
      <c r="G53" s="569" t="s">
        <v>567</v>
      </c>
      <c r="I53" s="243"/>
    </row>
    <row r="54" spans="1:9" x14ac:dyDescent="0.25">
      <c r="A54" s="619" t="s">
        <v>161</v>
      </c>
      <c r="I54" s="243"/>
    </row>
    <row r="55" spans="1:9" x14ac:dyDescent="0.25">
      <c r="A55" s="244" t="s">
        <v>481</v>
      </c>
      <c r="I55" s="243"/>
    </row>
    <row r="56" spans="1:9" x14ac:dyDescent="0.25">
      <c r="A56" s="244" t="s">
        <v>568</v>
      </c>
      <c r="I56" s="243"/>
    </row>
    <row r="57" spans="1:9" ht="60" customHeight="1" x14ac:dyDescent="0.25">
      <c r="A57" s="254"/>
      <c r="B57" s="251"/>
      <c r="C57" s="251"/>
      <c r="D57" s="651"/>
      <c r="E57" s="651"/>
      <c r="F57" s="651"/>
      <c r="G57" s="651"/>
      <c r="H57" s="251"/>
      <c r="I57" s="252"/>
    </row>
    <row r="58" spans="1:9" x14ac:dyDescent="0.25">
      <c r="A58" s="652"/>
      <c r="D58" s="653"/>
      <c r="E58" s="653"/>
      <c r="F58" s="653"/>
      <c r="G58" s="653"/>
    </row>
    <row r="59" spans="1:9" ht="60" x14ac:dyDescent="0.95">
      <c r="D59" s="653"/>
      <c r="E59" s="653"/>
      <c r="F59" s="653"/>
      <c r="G59" s="653"/>
      <c r="I59" s="654"/>
    </row>
    <row r="60" spans="1:9" x14ac:dyDescent="0.25">
      <c r="A60" s="642"/>
      <c r="B60" s="240"/>
      <c r="C60" s="240"/>
      <c r="D60" s="655"/>
      <c r="E60" s="656"/>
      <c r="F60" s="653"/>
      <c r="G60" s="657"/>
    </row>
    <row r="61" spans="1:9" x14ac:dyDescent="0.25">
      <c r="D61" s="653"/>
      <c r="E61" s="653"/>
      <c r="F61" s="653"/>
      <c r="G61" s="653"/>
    </row>
  </sheetData>
  <sheetProtection algorithmName="SHA-512" hashValue="wd/7XQ3faegHPuWQQGdLjtqNSrjpD2gIN9wxv6Q31efTnsJSlbt9eN6S6nSE/7ke6g2XuswnyTOGtZITGgB6NQ==" saltValue="ntB0uyDJw0TMdlNPPJkmcw==" spinCount="100000" sheet="1" objects="1" scenarios="1"/>
  <mergeCells count="2">
    <mergeCell ref="A1:I4"/>
    <mergeCell ref="A53:C53"/>
  </mergeCells>
  <hyperlinks>
    <hyperlink ref="G21" r:id="rId1" xr:uid="{00000000-0004-0000-0600-000000000000}"/>
    <hyperlink ref="G9" r:id="rId2" xr:uid="{00000000-0004-0000-0600-000001000000}"/>
    <hyperlink ref="G34" r:id="rId3" xr:uid="{00000000-0004-0000-0600-000002000000}"/>
    <hyperlink ref="G39" r:id="rId4" display="mailto:pflegesatzverhandlungen_sachsen@barmer.de" xr:uid="{00000000-0004-0000-0600-000003000000}"/>
    <hyperlink ref="G12" r:id="rId5" xr:uid="{00000000-0004-0000-0600-000004000000}"/>
    <hyperlink ref="G16" r:id="rId6" xr:uid="{00000000-0004-0000-0600-000005000000}"/>
    <hyperlink ref="G27" r:id="rId7" xr:uid="{00000000-0004-0000-0600-000006000000}"/>
    <hyperlink ref="G53" r:id="rId8" xr:uid="{00000000-0004-0000-0600-000007000000}"/>
  </hyperlinks>
  <pageMargins left="0.70866141732283472" right="0.70866141732283472" top="0.78740157480314965" bottom="0.78740157480314965" header="0.31496062992125984" footer="0.31496062992125984"/>
  <pageSetup paperSize="9" scale="78" orientation="portrait"/>
  <headerFooter>
    <oddHeader>&amp;C&amp;9&amp;A</oddHeader>
    <oddFooter>&amp;L&amp;8Version: 21.10.2026&amp;C&amp;8Verhandlungsunterlagen SGB XI (vereinfacht B_TP)&amp;R&amp;8PSK-Beschluss vom 08.10.2026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C8"/>
  <sheetViews>
    <sheetView workbookViewId="0">
      <selection activeCell="J25" sqref="J25"/>
    </sheetView>
  </sheetViews>
  <sheetFormatPr baseColWidth="10" defaultRowHeight="13.8" x14ac:dyDescent="0.25"/>
  <cols>
    <col min="1" max="1" width="22.3984375" customWidth="1"/>
    <col min="2" max="2" width="13.09765625" customWidth="1"/>
  </cols>
  <sheetData>
    <row r="2" spans="1:3" x14ac:dyDescent="0.25">
      <c r="A2" s="472" t="s">
        <v>341</v>
      </c>
      <c r="B2" s="472" t="s">
        <v>500</v>
      </c>
      <c r="C2" s="597" t="s">
        <v>499</v>
      </c>
    </row>
    <row r="3" spans="1:3" x14ac:dyDescent="0.25">
      <c r="A3" s="470" t="s">
        <v>342</v>
      </c>
      <c r="B3" s="473">
        <v>0.1</v>
      </c>
      <c r="C3" s="473">
        <v>0.1</v>
      </c>
    </row>
    <row r="4" spans="1:3" x14ac:dyDescent="0.25">
      <c r="A4" s="470" t="s">
        <v>92</v>
      </c>
      <c r="B4" s="473">
        <v>7.4999999999999997E-2</v>
      </c>
      <c r="C4" s="473">
        <v>7.4999999999999997E-2</v>
      </c>
    </row>
    <row r="5" spans="1:3" x14ac:dyDescent="0.25">
      <c r="A5" s="470" t="s">
        <v>343</v>
      </c>
      <c r="B5" s="473">
        <v>9.0999999999999998E-2</v>
      </c>
      <c r="C5" s="473">
        <v>9.0999999999999998E-2</v>
      </c>
    </row>
    <row r="6" spans="1:3" x14ac:dyDescent="0.25">
      <c r="A6" s="470" t="s">
        <v>393</v>
      </c>
      <c r="B6" s="473">
        <v>0.05</v>
      </c>
      <c r="C6" s="473">
        <v>0.05</v>
      </c>
    </row>
    <row r="7" spans="1:3" x14ac:dyDescent="0.25">
      <c r="A7" s="470" t="s">
        <v>496</v>
      </c>
      <c r="B7" s="1085">
        <v>17.899999999999999</v>
      </c>
      <c r="C7" s="471">
        <v>18.5</v>
      </c>
    </row>
    <row r="8" spans="1:3" x14ac:dyDescent="0.25">
      <c r="A8" s="596" t="s">
        <v>497</v>
      </c>
      <c r="B8" s="1086"/>
      <c r="C8" s="471">
        <v>21</v>
      </c>
    </row>
  </sheetData>
  <sheetProtection algorithmName="SHA-512" hashValue="pmA9A9XDsAOq6JoF3JSvmJNz5/NizGkjQ5H0cN7zi3C2WkwPsVT9LEXBNb5XR3QeJDP+kSx8a0JCk90bD31qEA==" saltValue="bzmMyC8g0i5VeDtVt89gBQ==" spinCount="100000" sheet="1" objects="1" scenarios="1"/>
  <mergeCells count="1">
    <mergeCell ref="B7:B8"/>
  </mergeCells>
  <pageMargins left="0.70866141732283472" right="0.70866141732283472" top="0.78740157480314965" bottom="0.78740157480314965" header="0.31496062992125984" footer="0.31496062992125984"/>
  <pageSetup paperSize="9" orientation="portrait"/>
  <headerFooter>
    <oddHeader>&amp;C&amp;A</oddHeader>
    <oddFooter xml:space="preserve">&amp;C
&amp;1#&amp;"Calibri,Standard"&amp;10&amp;K000000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8</vt:i4>
      </vt:variant>
    </vt:vector>
  </HeadingPairs>
  <TitlesOfParts>
    <vt:vector size="18" baseType="lpstr">
      <vt:lpstr>B_TP_VERSIONSINFO</vt:lpstr>
      <vt:lpstr>KAT</vt:lpstr>
      <vt:lpstr>B_TP_Hinweise</vt:lpstr>
      <vt:lpstr>B_TP_Allgemeine Angaben</vt:lpstr>
      <vt:lpstr>B_TP_Kalkulation</vt:lpstr>
      <vt:lpstr>B_TP_Ergebnis</vt:lpstr>
      <vt:lpstr>B_TP_Gesamtkalkulation</vt:lpstr>
      <vt:lpstr>B3_Ergebnis (alt)</vt:lpstr>
      <vt:lpstr>Adressverzeichnis</vt:lpstr>
      <vt:lpstr>Archiv</vt:lpstr>
      <vt:lpstr>Adressverzeichnis!Druckbereich</vt:lpstr>
      <vt:lpstr>'B_TP_Allgemeine Angaben'!Druckbereich</vt:lpstr>
      <vt:lpstr>B_TP_Ergebnis!Druckbereich</vt:lpstr>
      <vt:lpstr>B_TP_Gesamtkalkulation!Druckbereich</vt:lpstr>
      <vt:lpstr>B_TP_Hinweise!Druckbereich</vt:lpstr>
      <vt:lpstr>B_TP_Kalkulation!Druckbereich</vt:lpstr>
      <vt:lpstr>B_TP_VERSIONSINFO!Druckbereich</vt:lpstr>
      <vt:lpstr>B_TP_VERSIONSINFO!Drucktitel</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Vereinfachtes Antragsverfahren für Tagespflegeeinrichtungen 2027</dc:title>
  <dc:creator>AOK PLUS - Die Gesundheitskasse für Sachsen und Thüringen</dc:creator>
  <cp:lastModifiedBy>Frank, Tina / G-PFST</cp:lastModifiedBy>
  <cp:lastPrinted>2026-10-22T07:29:19Z</cp:lastPrinted>
  <dcterms:created xsi:type="dcterms:W3CDTF">2012-08-21T12:23:19Z</dcterms:created>
  <dcterms:modified xsi:type="dcterms:W3CDTF">2026-10-26T16:32:44Z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2024-11-22T13:31:53Z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2ad89c49-dd2e-4e88-a8df-05b5443b53a6</vt:lpwstr>
  </property>
  <property fmtid="{D5CDD505-2E9C-101B-9397-08002B2CF9AE}" pid="8" name="MSIP_Label_94f72c9e-ff9b-4d29-a8be-f698af1f1989_ContentBits">
    <vt:lpwstr>2</vt:lpwstr>
  </property>
</Properties>
</file>